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2016 sheet" sheetId="1" r:id="rId4"/>
    <sheet name="2015 sheet" sheetId="2" r:id="rId5"/>
  </sheets>
</workbook>
</file>

<file path=xl/sharedStrings.xml><?xml version="1.0" encoding="utf-8"?>
<sst xmlns="http://schemas.openxmlformats.org/spreadsheetml/2006/main" uniqueCount="111">
  <si>
    <t>race_distance</t>
  </si>
  <si>
    <t>track_type_int</t>
  </si>
  <si>
    <t>weather_int</t>
  </si>
  <si>
    <t>track_int</t>
  </si>
  <si>
    <t>odds</t>
  </si>
  <si>
    <t>weight</t>
  </si>
  <si>
    <t>total_workout_time</t>
  </si>
  <si>
    <t>average_workout_time</t>
  </si>
  <si>
    <t>total_workout_distance</t>
  </si>
  <si>
    <t>average_workout_distance</t>
  </si>
  <si>
    <t>workout_count</t>
  </si>
  <si>
    <t>age</t>
  </si>
  <si>
    <t>earnings_per_start</t>
  </si>
  <si>
    <t>first_ratio</t>
  </si>
  <si>
    <t>second_ratio</t>
  </si>
  <si>
    <t>third_ratio</t>
  </si>
  <si>
    <t>gender_int</t>
  </si>
  <si>
    <t>race_equibase_figure</t>
  </si>
  <si>
    <t>Horse details in a specific race</t>
  </si>
  <si>
    <t>track_type</t>
  </si>
  <si>
    <t>weather</t>
  </si>
  <si>
    <t>track_speed</t>
  </si>
  <si>
    <t>gender</t>
  </si>
  <si>
    <t>Exaggerator</t>
  </si>
  <si>
    <t>Dirt</t>
  </si>
  <si>
    <t>Cloudy</t>
  </si>
  <si>
    <t>Muddy (Sealed)</t>
  </si>
  <si>
    <t>M</t>
  </si>
  <si>
    <t>Sunny Ridge</t>
  </si>
  <si>
    <t>Airoforce</t>
  </si>
  <si>
    <t>Turf</t>
  </si>
  <si>
    <t>Yielding</t>
  </si>
  <si>
    <t>Hit It a Bomb</t>
  </si>
  <si>
    <t>Birchwood (IRE)</t>
  </si>
  <si>
    <t>Dressed in Hermes</t>
  </si>
  <si>
    <t>Clear</t>
  </si>
  <si>
    <t>Firm</t>
  </si>
  <si>
    <t>Bird of Trey</t>
  </si>
  <si>
    <t>Fast</t>
  </si>
  <si>
    <t>Smokey Image</t>
  </si>
  <si>
    <t>Nyquist</t>
  </si>
  <si>
    <t>Found Money</t>
  </si>
  <si>
    <t>Collected</t>
  </si>
  <si>
    <t>Songbird</t>
  </si>
  <si>
    <t>F</t>
  </si>
  <si>
    <t>Behrnik's Bank</t>
  </si>
  <si>
    <t xml:space="preserve">Clear </t>
  </si>
  <si>
    <t>Off the Tracks</t>
  </si>
  <si>
    <t xml:space="preserve">Fast </t>
  </si>
  <si>
    <t>Catch a Glimpse</t>
  </si>
  <si>
    <t>Alice Springs (IRE)</t>
  </si>
  <si>
    <t>Nemoralia</t>
  </si>
  <si>
    <t>Sapphire Kitten</t>
  </si>
  <si>
    <t>Carina Mia</t>
  </si>
  <si>
    <t>Showery</t>
  </si>
  <si>
    <t>Sloppy (Sealed)</t>
  </si>
  <si>
    <t>Belvoir Bay (GB)</t>
  </si>
  <si>
    <t>Highland Reel (IRE)</t>
  </si>
  <si>
    <t>Rainy</t>
  </si>
  <si>
    <t>Runhappy</t>
  </si>
  <si>
    <t>X Y Jet</t>
  </si>
  <si>
    <t>Duff</t>
  </si>
  <si>
    <t>Dortmund</t>
  </si>
  <si>
    <t>American Pharoah</t>
  </si>
  <si>
    <t>Make Believe (GB)</t>
  </si>
  <si>
    <t>Good</t>
  </si>
  <si>
    <t>Noteworthy Peach</t>
  </si>
  <si>
    <t>Legatissimo (IRE)</t>
  </si>
  <si>
    <t>Sentiero Italia</t>
  </si>
  <si>
    <t>Wedding Vow (IRE)</t>
  </si>
  <si>
    <t>Curvy (GB)</t>
  </si>
  <si>
    <t>Sharla Rae</t>
  </si>
  <si>
    <t>Found (IRE)</t>
  </si>
  <si>
    <t>Lady Shipman</t>
  </si>
  <si>
    <t>Queen's Jewel (GB)</t>
  </si>
  <si>
    <t>Miss Temple City</t>
  </si>
  <si>
    <t>Her Emmynency</t>
  </si>
  <si>
    <t>Impassable (IRE)</t>
  </si>
  <si>
    <t>Flintshire (GB)</t>
  </si>
  <si>
    <t>Inner Turf</t>
  </si>
  <si>
    <t>Red Rifle</t>
  </si>
  <si>
    <t>Honor Code</t>
  </si>
  <si>
    <t>Liam's Map</t>
  </si>
  <si>
    <t>Ashleyluvssugar</t>
  </si>
  <si>
    <t>Twilight Eclipse</t>
  </si>
  <si>
    <t>Elnaawi</t>
  </si>
  <si>
    <t>Tonalist</t>
  </si>
  <si>
    <t>Ganesh (BRZ)</t>
  </si>
  <si>
    <t>Going Somewhere (BRZ)</t>
  </si>
  <si>
    <t>Kid Cruz</t>
  </si>
  <si>
    <t>Page McKenney</t>
  </si>
  <si>
    <t>Tepin</t>
  </si>
  <si>
    <t>Lady Lara (IRE)</t>
  </si>
  <si>
    <t>Secret Gesture (GB)</t>
  </si>
  <si>
    <t>Stephanie's Kitten</t>
  </si>
  <si>
    <t>Hope Cross (IRE)</t>
  </si>
  <si>
    <t>Lori's Store</t>
  </si>
  <si>
    <t>Sandiva (IRE)</t>
  </si>
  <si>
    <t>Coffee Clique</t>
  </si>
  <si>
    <t>Watsdachances (IRE)</t>
  </si>
  <si>
    <t>Salutos Amigos</t>
  </si>
  <si>
    <t>Muddy</t>
  </si>
  <si>
    <t>Masochistic</t>
  </si>
  <si>
    <t>Work All Week</t>
  </si>
  <si>
    <t>Holy Lute</t>
  </si>
  <si>
    <t>Matrooh</t>
  </si>
  <si>
    <t>Distinctiv Passion</t>
  </si>
  <si>
    <t>Wet Fast (Sealed)</t>
  </si>
  <si>
    <t>Gentlemen's Bet</t>
  </si>
  <si>
    <t>A. P. Indian</t>
  </si>
  <si>
    <t>Channel Marker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</si>
</sst>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"/>
  </numFmts>
  <fonts count="6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b val="1"/>
      <sz val="10"/>
      <color indexed="8"/>
      <name val="Arial"/>
    </font>
    <font>
      <sz val="9"/>
      <color indexed="11"/>
      <name val="Arial"/>
    </font>
    <font>
      <sz val="10"/>
      <color indexed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1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1" fontId="0" fillId="2" borderId="2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1" fontId="4" fillId="2" borderId="4" applyNumberFormat="1" applyFont="1" applyFill="1" applyBorder="1" applyAlignment="1" applyProtection="0">
      <alignment vertical="bottom"/>
    </xf>
    <xf numFmtId="59" fontId="0" fillId="2" borderId="5" applyNumberFormat="1" applyFont="1" applyFill="1" applyBorder="1" applyAlignment="1" applyProtection="0">
      <alignment vertical="bottom"/>
    </xf>
    <xf numFmtId="1" fontId="4" fillId="2" borderId="6" applyNumberFormat="1" applyFont="1" applyFill="1" applyBorder="1" applyAlignment="1" applyProtection="0">
      <alignment vertical="bottom"/>
    </xf>
    <xf numFmtId="1" fontId="0" fillId="2" borderId="6" applyNumberFormat="1" applyFont="1" applyFill="1" applyBorder="1" applyAlignment="1" applyProtection="0">
      <alignment vertical="bottom"/>
    </xf>
    <xf numFmtId="1" fontId="0" fillId="2" borderId="7" applyNumberFormat="1" applyFont="1" applyFill="1" applyBorder="1" applyAlignment="1" applyProtection="0">
      <alignment vertical="bottom"/>
    </xf>
    <xf numFmtId="1" fontId="4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0" fontId="5" fillId="2" borderId="4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8484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113"/>
  <sheetViews>
    <sheetView workbookViewId="0" showGridLines="0" defaultGridColor="1"/>
  </sheetViews>
  <sheetFormatPr defaultColWidth="14.5" defaultRowHeight="15.75" customHeight="1" outlineLevelRow="0" outlineLevelCol="0"/>
  <cols>
    <col min="1" max="1" width="13.5" style="1" customWidth="1"/>
    <col min="2" max="2" width="17.1719" style="1" customWidth="1"/>
    <col min="3" max="3" width="13.5" style="1" customWidth="1"/>
    <col min="4" max="4" width="11.8516" style="1" customWidth="1"/>
    <col min="5" max="5" width="5.5" style="1" customWidth="1"/>
    <col min="6" max="6" width="6.67188" style="1" customWidth="1"/>
    <col min="7" max="7" width="16.8516" style="1" customWidth="1"/>
    <col min="8" max="8" width="20" style="1" customWidth="1"/>
    <col min="9" max="9" width="20" style="1" customWidth="1"/>
    <col min="10" max="10" width="24.5" style="1" customWidth="1"/>
    <col min="11" max="11" width="13.3516" style="1" customWidth="1"/>
    <col min="12" max="12" width="4.35156" style="1" customWidth="1"/>
    <col min="13" max="13" width="16.5" style="1" customWidth="1"/>
    <col min="14" max="14" width="12.5" style="1" customWidth="1"/>
    <col min="15" max="15" width="11.5" style="1" customWidth="1"/>
    <col min="16" max="16" width="12.5" style="1" customWidth="1"/>
    <col min="17" max="17" width="13.5" style="1" customWidth="1"/>
    <col min="18" max="18" width="22.5" style="1" customWidth="1"/>
    <col min="19" max="256" width="14.5" style="1" customWidth="1"/>
  </cols>
  <sheetData>
    <row r="1" ht="13.6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</row>
    <row r="2" ht="13.65" customHeight="1">
      <c r="A2" s="3">
        <v>7</v>
      </c>
      <c r="B2" s="3">
        <v>1</v>
      </c>
      <c r="C2" s="3">
        <v>1</v>
      </c>
      <c r="D2" s="3">
        <v>1</v>
      </c>
      <c r="E2" s="3">
        <v>2.5</v>
      </c>
      <c r="F2" s="3">
        <v>123</v>
      </c>
      <c r="G2" s="3">
        <v>169.62</v>
      </c>
      <c r="H2" s="3">
        <v>56.54</v>
      </c>
      <c r="I2" s="3">
        <v>14</v>
      </c>
      <c r="J2" s="3">
        <v>4.667</v>
      </c>
      <c r="K2" s="3">
        <v>3</v>
      </c>
      <c r="L2" s="3">
        <v>2</v>
      </c>
      <c r="M2" s="4">
        <v>84240</v>
      </c>
      <c r="N2" s="5">
        <v>1</v>
      </c>
      <c r="O2" s="5">
        <v>0</v>
      </c>
      <c r="P2" s="5">
        <v>0</v>
      </c>
      <c r="Q2" s="3">
        <v>1</v>
      </c>
      <c r="R2" s="3">
        <v>108</v>
      </c>
    </row>
    <row r="3" ht="13.65" customHeight="1">
      <c r="A3" s="3">
        <v>6</v>
      </c>
      <c r="B3" s="3">
        <v>1</v>
      </c>
      <c r="C3" s="3">
        <v>2</v>
      </c>
      <c r="D3" s="3">
        <v>1</v>
      </c>
      <c r="E3" s="3">
        <v>0.6</v>
      </c>
      <c r="F3" s="3">
        <v>118</v>
      </c>
      <c r="G3" s="3">
        <v>169.62</v>
      </c>
      <c r="H3" s="3">
        <v>56.54</v>
      </c>
      <c r="I3" s="3">
        <v>14</v>
      </c>
      <c r="J3" s="3">
        <v>4.667</v>
      </c>
      <c r="K3" s="3">
        <v>3</v>
      </c>
      <c r="L3" s="3">
        <v>2</v>
      </c>
      <c r="M3" s="4">
        <v>95160</v>
      </c>
      <c r="N3" s="5">
        <v>1</v>
      </c>
      <c r="O3" s="5">
        <v>0</v>
      </c>
      <c r="P3" s="5">
        <v>0</v>
      </c>
      <c r="Q3" s="3">
        <v>1</v>
      </c>
      <c r="R3" s="3">
        <v>106</v>
      </c>
    </row>
    <row r="4" ht="13.65" customHeight="1">
      <c r="A4" s="3">
        <v>6</v>
      </c>
      <c r="B4" s="3">
        <v>1</v>
      </c>
      <c r="C4" s="3">
        <v>2</v>
      </c>
      <c r="D4" s="3">
        <v>1</v>
      </c>
      <c r="E4" s="3">
        <v>4.7</v>
      </c>
      <c r="F4" s="3">
        <v>120</v>
      </c>
      <c r="G4" s="3">
        <v>340.81</v>
      </c>
      <c r="H4" s="3">
        <v>56.802</v>
      </c>
      <c r="I4" s="3">
        <v>28</v>
      </c>
      <c r="J4" s="3">
        <v>4.667</v>
      </c>
      <c r="K4" s="3">
        <v>6</v>
      </c>
      <c r="L4" s="3">
        <v>2</v>
      </c>
      <c r="M4" s="4">
        <v>28640</v>
      </c>
      <c r="N4" s="5">
        <v>0.667</v>
      </c>
      <c r="O4" s="5">
        <v>0</v>
      </c>
      <c r="P4" s="5">
        <v>0</v>
      </c>
      <c r="Q4" s="3">
        <v>1</v>
      </c>
      <c r="R4" s="3">
        <v>105</v>
      </c>
    </row>
    <row r="5" ht="13.65" customHeight="1">
      <c r="A5" s="3">
        <v>6</v>
      </c>
      <c r="B5" s="3">
        <v>1</v>
      </c>
      <c r="C5" s="3">
        <v>2</v>
      </c>
      <c r="D5" s="3">
        <v>1</v>
      </c>
      <c r="E5" s="3">
        <v>0.5</v>
      </c>
      <c r="F5" s="3">
        <v>120</v>
      </c>
      <c r="G5" s="3">
        <v>298.22</v>
      </c>
      <c r="H5" s="3">
        <v>74.55500000000001</v>
      </c>
      <c r="I5" s="3">
        <f>8+6+5+5</f>
        <v>24</v>
      </c>
      <c r="J5" s="3">
        <v>6</v>
      </c>
      <c r="K5" s="3">
        <v>4</v>
      </c>
      <c r="L5" s="3">
        <v>2</v>
      </c>
      <c r="M5" s="4">
        <v>16638</v>
      </c>
      <c r="N5" s="5">
        <v>0.25</v>
      </c>
      <c r="O5" s="5">
        <v>0.25</v>
      </c>
      <c r="P5" s="5">
        <v>0.25</v>
      </c>
      <c r="Q5" s="3">
        <v>1</v>
      </c>
      <c r="R5" s="3">
        <v>103</v>
      </c>
    </row>
    <row r="6" ht="13.65" customHeight="1">
      <c r="A6" s="3">
        <v>6.5</v>
      </c>
      <c r="B6" s="3">
        <v>1</v>
      </c>
      <c r="C6" s="3">
        <v>1</v>
      </c>
      <c r="D6" s="3">
        <v>1</v>
      </c>
      <c r="E6" s="3">
        <v>1.2</v>
      </c>
      <c r="F6" s="3">
        <v>123</v>
      </c>
      <c r="G6" s="3">
        <v>243.8</v>
      </c>
      <c r="H6" s="3">
        <v>48.76</v>
      </c>
      <c r="I6" s="3">
        <v>20</v>
      </c>
      <c r="J6" s="3">
        <v>4</v>
      </c>
      <c r="K6" s="3">
        <v>5</v>
      </c>
      <c r="L6" s="3">
        <v>2</v>
      </c>
      <c r="M6" s="4">
        <v>42420</v>
      </c>
      <c r="N6" s="5">
        <v>0.6</v>
      </c>
      <c r="O6" s="5">
        <v>0.4</v>
      </c>
      <c r="P6" s="5">
        <v>0</v>
      </c>
      <c r="Q6" s="3">
        <v>1</v>
      </c>
      <c r="R6" s="3">
        <v>103</v>
      </c>
    </row>
    <row r="7" ht="13.65" customHeight="1">
      <c r="A7" s="3">
        <v>7</v>
      </c>
      <c r="B7" s="3">
        <v>1</v>
      </c>
      <c r="C7" s="3">
        <v>1</v>
      </c>
      <c r="D7" s="3">
        <v>1</v>
      </c>
      <c r="E7" s="3">
        <v>2.1</v>
      </c>
      <c r="F7" s="3">
        <v>118</v>
      </c>
      <c r="G7" s="3">
        <v>281.79</v>
      </c>
      <c r="H7" s="3">
        <v>56.358</v>
      </c>
      <c r="I7" s="3">
        <v>24</v>
      </c>
      <c r="J7" s="3">
        <v>4.8</v>
      </c>
      <c r="K7" s="3">
        <v>5</v>
      </c>
      <c r="L7" s="3">
        <v>2</v>
      </c>
      <c r="M7" s="4">
        <v>129900</v>
      </c>
      <c r="N7" s="5">
        <v>1</v>
      </c>
      <c r="O7" s="5">
        <v>0</v>
      </c>
      <c r="P7" s="5">
        <v>0</v>
      </c>
      <c r="Q7" s="3">
        <v>1</v>
      </c>
      <c r="R7" s="3">
        <v>102</v>
      </c>
    </row>
    <row r="8" ht="13.65" customHeight="1">
      <c r="A8" s="3">
        <v>7</v>
      </c>
      <c r="B8" s="3">
        <v>1</v>
      </c>
      <c r="C8" s="3">
        <v>1</v>
      </c>
      <c r="D8" s="3">
        <v>1</v>
      </c>
      <c r="E8" s="3">
        <v>25.75</v>
      </c>
      <c r="F8" s="3">
        <v>116</v>
      </c>
      <c r="G8" s="3">
        <v>141.22</v>
      </c>
      <c r="H8" s="3">
        <v>47.073</v>
      </c>
      <c r="I8" s="3">
        <v>11</v>
      </c>
      <c r="J8" s="3">
        <v>3.667</v>
      </c>
      <c r="K8" s="3">
        <v>3</v>
      </c>
      <c r="L8" s="3">
        <v>2</v>
      </c>
      <c r="M8" s="4">
        <v>15250</v>
      </c>
      <c r="N8" s="5">
        <v>0</v>
      </c>
      <c r="O8" s="5">
        <v>0.25</v>
      </c>
      <c r="P8" s="5">
        <v>0.5</v>
      </c>
      <c r="Q8" s="3">
        <v>1</v>
      </c>
      <c r="R8" s="3">
        <v>101</v>
      </c>
    </row>
    <row r="9" ht="13.65" customHeight="1">
      <c r="A9" s="3">
        <v>7</v>
      </c>
      <c r="B9" s="3">
        <v>1</v>
      </c>
      <c r="C9" s="3">
        <v>1</v>
      </c>
      <c r="D9" s="3">
        <v>1</v>
      </c>
      <c r="E9" s="3">
        <v>15.1</v>
      </c>
      <c r="F9" s="3">
        <v>118</v>
      </c>
      <c r="G9" s="3">
        <v>209.25</v>
      </c>
      <c r="H9" s="3">
        <v>52.313</v>
      </c>
      <c r="I9" s="3">
        <v>17</v>
      </c>
      <c r="J9" s="3">
        <v>4.25</v>
      </c>
      <c r="K9" s="3">
        <v>4</v>
      </c>
      <c r="L9" s="3">
        <v>2</v>
      </c>
      <c r="M9" s="4">
        <v>34681</v>
      </c>
      <c r="N9" s="5">
        <v>0.25</v>
      </c>
      <c r="O9" s="5">
        <v>0.5</v>
      </c>
      <c r="P9" s="5">
        <v>0</v>
      </c>
      <c r="Q9" s="3">
        <v>1</v>
      </c>
      <c r="R9" s="3">
        <v>101</v>
      </c>
    </row>
    <row r="10" ht="13.65" customHeight="1">
      <c r="A10" s="3">
        <v>6.5</v>
      </c>
      <c r="B10" s="3">
        <v>1</v>
      </c>
      <c r="C10" s="3">
        <v>1</v>
      </c>
      <c r="D10" s="3">
        <v>1</v>
      </c>
      <c r="E10" s="3">
        <v>9.1</v>
      </c>
      <c r="F10" s="3">
        <v>121</v>
      </c>
      <c r="G10" s="3">
        <v>151.6</v>
      </c>
      <c r="H10" s="3">
        <v>50.533</v>
      </c>
      <c r="I10" s="3">
        <v>12</v>
      </c>
      <c r="J10" s="3">
        <v>4</v>
      </c>
      <c r="K10" s="3">
        <v>3</v>
      </c>
      <c r="L10" s="3">
        <v>2</v>
      </c>
      <c r="M10" s="4">
        <v>29400</v>
      </c>
      <c r="N10" s="5">
        <v>0.5</v>
      </c>
      <c r="O10" s="5">
        <v>0.5</v>
      </c>
      <c r="P10" s="5">
        <v>0</v>
      </c>
      <c r="Q10" s="3">
        <v>1</v>
      </c>
      <c r="R10" s="3">
        <v>101</v>
      </c>
    </row>
    <row r="11" ht="13.65" customHeight="1">
      <c r="A11" s="3">
        <v>8</v>
      </c>
      <c r="B11" s="3">
        <v>3</v>
      </c>
      <c r="C11" s="3">
        <v>1</v>
      </c>
      <c r="D11" s="3">
        <v>3</v>
      </c>
      <c r="E11" s="3">
        <v>4.7</v>
      </c>
      <c r="F11" s="3">
        <v>118</v>
      </c>
      <c r="G11" s="3">
        <v>264.2</v>
      </c>
      <c r="H11" s="3">
        <v>52.84</v>
      </c>
      <c r="I11" s="3">
        <v>21</v>
      </c>
      <c r="J11" s="3">
        <v>4.2</v>
      </c>
      <c r="K11" s="3">
        <v>5</v>
      </c>
      <c r="L11" s="3">
        <v>2</v>
      </c>
      <c r="M11" s="4">
        <v>36120</v>
      </c>
      <c r="N11" s="5">
        <v>1</v>
      </c>
      <c r="O11" s="5">
        <v>0</v>
      </c>
      <c r="P11" s="5">
        <v>0</v>
      </c>
      <c r="Q11" s="3">
        <v>1</v>
      </c>
      <c r="R11" s="3">
        <v>100</v>
      </c>
    </row>
    <row r="12" ht="13.65" customHeight="1">
      <c r="A12" s="3">
        <v>6</v>
      </c>
      <c r="B12" s="3">
        <v>1</v>
      </c>
      <c r="C12" s="3">
        <v>1</v>
      </c>
      <c r="D12" s="3">
        <v>1</v>
      </c>
      <c r="E12" s="3">
        <v>0.9</v>
      </c>
      <c r="F12" s="3">
        <v>122</v>
      </c>
      <c r="G12" s="3">
        <v>198.44</v>
      </c>
      <c r="H12" s="3">
        <v>49.61</v>
      </c>
      <c r="I12" s="3">
        <v>16</v>
      </c>
      <c r="J12" s="3">
        <v>4</v>
      </c>
      <c r="K12" s="3">
        <v>4</v>
      </c>
      <c r="L12" s="3">
        <v>2</v>
      </c>
      <c r="M12" s="4">
        <v>37021</v>
      </c>
      <c r="N12" s="5">
        <v>0.75</v>
      </c>
      <c r="O12" s="5">
        <v>0</v>
      </c>
      <c r="P12" s="5">
        <v>0.25</v>
      </c>
      <c r="Q12" s="3">
        <v>2</v>
      </c>
      <c r="R12" s="3">
        <v>96</v>
      </c>
    </row>
    <row r="13" ht="13.65" customHeight="1">
      <c r="A13" s="3">
        <v>7</v>
      </c>
      <c r="B13" s="3">
        <v>1</v>
      </c>
      <c r="C13" s="3">
        <v>1</v>
      </c>
      <c r="D13" s="3">
        <v>1</v>
      </c>
      <c r="E13" s="3">
        <v>7.7</v>
      </c>
      <c r="F13" s="3">
        <v>118</v>
      </c>
      <c r="G13" s="3">
        <v>156.2</v>
      </c>
      <c r="H13" s="3">
        <v>52.067</v>
      </c>
      <c r="I13" s="3">
        <v>13</v>
      </c>
      <c r="J13" s="3">
        <v>4.333</v>
      </c>
      <c r="K13" s="3">
        <v>3</v>
      </c>
      <c r="L13" s="3">
        <v>2</v>
      </c>
      <c r="M13" s="4">
        <v>96300</v>
      </c>
      <c r="N13" s="5">
        <v>0.5</v>
      </c>
      <c r="O13" s="5">
        <v>0.5</v>
      </c>
      <c r="P13" s="5">
        <v>0</v>
      </c>
      <c r="Q13" s="3">
        <v>2</v>
      </c>
      <c r="R13" s="3">
        <v>96</v>
      </c>
    </row>
    <row r="14" ht="13.65" customHeight="1">
      <c r="A14" s="3">
        <v>5.5</v>
      </c>
      <c r="B14" s="3">
        <v>2</v>
      </c>
      <c r="C14" s="3">
        <v>1</v>
      </c>
      <c r="D14" s="3">
        <v>1</v>
      </c>
      <c r="E14" s="3">
        <v>0.7</v>
      </c>
      <c r="F14" s="3">
        <v>121</v>
      </c>
      <c r="G14" s="3">
        <v>145.4</v>
      </c>
      <c r="H14" s="3">
        <v>48.467</v>
      </c>
      <c r="I14" s="3">
        <v>12</v>
      </c>
      <c r="J14" s="3">
        <v>4</v>
      </c>
      <c r="K14" s="3">
        <v>3</v>
      </c>
      <c r="L14" s="3">
        <v>2</v>
      </c>
      <c r="M14" s="4">
        <v>48535</v>
      </c>
      <c r="N14" s="5">
        <v>1</v>
      </c>
      <c r="O14" s="5">
        <v>0</v>
      </c>
      <c r="P14" s="5">
        <v>0</v>
      </c>
      <c r="Q14" s="3">
        <v>2</v>
      </c>
      <c r="R14" s="3">
        <v>95</v>
      </c>
    </row>
    <row r="15" ht="13.65" customHeight="1">
      <c r="A15" s="3">
        <v>5.5</v>
      </c>
      <c r="B15" s="3">
        <v>1</v>
      </c>
      <c r="C15" s="3">
        <v>2</v>
      </c>
      <c r="D15" s="3">
        <v>1</v>
      </c>
      <c r="E15" s="3">
        <v>31.6</v>
      </c>
      <c r="F15" s="3">
        <v>119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2</v>
      </c>
      <c r="M15" s="4">
        <v>27225</v>
      </c>
      <c r="N15" s="5">
        <v>1</v>
      </c>
      <c r="O15" s="5">
        <v>0</v>
      </c>
      <c r="P15" s="5">
        <v>0</v>
      </c>
      <c r="Q15" s="3">
        <v>2</v>
      </c>
      <c r="R15" s="3">
        <v>95</v>
      </c>
    </row>
    <row r="16" ht="13.65" customHeight="1">
      <c r="A16" s="3">
        <v>6.5</v>
      </c>
      <c r="B16" s="3">
        <v>1</v>
      </c>
      <c r="C16" s="3">
        <v>2</v>
      </c>
      <c r="D16" s="3">
        <v>1</v>
      </c>
      <c r="E16" s="3">
        <v>1.3</v>
      </c>
      <c r="F16" s="3">
        <v>118</v>
      </c>
      <c r="G16" s="3">
        <v>250.6</v>
      </c>
      <c r="H16" s="3">
        <v>50.12</v>
      </c>
      <c r="I16" s="3">
        <v>21</v>
      </c>
      <c r="J16" s="3">
        <v>4.2</v>
      </c>
      <c r="K16" s="3">
        <v>5</v>
      </c>
      <c r="L16" s="3">
        <v>2</v>
      </c>
      <c r="M16" s="4">
        <v>56200</v>
      </c>
      <c r="N16" s="5">
        <v>0.333</v>
      </c>
      <c r="O16" s="5">
        <v>0.333</v>
      </c>
      <c r="P16" s="5">
        <v>0.333</v>
      </c>
      <c r="Q16" s="3">
        <v>2</v>
      </c>
      <c r="R16" s="3">
        <v>95</v>
      </c>
    </row>
    <row r="17" ht="13.65" customHeight="1">
      <c r="A17" s="3">
        <v>5.5</v>
      </c>
      <c r="B17" s="3">
        <v>1</v>
      </c>
      <c r="C17" s="3">
        <v>1</v>
      </c>
      <c r="D17" s="3">
        <v>1</v>
      </c>
      <c r="E17" s="3">
        <v>3</v>
      </c>
      <c r="F17" s="3">
        <v>122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2</v>
      </c>
      <c r="M17" s="4">
        <v>59340</v>
      </c>
      <c r="N17" s="5">
        <v>1</v>
      </c>
      <c r="O17" s="5">
        <v>0</v>
      </c>
      <c r="P17" s="5">
        <v>0</v>
      </c>
      <c r="Q17" s="3">
        <v>2</v>
      </c>
      <c r="R17" s="3">
        <v>93</v>
      </c>
    </row>
    <row r="18" ht="13.65" customHeight="1">
      <c r="A18" s="3">
        <v>5.5</v>
      </c>
      <c r="B18" s="3">
        <v>3</v>
      </c>
      <c r="C18" s="3">
        <v>2</v>
      </c>
      <c r="D18" s="3">
        <v>2</v>
      </c>
      <c r="E18" s="3">
        <v>9.4</v>
      </c>
      <c r="F18" s="3">
        <v>122</v>
      </c>
      <c r="G18" s="3">
        <v>160.57</v>
      </c>
      <c r="H18" s="3">
        <v>53.523</v>
      </c>
      <c r="I18" s="3">
        <v>13</v>
      </c>
      <c r="J18" s="3">
        <v>4.333</v>
      </c>
      <c r="K18" s="3">
        <v>3</v>
      </c>
      <c r="L18" s="3">
        <v>2</v>
      </c>
      <c r="M18" s="4">
        <v>31633</v>
      </c>
      <c r="N18" s="5">
        <v>0.667</v>
      </c>
      <c r="O18" s="5">
        <v>0</v>
      </c>
      <c r="P18" s="5">
        <v>0</v>
      </c>
      <c r="Q18" s="3">
        <v>2</v>
      </c>
      <c r="R18" s="3">
        <v>93</v>
      </c>
    </row>
    <row r="19" ht="13.65" customHeight="1">
      <c r="A19" s="3">
        <f>1.25*8</f>
        <v>10</v>
      </c>
      <c r="B19" s="3">
        <v>1</v>
      </c>
      <c r="C19" s="3">
        <v>1</v>
      </c>
      <c r="D19" s="3">
        <v>1</v>
      </c>
      <c r="E19" s="3">
        <v>11.7</v>
      </c>
      <c r="F19" s="3">
        <v>126</v>
      </c>
      <c r="G19" s="3">
        <v>277.4</v>
      </c>
      <c r="H19" s="3">
        <v>55.48</v>
      </c>
      <c r="I19" s="3">
        <v>23</v>
      </c>
      <c r="J19" s="3">
        <v>4.6</v>
      </c>
      <c r="K19" s="3">
        <v>5</v>
      </c>
      <c r="L19" s="3">
        <v>3</v>
      </c>
      <c r="M19" s="4">
        <v>156920</v>
      </c>
      <c r="N19" s="5">
        <v>0.8</v>
      </c>
      <c r="O19" s="5">
        <v>0</v>
      </c>
      <c r="P19" s="5">
        <v>0.2</v>
      </c>
      <c r="Q19" s="3">
        <v>1</v>
      </c>
      <c r="R19" s="3">
        <v>123</v>
      </c>
    </row>
    <row r="20" ht="13.65" customHeight="1">
      <c r="A20" s="3">
        <v>10</v>
      </c>
      <c r="B20" s="3">
        <v>3</v>
      </c>
      <c r="C20" s="3">
        <v>2</v>
      </c>
      <c r="D20" s="3">
        <v>3</v>
      </c>
      <c r="E20" s="3">
        <v>4.4</v>
      </c>
      <c r="F20" s="3">
        <v>126</v>
      </c>
      <c r="G20" s="3">
        <v>40.2</v>
      </c>
      <c r="H20" s="3">
        <v>40.2</v>
      </c>
      <c r="I20" s="3">
        <v>3</v>
      </c>
      <c r="J20" s="3">
        <v>3</v>
      </c>
      <c r="K20" s="3">
        <v>1</v>
      </c>
      <c r="L20" s="3">
        <v>3</v>
      </c>
      <c r="M20" s="4">
        <v>113650</v>
      </c>
      <c r="N20" s="5">
        <v>0.5</v>
      </c>
      <c r="O20" s="5">
        <v>0</v>
      </c>
      <c r="P20" s="5">
        <v>0.5</v>
      </c>
      <c r="Q20" s="3">
        <v>1</v>
      </c>
      <c r="R20" s="3">
        <v>119</v>
      </c>
    </row>
    <row r="21" ht="13.65" customHeight="1">
      <c r="A21" s="3">
        <v>7</v>
      </c>
      <c r="B21" s="3">
        <v>1</v>
      </c>
      <c r="C21" s="3">
        <v>1</v>
      </c>
      <c r="D21" s="3">
        <v>1</v>
      </c>
      <c r="E21" s="3">
        <v>3.4</v>
      </c>
      <c r="F21" s="3">
        <v>117</v>
      </c>
      <c r="G21" s="3">
        <v>300.8</v>
      </c>
      <c r="H21" s="3">
        <v>60.16</v>
      </c>
      <c r="I21" s="3">
        <v>25</v>
      </c>
      <c r="J21" s="3">
        <v>5</v>
      </c>
      <c r="K21" s="3">
        <v>5</v>
      </c>
      <c r="L21" s="3">
        <v>3</v>
      </c>
      <c r="M21" s="4">
        <v>75608</v>
      </c>
      <c r="N21" s="5">
        <v>0.8</v>
      </c>
      <c r="O21" s="5">
        <v>0</v>
      </c>
      <c r="P21" s="5">
        <v>0</v>
      </c>
      <c r="Q21" s="3">
        <v>1</v>
      </c>
      <c r="R21" s="3">
        <v>118</v>
      </c>
    </row>
    <row r="22" ht="13.65" customHeight="1">
      <c r="A22" s="3">
        <f t="shared" si="2" ref="A22:A25">17/16*8</f>
        <v>8.5</v>
      </c>
      <c r="B22" s="3">
        <v>1</v>
      </c>
      <c r="C22" s="3">
        <v>2</v>
      </c>
      <c r="D22" s="3">
        <v>1</v>
      </c>
      <c r="E22" s="3">
        <v>10.9</v>
      </c>
      <c r="F22" s="3">
        <v>117</v>
      </c>
      <c r="G22" s="3">
        <v>199</v>
      </c>
      <c r="H22" s="3">
        <v>49.75</v>
      </c>
      <c r="I22" s="3">
        <v>16</v>
      </c>
      <c r="J22" s="3">
        <v>4</v>
      </c>
      <c r="K22" s="3">
        <v>4</v>
      </c>
      <c r="L22" s="3">
        <v>3</v>
      </c>
      <c r="M22" s="4">
        <v>41903</v>
      </c>
      <c r="N22" s="5">
        <v>0.429</v>
      </c>
      <c r="O22" s="5">
        <v>0</v>
      </c>
      <c r="P22" s="5">
        <v>0.143</v>
      </c>
      <c r="Q22" s="3">
        <v>1</v>
      </c>
      <c r="R22" s="3">
        <v>116</v>
      </c>
    </row>
    <row r="23" ht="13.65" customHeight="1">
      <c r="A23" s="3">
        <f t="shared" si="2"/>
        <v>8.5</v>
      </c>
      <c r="B23" s="3">
        <v>1</v>
      </c>
      <c r="C23" s="3">
        <v>1</v>
      </c>
      <c r="D23" s="3">
        <v>1</v>
      </c>
      <c r="E23" s="3">
        <v>0.4</v>
      </c>
      <c r="F23" s="3">
        <v>120</v>
      </c>
      <c r="G23" s="3">
        <v>47.33</v>
      </c>
      <c r="H23" s="3">
        <v>47.33</v>
      </c>
      <c r="I23" s="3">
        <v>4</v>
      </c>
      <c r="J23" s="3">
        <v>4</v>
      </c>
      <c r="K23" s="3">
        <v>1</v>
      </c>
      <c r="L23" s="3">
        <v>3</v>
      </c>
      <c r="M23" s="4">
        <v>984517</v>
      </c>
      <c r="N23" s="5">
        <v>0.556</v>
      </c>
      <c r="O23" s="5">
        <v>0</v>
      </c>
      <c r="P23" s="5">
        <v>0</v>
      </c>
      <c r="Q23" s="3">
        <v>1</v>
      </c>
      <c r="R23" s="3">
        <v>115</v>
      </c>
    </row>
    <row r="24" ht="13.65" customHeight="1">
      <c r="A24" s="3">
        <f t="shared" si="2"/>
        <v>8.5</v>
      </c>
      <c r="B24" s="3">
        <v>1</v>
      </c>
      <c r="C24" s="3">
        <v>1</v>
      </c>
      <c r="D24" s="3">
        <v>1</v>
      </c>
      <c r="E24" s="3">
        <v>0.1</v>
      </c>
      <c r="F24" s="3">
        <v>123</v>
      </c>
      <c r="G24" s="3">
        <v>273.78</v>
      </c>
      <c r="H24" s="3">
        <v>45.63</v>
      </c>
      <c r="I24" s="3">
        <v>26</v>
      </c>
      <c r="J24" s="3">
        <v>4.333</v>
      </c>
      <c r="K24" s="3">
        <v>6</v>
      </c>
      <c r="L24" s="3">
        <v>3</v>
      </c>
      <c r="M24" s="4">
        <v>157330</v>
      </c>
      <c r="N24" s="5">
        <v>0.5</v>
      </c>
      <c r="O24" s="5">
        <v>0.1</v>
      </c>
      <c r="P24" s="5">
        <v>0.2</v>
      </c>
      <c r="Q24" s="3">
        <v>1</v>
      </c>
      <c r="R24" s="3">
        <v>114</v>
      </c>
    </row>
    <row r="25" ht="13.65" customHeight="1">
      <c r="A25" s="3">
        <f t="shared" si="2"/>
        <v>8.5</v>
      </c>
      <c r="B25" s="3">
        <v>1</v>
      </c>
      <c r="C25" s="3">
        <v>1</v>
      </c>
      <c r="D25" s="3">
        <v>1</v>
      </c>
      <c r="E25" s="3">
        <v>6.5</v>
      </c>
      <c r="F25" s="3">
        <v>116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3</v>
      </c>
      <c r="M25" s="4">
        <v>18114</v>
      </c>
      <c r="N25" s="5">
        <v>0.273</v>
      </c>
      <c r="O25" s="5">
        <v>0.091</v>
      </c>
      <c r="P25" s="5">
        <v>0.091</v>
      </c>
      <c r="Q25" s="3">
        <v>1</v>
      </c>
      <c r="R25" s="3">
        <v>114</v>
      </c>
    </row>
    <row r="26" ht="13.65" customHeight="1">
      <c r="A26" s="3">
        <v>7</v>
      </c>
      <c r="B26" s="3">
        <v>3</v>
      </c>
      <c r="C26" s="3">
        <v>2</v>
      </c>
      <c r="D26" s="3">
        <v>3</v>
      </c>
      <c r="E26" s="3">
        <v>12</v>
      </c>
      <c r="F26" s="3">
        <v>117</v>
      </c>
      <c r="G26" s="3">
        <v>291.7</v>
      </c>
      <c r="H26" s="3">
        <v>58.34</v>
      </c>
      <c r="I26" s="3">
        <v>24</v>
      </c>
      <c r="J26" s="3">
        <v>4.8</v>
      </c>
      <c r="K26" s="3">
        <v>5</v>
      </c>
      <c r="L26" s="3">
        <v>3</v>
      </c>
      <c r="M26" s="4">
        <v>55541</v>
      </c>
      <c r="N26" s="5">
        <v>0.667</v>
      </c>
      <c r="O26" s="5">
        <v>0</v>
      </c>
      <c r="P26" s="5">
        <v>0.167</v>
      </c>
      <c r="Q26" s="3">
        <v>1</v>
      </c>
      <c r="R26" s="3">
        <v>114</v>
      </c>
    </row>
    <row r="27" ht="13.65" customHeight="1">
      <c r="A27" s="3">
        <v>8.5</v>
      </c>
      <c r="B27" s="3">
        <v>3</v>
      </c>
      <c r="C27" s="3">
        <v>1</v>
      </c>
      <c r="D27" s="3">
        <v>3</v>
      </c>
      <c r="E27" s="3">
        <v>18.7</v>
      </c>
      <c r="F27" s="3">
        <v>118</v>
      </c>
      <c r="G27" s="3">
        <v>396.44</v>
      </c>
      <c r="H27" s="3">
        <v>56.634</v>
      </c>
      <c r="I27" s="3">
        <v>32</v>
      </c>
      <c r="J27" s="3">
        <v>4.571</v>
      </c>
      <c r="K27" s="3">
        <v>7</v>
      </c>
      <c r="L27" s="3">
        <v>3</v>
      </c>
      <c r="M27" s="4">
        <v>65871</v>
      </c>
      <c r="N27" s="5">
        <v>0.375</v>
      </c>
      <c r="O27" s="5">
        <v>0.25</v>
      </c>
      <c r="P27" s="5">
        <v>0.25</v>
      </c>
      <c r="Q27" s="3">
        <v>1</v>
      </c>
      <c r="R27" s="3">
        <v>113</v>
      </c>
    </row>
    <row r="28" ht="13.65" customHeight="1">
      <c r="A28" s="3">
        <v>8.5</v>
      </c>
      <c r="B28" s="3">
        <v>3</v>
      </c>
      <c r="C28" s="3">
        <v>1</v>
      </c>
      <c r="D28" s="3">
        <v>3</v>
      </c>
      <c r="E28" s="3">
        <v>18.7</v>
      </c>
      <c r="F28" s="3">
        <v>118</v>
      </c>
      <c r="G28" s="3">
        <v>247.97</v>
      </c>
      <c r="H28" s="3">
        <v>49.594</v>
      </c>
      <c r="I28" s="3">
        <v>20</v>
      </c>
      <c r="J28" s="3">
        <v>4</v>
      </c>
      <c r="K28" s="3">
        <v>5</v>
      </c>
      <c r="L28" s="3">
        <v>3</v>
      </c>
      <c r="M28" s="4">
        <v>73724</v>
      </c>
      <c r="N28" s="5">
        <v>0.444</v>
      </c>
      <c r="O28" s="5">
        <v>0.333</v>
      </c>
      <c r="P28" s="5">
        <v>0</v>
      </c>
      <c r="Q28" s="3">
        <v>1</v>
      </c>
      <c r="R28" s="3">
        <v>113</v>
      </c>
    </row>
    <row r="29" ht="13.65" customHeight="1">
      <c r="A29" s="3">
        <v>8.5</v>
      </c>
      <c r="B29" s="3">
        <v>1</v>
      </c>
      <c r="C29" s="3">
        <v>1</v>
      </c>
      <c r="D29" s="3">
        <v>1</v>
      </c>
      <c r="E29" s="3">
        <v>3.6</v>
      </c>
      <c r="F29" s="3">
        <v>120</v>
      </c>
      <c r="G29" s="3">
        <v>246.4</v>
      </c>
      <c r="H29" s="3">
        <v>61.6</v>
      </c>
      <c r="I29" s="3">
        <v>20</v>
      </c>
      <c r="J29" s="3">
        <v>5</v>
      </c>
      <c r="K29" s="3">
        <v>4</v>
      </c>
      <c r="L29" s="3">
        <v>3</v>
      </c>
      <c r="M29" s="4">
        <v>21485</v>
      </c>
      <c r="N29" s="5">
        <v>0.231</v>
      </c>
      <c r="O29" s="5">
        <v>0.308</v>
      </c>
      <c r="P29" s="5">
        <v>0</v>
      </c>
      <c r="Q29" s="3">
        <v>1</v>
      </c>
      <c r="R29" s="3">
        <v>113</v>
      </c>
    </row>
    <row r="30" ht="13.65" customHeight="1">
      <c r="A30" s="3">
        <v>9</v>
      </c>
      <c r="B30" s="3">
        <v>1</v>
      </c>
      <c r="C30" s="3">
        <v>2</v>
      </c>
      <c r="D30" s="3">
        <v>1</v>
      </c>
      <c r="E30" s="3">
        <v>27</v>
      </c>
      <c r="F30" s="3">
        <v>117</v>
      </c>
      <c r="G30" s="3">
        <v>121.22</v>
      </c>
      <c r="H30" s="3">
        <v>60.61</v>
      </c>
      <c r="I30" s="3">
        <v>10</v>
      </c>
      <c r="J30" s="3">
        <v>5</v>
      </c>
      <c r="K30" s="3">
        <v>2</v>
      </c>
      <c r="L30" s="3">
        <v>3</v>
      </c>
      <c r="M30" s="4">
        <v>58472</v>
      </c>
      <c r="N30" s="5">
        <v>0.111</v>
      </c>
      <c r="O30" s="5">
        <v>0.222</v>
      </c>
      <c r="P30" s="5">
        <v>0.111</v>
      </c>
      <c r="Q30" s="3">
        <v>1</v>
      </c>
      <c r="R30" s="3">
        <v>113</v>
      </c>
    </row>
    <row r="31" ht="13.65" customHeight="1">
      <c r="A31" s="3">
        <v>9</v>
      </c>
      <c r="B31" s="3">
        <v>3</v>
      </c>
      <c r="C31" s="3">
        <v>1</v>
      </c>
      <c r="D31" s="3">
        <v>3</v>
      </c>
      <c r="E31" s="3">
        <v>11.9</v>
      </c>
      <c r="F31" s="3">
        <v>122</v>
      </c>
      <c r="G31" s="3">
        <v>236.4</v>
      </c>
      <c r="H31" s="3">
        <v>59.1</v>
      </c>
      <c r="I31" s="3">
        <v>19</v>
      </c>
      <c r="J31" s="3">
        <v>4.75</v>
      </c>
      <c r="K31" s="3">
        <v>4</v>
      </c>
      <c r="L31" s="3">
        <v>3</v>
      </c>
      <c r="M31" s="4">
        <v>28615</v>
      </c>
      <c r="N31" s="5">
        <v>0.364</v>
      </c>
      <c r="O31" s="5">
        <v>0.091</v>
      </c>
      <c r="P31" s="5">
        <v>0.182</v>
      </c>
      <c r="Q31" s="3">
        <v>1</v>
      </c>
      <c r="R31" s="3">
        <v>113</v>
      </c>
    </row>
    <row r="32" ht="13.65" customHeight="1">
      <c r="A32" s="3">
        <v>6</v>
      </c>
      <c r="B32" s="3">
        <v>1</v>
      </c>
      <c r="C32" s="3">
        <v>2</v>
      </c>
      <c r="D32" s="3">
        <v>1</v>
      </c>
      <c r="E32" s="3">
        <v>3.1</v>
      </c>
      <c r="F32" s="3">
        <v>120</v>
      </c>
      <c r="G32" s="3">
        <v>245.2</v>
      </c>
      <c r="H32" s="3">
        <v>61.3</v>
      </c>
      <c r="I32" s="3">
        <v>20</v>
      </c>
      <c r="J32" s="3">
        <v>5</v>
      </c>
      <c r="K32" s="3">
        <v>4</v>
      </c>
      <c r="L32" s="3">
        <v>3</v>
      </c>
      <c r="M32" s="4">
        <v>45907</v>
      </c>
      <c r="N32" s="5">
        <v>0.455</v>
      </c>
      <c r="O32" s="5">
        <v>0.364</v>
      </c>
      <c r="P32" s="5">
        <v>0.091</v>
      </c>
      <c r="Q32" s="3">
        <v>1</v>
      </c>
      <c r="R32" s="3">
        <v>113</v>
      </c>
    </row>
    <row r="33" ht="13.65" customHeight="1">
      <c r="A33" s="3">
        <v>8.5</v>
      </c>
      <c r="B33" s="3">
        <v>1</v>
      </c>
      <c r="C33" s="3">
        <v>2</v>
      </c>
      <c r="D33" s="3">
        <v>1</v>
      </c>
      <c r="E33" s="3">
        <v>0.3</v>
      </c>
      <c r="F33" s="3">
        <v>124</v>
      </c>
      <c r="G33" s="3">
        <v>384.12</v>
      </c>
      <c r="H33" s="3">
        <v>54.874</v>
      </c>
      <c r="I33" s="3">
        <v>32</v>
      </c>
      <c r="J33" s="3">
        <v>4.571</v>
      </c>
      <c r="K33" s="3">
        <v>7</v>
      </c>
      <c r="L33" s="3">
        <v>3</v>
      </c>
      <c r="M33" s="4">
        <v>306545</v>
      </c>
      <c r="N33" s="5">
        <v>1</v>
      </c>
      <c r="O33" s="5">
        <v>0</v>
      </c>
      <c r="P33" s="5">
        <v>0</v>
      </c>
      <c r="Q33" s="3">
        <v>2</v>
      </c>
      <c r="R33" s="3">
        <v>122</v>
      </c>
    </row>
    <row r="34" ht="13.65" customHeight="1">
      <c r="A34" s="3">
        <v>6</v>
      </c>
      <c r="B34" s="3">
        <v>1</v>
      </c>
      <c r="C34" s="3">
        <v>1</v>
      </c>
      <c r="D34" s="3">
        <v>1</v>
      </c>
      <c r="E34" s="3">
        <v>22.7</v>
      </c>
      <c r="F34" s="3">
        <v>120</v>
      </c>
      <c r="G34" s="3">
        <v>169.33</v>
      </c>
      <c r="H34" s="3">
        <v>56.443</v>
      </c>
      <c r="I34" s="3">
        <v>14</v>
      </c>
      <c r="J34" s="3">
        <v>4.667</v>
      </c>
      <c r="K34" s="3">
        <v>3</v>
      </c>
      <c r="L34" s="3">
        <v>3</v>
      </c>
      <c r="M34" s="4">
        <v>76605</v>
      </c>
      <c r="N34" s="5">
        <v>1</v>
      </c>
      <c r="O34" s="5">
        <v>0</v>
      </c>
      <c r="P34" s="5">
        <v>0</v>
      </c>
      <c r="Q34" s="3">
        <v>2</v>
      </c>
      <c r="R34" s="3">
        <v>114</v>
      </c>
    </row>
    <row r="35" ht="13.65" customHeight="1">
      <c r="A35" s="3">
        <v>6</v>
      </c>
      <c r="B35" s="3">
        <v>1</v>
      </c>
      <c r="C35" s="3">
        <v>1</v>
      </c>
      <c r="D35" s="3">
        <v>1</v>
      </c>
      <c r="E35" s="3">
        <v>22.7</v>
      </c>
      <c r="F35" s="3">
        <v>120</v>
      </c>
      <c r="G35" s="3">
        <v>180.2</v>
      </c>
      <c r="H35" s="3">
        <v>60.067</v>
      </c>
      <c r="I35" s="3">
        <v>15</v>
      </c>
      <c r="J35" s="3">
        <v>5</v>
      </c>
      <c r="K35" s="3">
        <v>3</v>
      </c>
      <c r="L35" s="3">
        <v>3</v>
      </c>
      <c r="M35" s="4">
        <v>38925</v>
      </c>
      <c r="N35" s="5">
        <v>0.667</v>
      </c>
      <c r="O35" s="5">
        <v>0.167</v>
      </c>
      <c r="P35" s="5">
        <v>0.167</v>
      </c>
      <c r="Q35" s="3">
        <v>2</v>
      </c>
      <c r="R35" s="3">
        <v>113</v>
      </c>
    </row>
    <row r="36" ht="13.65" customHeight="1">
      <c r="A36" s="3">
        <v>8.5</v>
      </c>
      <c r="B36" s="3">
        <v>1</v>
      </c>
      <c r="C36" s="3">
        <v>2</v>
      </c>
      <c r="D36" s="3">
        <v>1</v>
      </c>
      <c r="E36" s="3">
        <v>0.3</v>
      </c>
      <c r="F36" s="3">
        <v>124</v>
      </c>
      <c r="G36" s="3">
        <v>245.41</v>
      </c>
      <c r="H36" s="3">
        <v>49.082</v>
      </c>
      <c r="I36" s="3">
        <v>20</v>
      </c>
      <c r="J36" s="3">
        <v>4</v>
      </c>
      <c r="K36" s="3">
        <v>5</v>
      </c>
      <c r="L36" s="3">
        <v>3</v>
      </c>
      <c r="M36" s="4">
        <v>117124</v>
      </c>
      <c r="N36" s="5">
        <v>0.444</v>
      </c>
      <c r="O36" s="5">
        <v>0.333</v>
      </c>
      <c r="P36" s="5">
        <v>0.111</v>
      </c>
      <c r="Q36" s="3">
        <v>2</v>
      </c>
      <c r="R36" s="3">
        <v>113</v>
      </c>
    </row>
    <row r="37" ht="13.65" customHeight="1">
      <c r="A37" s="3">
        <v>7</v>
      </c>
      <c r="B37" s="3">
        <v>1</v>
      </c>
      <c r="C37" s="3">
        <v>1</v>
      </c>
      <c r="D37" s="3">
        <v>1</v>
      </c>
      <c r="E37" s="3">
        <v>0.6</v>
      </c>
      <c r="F37" s="3">
        <v>118</v>
      </c>
      <c r="G37" s="3">
        <v>245.41</v>
      </c>
      <c r="H37" s="3">
        <v>49.082</v>
      </c>
      <c r="I37" s="3">
        <v>20</v>
      </c>
      <c r="J37" s="3">
        <v>4</v>
      </c>
      <c r="K37" s="3">
        <v>5</v>
      </c>
      <c r="L37" s="3">
        <v>3</v>
      </c>
      <c r="M37" s="4">
        <v>117124</v>
      </c>
      <c r="N37" s="5">
        <v>0.444</v>
      </c>
      <c r="O37" s="5">
        <v>0.333</v>
      </c>
      <c r="P37" s="5">
        <v>0.111</v>
      </c>
      <c r="Q37" s="3">
        <v>2</v>
      </c>
      <c r="R37" s="3">
        <v>112</v>
      </c>
    </row>
    <row r="38" ht="13.65" customHeight="1">
      <c r="A38" s="3">
        <f>5/4*8</f>
        <v>10</v>
      </c>
      <c r="B38" s="3">
        <v>4</v>
      </c>
      <c r="C38" s="3">
        <v>2</v>
      </c>
      <c r="D38" s="3">
        <v>3</v>
      </c>
      <c r="E38" s="3">
        <v>3.4</v>
      </c>
      <c r="F38" s="3">
        <v>121</v>
      </c>
      <c r="G38" s="3">
        <v>319.41</v>
      </c>
      <c r="H38" s="3">
        <v>53.235</v>
      </c>
      <c r="I38" s="3">
        <v>26</v>
      </c>
      <c r="J38" s="3">
        <v>4.333</v>
      </c>
      <c r="K38" s="3">
        <v>6</v>
      </c>
      <c r="L38" s="3">
        <v>3</v>
      </c>
      <c r="M38" s="4">
        <v>180805</v>
      </c>
      <c r="N38" s="5">
        <v>0.8</v>
      </c>
      <c r="O38" s="5">
        <v>0.1</v>
      </c>
      <c r="P38" s="5">
        <v>0</v>
      </c>
      <c r="Q38" s="3">
        <v>2</v>
      </c>
      <c r="R38" s="3">
        <v>112</v>
      </c>
    </row>
    <row r="39" ht="13.65" customHeight="1">
      <c r="A39" s="3">
        <v>10</v>
      </c>
      <c r="B39" s="3">
        <v>4</v>
      </c>
      <c r="C39" s="3">
        <v>2</v>
      </c>
      <c r="D39" s="3">
        <v>3</v>
      </c>
      <c r="E39" s="3">
        <v>3.4</v>
      </c>
      <c r="F39" s="3">
        <v>121</v>
      </c>
      <c r="G39" s="3">
        <v>413.21</v>
      </c>
      <c r="H39" s="3">
        <v>59.03</v>
      </c>
      <c r="I39" s="3">
        <v>33</v>
      </c>
      <c r="J39" s="3">
        <v>4.714</v>
      </c>
      <c r="K39" s="3">
        <v>7</v>
      </c>
      <c r="L39" s="3">
        <v>3</v>
      </c>
      <c r="M39" s="4">
        <v>77894</v>
      </c>
      <c r="N39" s="5">
        <v>0.5</v>
      </c>
      <c r="O39" s="5">
        <v>0.125</v>
      </c>
      <c r="P39" s="5">
        <v>0.125</v>
      </c>
      <c r="Q39" s="3">
        <v>2</v>
      </c>
      <c r="R39" s="3">
        <v>112</v>
      </c>
    </row>
    <row r="40" ht="13.65" customHeight="1">
      <c r="A40" s="3">
        <v>6.5</v>
      </c>
      <c r="B40" s="3">
        <v>1</v>
      </c>
      <c r="C40" s="3">
        <v>1</v>
      </c>
      <c r="D40" s="3">
        <v>1</v>
      </c>
      <c r="E40" s="3">
        <v>4.3</v>
      </c>
      <c r="F40" s="3">
        <v>122</v>
      </c>
      <c r="G40" s="3">
        <v>205.6</v>
      </c>
      <c r="H40" s="3">
        <v>51.4</v>
      </c>
      <c r="I40" s="3">
        <v>17</v>
      </c>
      <c r="J40" s="3">
        <v>4.25</v>
      </c>
      <c r="K40" s="3">
        <v>4</v>
      </c>
      <c r="L40" s="3">
        <v>3</v>
      </c>
      <c r="M40" s="4">
        <v>6456</v>
      </c>
      <c r="N40" s="5">
        <v>0.182</v>
      </c>
      <c r="O40" s="5">
        <v>0.182</v>
      </c>
      <c r="P40" s="5">
        <v>0.182</v>
      </c>
      <c r="Q40" s="3">
        <v>2</v>
      </c>
      <c r="R40" s="3">
        <v>111</v>
      </c>
    </row>
    <row r="41" ht="13.65" customHeight="1">
      <c r="A41" s="3">
        <f>9/8*8</f>
        <v>9</v>
      </c>
      <c r="B41" s="3">
        <v>3</v>
      </c>
      <c r="C41" s="3">
        <v>2</v>
      </c>
      <c r="D41" s="3">
        <v>3</v>
      </c>
      <c r="E41" s="3">
        <v>3.6</v>
      </c>
      <c r="F41" s="3">
        <v>122</v>
      </c>
      <c r="G41" s="3">
        <v>305.8</v>
      </c>
      <c r="H41" s="3">
        <v>61.16</v>
      </c>
      <c r="I41" s="3">
        <v>25</v>
      </c>
      <c r="J41" s="3">
        <v>5</v>
      </c>
      <c r="K41" s="3">
        <v>5</v>
      </c>
      <c r="L41" s="3">
        <v>3</v>
      </c>
      <c r="M41" s="4">
        <v>21465</v>
      </c>
      <c r="N41" s="5">
        <v>0.143</v>
      </c>
      <c r="O41" s="5">
        <v>0.143</v>
      </c>
      <c r="P41" s="5">
        <v>0.214</v>
      </c>
      <c r="Q41" s="3">
        <v>2</v>
      </c>
      <c r="R41" s="3">
        <v>111</v>
      </c>
    </row>
    <row r="42" ht="13.65" customHeight="1">
      <c r="A42" s="3">
        <v>9</v>
      </c>
      <c r="B42" s="3">
        <v>3</v>
      </c>
      <c r="C42" s="3">
        <v>2</v>
      </c>
      <c r="D42" s="3">
        <v>3</v>
      </c>
      <c r="E42" s="3">
        <v>3.6</v>
      </c>
      <c r="F42" s="3">
        <v>122</v>
      </c>
      <c r="G42" s="3">
        <f>48.4+50.06+50.5+49.21+50.6+50.1</f>
        <v>298.87</v>
      </c>
      <c r="H42" s="3">
        <v>49.812</v>
      </c>
      <c r="I42" s="3">
        <v>24</v>
      </c>
      <c r="J42" s="3">
        <v>4</v>
      </c>
      <c r="K42" s="3">
        <v>6</v>
      </c>
      <c r="L42" s="3">
        <v>3</v>
      </c>
      <c r="M42" s="4">
        <v>53807</v>
      </c>
      <c r="N42" s="5">
        <v>0.444</v>
      </c>
      <c r="O42" s="5">
        <v>0.222</v>
      </c>
      <c r="P42" s="5">
        <v>0.111</v>
      </c>
      <c r="Q42" s="3">
        <v>2</v>
      </c>
      <c r="R42" s="3">
        <v>111</v>
      </c>
    </row>
    <row r="43" ht="13.65" customHeight="1">
      <c r="A43" s="3">
        <v>9</v>
      </c>
      <c r="B43" s="3">
        <v>3</v>
      </c>
      <c r="C43" s="3">
        <v>2</v>
      </c>
      <c r="D43" s="3">
        <v>3</v>
      </c>
      <c r="E43" s="3">
        <v>5.8</v>
      </c>
      <c r="F43" s="3">
        <v>122</v>
      </c>
      <c r="G43" s="3">
        <f>75.4+73+59.4+60.2+48.4+73.8+62.4+49.8</f>
        <v>502.4</v>
      </c>
      <c r="H43" s="3">
        <v>62.8</v>
      </c>
      <c r="I43" s="3">
        <v>41</v>
      </c>
      <c r="J43" s="3">
        <v>5.125</v>
      </c>
      <c r="K43" s="3">
        <v>8</v>
      </c>
      <c r="L43" s="3">
        <v>3</v>
      </c>
      <c r="M43" s="4">
        <v>37960</v>
      </c>
      <c r="N43" s="5">
        <v>0.5</v>
      </c>
      <c r="O43" s="5">
        <v>0.1</v>
      </c>
      <c r="P43" s="5">
        <v>0.3</v>
      </c>
      <c r="Q43" s="3">
        <v>2</v>
      </c>
      <c r="R43" s="3">
        <v>111</v>
      </c>
    </row>
    <row r="44" ht="13.65" customHeight="1">
      <c r="A44" s="3">
        <v>7</v>
      </c>
      <c r="B44" s="3">
        <v>1</v>
      </c>
      <c r="C44" s="3">
        <v>1</v>
      </c>
      <c r="D44" s="3">
        <v>1</v>
      </c>
      <c r="E44" s="3">
        <v>1.05</v>
      </c>
      <c r="F44" s="3">
        <v>120</v>
      </c>
      <c r="G44" s="3">
        <f>61.43+50.77+48+48.37+36.84</f>
        <v>245.41</v>
      </c>
      <c r="H44" s="3">
        <v>49.082</v>
      </c>
      <c r="I44" s="3">
        <v>20</v>
      </c>
      <c r="J44" s="3">
        <v>4</v>
      </c>
      <c r="K44" s="3">
        <v>5</v>
      </c>
      <c r="L44" s="3">
        <v>3</v>
      </c>
      <c r="M44" s="6">
        <v>117124</v>
      </c>
      <c r="N44" s="5">
        <v>0.444</v>
      </c>
      <c r="O44" s="5">
        <v>0.333</v>
      </c>
      <c r="P44" s="5">
        <v>0.111</v>
      </c>
      <c r="Q44" s="3">
        <v>2</v>
      </c>
      <c r="R44" s="3">
        <v>111</v>
      </c>
    </row>
    <row r="45" ht="13.65" customHeight="1">
      <c r="A45" s="3">
        <v>12</v>
      </c>
      <c r="B45" s="3">
        <v>4</v>
      </c>
      <c r="C45" s="3">
        <v>1</v>
      </c>
      <c r="D45" s="3">
        <v>3</v>
      </c>
      <c r="E45" s="3">
        <v>0.2</v>
      </c>
      <c r="F45" s="3">
        <v>124</v>
      </c>
      <c r="G45" s="3">
        <f t="shared" si="11" ref="G45:G90">63.12+61.56+50.08+61.6+49.43</f>
        <v>285.79</v>
      </c>
      <c r="H45" s="3">
        <v>57.158</v>
      </c>
      <c r="I45" s="3">
        <v>23</v>
      </c>
      <c r="J45" s="3">
        <v>4.6</v>
      </c>
      <c r="K45" s="3">
        <v>5</v>
      </c>
      <c r="L45" s="7">
        <v>6</v>
      </c>
      <c r="M45" s="8">
        <v>400450</v>
      </c>
      <c r="N45" s="9">
        <v>0.364</v>
      </c>
      <c r="O45" s="5">
        <v>0.455</v>
      </c>
      <c r="P45" s="5">
        <v>0.045</v>
      </c>
      <c r="Q45" s="3">
        <v>1</v>
      </c>
      <c r="R45" s="3">
        <v>127</v>
      </c>
    </row>
    <row r="46" ht="13.65" customHeight="1">
      <c r="A46" s="3">
        <v>8</v>
      </c>
      <c r="B46" s="3">
        <v>1</v>
      </c>
      <c r="C46" s="3">
        <v>2</v>
      </c>
      <c r="D46" s="3">
        <v>4</v>
      </c>
      <c r="E46" s="3">
        <v>1.85</v>
      </c>
      <c r="F46" s="3">
        <v>115</v>
      </c>
      <c r="G46" s="3">
        <f t="shared" si="12" ref="G46:G82">49.04+49.99+50+48.82</f>
        <v>197.85</v>
      </c>
      <c r="H46" s="3">
        <v>49.463</v>
      </c>
      <c r="I46" s="3">
        <v>16</v>
      </c>
      <c r="J46" s="3">
        <v>4</v>
      </c>
      <c r="K46" s="3">
        <v>4</v>
      </c>
      <c r="L46" s="7">
        <v>5</v>
      </c>
      <c r="M46" s="8">
        <v>33950</v>
      </c>
      <c r="N46" s="9">
        <v>0.267</v>
      </c>
      <c r="O46" s="5">
        <v>0.133</v>
      </c>
      <c r="P46" s="5">
        <v>0.133</v>
      </c>
      <c r="Q46" s="3">
        <v>1</v>
      </c>
      <c r="R46" s="3">
        <v>125</v>
      </c>
    </row>
    <row r="47" ht="13.65" customHeight="1">
      <c r="A47" s="3">
        <v>12</v>
      </c>
      <c r="B47" s="3">
        <v>4</v>
      </c>
      <c r="C47" s="3">
        <v>1</v>
      </c>
      <c r="D47" s="3">
        <v>3</v>
      </c>
      <c r="E47" s="3">
        <v>5.5</v>
      </c>
      <c r="F47" s="3">
        <v>116</v>
      </c>
      <c r="G47" s="3">
        <f t="shared" si="13" ref="G47:G83">63.15+61.56+50.08+61.6+49.54</f>
        <v>285.93</v>
      </c>
      <c r="H47" s="3">
        <v>57.186</v>
      </c>
      <c r="I47" s="3">
        <v>23</v>
      </c>
      <c r="J47" s="3">
        <v>4.6</v>
      </c>
      <c r="K47" s="3">
        <v>5</v>
      </c>
      <c r="L47" s="7">
        <v>4</v>
      </c>
      <c r="M47" s="8">
        <v>45301</v>
      </c>
      <c r="N47" s="9">
        <v>0.231</v>
      </c>
      <c r="O47" s="5">
        <v>0.462</v>
      </c>
      <c r="P47" s="5">
        <v>0.077</v>
      </c>
      <c r="Q47" s="3">
        <v>1</v>
      </c>
      <c r="R47" s="3">
        <v>125</v>
      </c>
    </row>
    <row r="48" ht="13.65" customHeight="1">
      <c r="A48" s="3">
        <v>9</v>
      </c>
      <c r="B48" s="3">
        <v>3</v>
      </c>
      <c r="C48" s="3">
        <v>1</v>
      </c>
      <c r="D48" s="3">
        <v>3</v>
      </c>
      <c r="E48" s="3">
        <v>46.1</v>
      </c>
      <c r="F48" s="3">
        <v>118</v>
      </c>
      <c r="G48" s="3">
        <v>370.8</v>
      </c>
      <c r="H48" s="3">
        <v>61.8</v>
      </c>
      <c r="I48" s="3">
        <v>30</v>
      </c>
      <c r="J48" s="3">
        <v>5</v>
      </c>
      <c r="K48" s="3">
        <v>6</v>
      </c>
      <c r="L48" s="7">
        <v>5</v>
      </c>
      <c r="M48" s="8">
        <v>33123</v>
      </c>
      <c r="N48" s="9">
        <v>0.227</v>
      </c>
      <c r="O48" s="5">
        <v>0.136</v>
      </c>
      <c r="P48" s="5">
        <v>0.227</v>
      </c>
      <c r="Q48" s="3">
        <v>1</v>
      </c>
      <c r="R48" s="3">
        <v>124</v>
      </c>
    </row>
    <row r="49" ht="13.65" customHeight="1">
      <c r="A49" s="3">
        <v>9</v>
      </c>
      <c r="B49" s="3">
        <v>3</v>
      </c>
      <c r="C49" s="3">
        <v>1</v>
      </c>
      <c r="D49" s="3">
        <v>3</v>
      </c>
      <c r="E49" s="3">
        <v>2.5</v>
      </c>
      <c r="F49" s="3">
        <v>118</v>
      </c>
      <c r="G49" s="3">
        <v>544.2</v>
      </c>
      <c r="H49" s="3">
        <v>60.467</v>
      </c>
      <c r="I49" s="3">
        <v>45</v>
      </c>
      <c r="J49" s="3">
        <v>5</v>
      </c>
      <c r="K49" s="3">
        <v>9</v>
      </c>
      <c r="L49" s="7">
        <v>8</v>
      </c>
      <c r="M49" s="8">
        <v>64732</v>
      </c>
      <c r="N49" s="9">
        <v>0.444</v>
      </c>
      <c r="O49" s="5">
        <v>0.222</v>
      </c>
      <c r="P49" s="5">
        <v>0.111</v>
      </c>
      <c r="Q49" s="3">
        <v>1</v>
      </c>
      <c r="R49" s="3">
        <v>124</v>
      </c>
    </row>
    <row r="50" ht="13.65" customHeight="1">
      <c r="A50" s="3">
        <v>9</v>
      </c>
      <c r="B50" s="3">
        <v>1</v>
      </c>
      <c r="C50" s="3">
        <v>1</v>
      </c>
      <c r="D50" s="3">
        <v>1</v>
      </c>
      <c r="E50" s="3">
        <v>2.35</v>
      </c>
      <c r="F50" s="3">
        <v>120</v>
      </c>
      <c r="G50" s="3">
        <v>98.2</v>
      </c>
      <c r="H50" s="3">
        <v>49.1</v>
      </c>
      <c r="I50" s="3">
        <v>8</v>
      </c>
      <c r="J50" s="3">
        <v>4</v>
      </c>
      <c r="K50" s="3">
        <v>2</v>
      </c>
      <c r="L50" s="7">
        <v>4</v>
      </c>
      <c r="M50" s="8">
        <v>217378</v>
      </c>
      <c r="N50" s="9">
        <v>0.333</v>
      </c>
      <c r="O50" s="5">
        <v>0.333</v>
      </c>
      <c r="P50" s="5">
        <v>0.111</v>
      </c>
      <c r="Q50" s="3">
        <v>1</v>
      </c>
      <c r="R50" s="3">
        <v>124</v>
      </c>
    </row>
    <row r="51" ht="13.65" customHeight="1">
      <c r="A51" s="3">
        <v>10</v>
      </c>
      <c r="B51" s="3">
        <v>1</v>
      </c>
      <c r="C51" s="3">
        <v>1</v>
      </c>
      <c r="D51" s="3">
        <v>1</v>
      </c>
      <c r="E51" s="3">
        <v>11.7</v>
      </c>
      <c r="F51" s="3">
        <v>126</v>
      </c>
      <c r="G51" s="3">
        <v>277.4</v>
      </c>
      <c r="H51" s="3">
        <v>55.48</v>
      </c>
      <c r="I51" s="3">
        <v>23</v>
      </c>
      <c r="J51" s="3">
        <v>4.6</v>
      </c>
      <c r="K51" s="3">
        <v>5</v>
      </c>
      <c r="L51" s="7">
        <v>3</v>
      </c>
      <c r="M51" s="8">
        <v>156920</v>
      </c>
      <c r="N51" s="9">
        <v>0.8</v>
      </c>
      <c r="O51" s="5">
        <v>0</v>
      </c>
      <c r="P51" s="5">
        <v>0.2</v>
      </c>
      <c r="Q51" s="3">
        <v>1</v>
      </c>
      <c r="R51" s="3">
        <v>123</v>
      </c>
    </row>
    <row r="52" ht="13.65" customHeight="1">
      <c r="A52" s="3">
        <v>8</v>
      </c>
      <c r="B52" s="3">
        <v>1</v>
      </c>
      <c r="C52" s="3">
        <v>2</v>
      </c>
      <c r="D52" s="3">
        <v>1</v>
      </c>
      <c r="E52" s="3">
        <v>9.699999999999999</v>
      </c>
      <c r="F52" s="3">
        <v>114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7">
        <v>4</v>
      </c>
      <c r="M52" s="8">
        <v>72410</v>
      </c>
      <c r="N52" s="9">
        <v>0.4</v>
      </c>
      <c r="O52" s="5">
        <v>0</v>
      </c>
      <c r="P52" s="5">
        <v>0.1</v>
      </c>
      <c r="Q52" s="3">
        <v>1</v>
      </c>
      <c r="R52" s="3">
        <v>122</v>
      </c>
    </row>
    <row r="53" ht="13.65" customHeight="1">
      <c r="A53" s="3">
        <v>8</v>
      </c>
      <c r="B53" s="3">
        <v>1</v>
      </c>
      <c r="C53" s="3">
        <v>2</v>
      </c>
      <c r="D53" s="3">
        <v>1</v>
      </c>
      <c r="E53" s="3">
        <v>2.7</v>
      </c>
      <c r="F53" s="3">
        <v>115</v>
      </c>
      <c r="G53" s="3">
        <v>37.6</v>
      </c>
      <c r="H53" s="3">
        <v>37.6</v>
      </c>
      <c r="I53" s="3">
        <v>3</v>
      </c>
      <c r="J53" s="3">
        <v>3</v>
      </c>
      <c r="K53" s="3">
        <v>1</v>
      </c>
      <c r="L53" s="7">
        <v>4</v>
      </c>
      <c r="M53" s="8">
        <v>94733</v>
      </c>
      <c r="N53" s="9">
        <v>0.333</v>
      </c>
      <c r="O53" s="5">
        <v>0.333</v>
      </c>
      <c r="P53" s="5">
        <v>0</v>
      </c>
      <c r="Q53" s="3">
        <v>1</v>
      </c>
      <c r="R53" s="3">
        <v>122</v>
      </c>
    </row>
    <row r="54" ht="13.65" customHeight="1">
      <c r="A54" s="3">
        <v>5</v>
      </c>
      <c r="B54" s="3">
        <v>3</v>
      </c>
      <c r="C54" s="3">
        <v>1</v>
      </c>
      <c r="D54" s="3">
        <v>3</v>
      </c>
      <c r="E54" s="3">
        <v>8.800000000000001</v>
      </c>
      <c r="F54" s="3">
        <v>120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7">
        <v>4</v>
      </c>
      <c r="M54" s="8">
        <v>15935</v>
      </c>
      <c r="N54" s="9">
        <v>0.286</v>
      </c>
      <c r="O54" s="5">
        <v>0.238</v>
      </c>
      <c r="P54" s="5">
        <v>0.095</v>
      </c>
      <c r="Q54" s="3">
        <v>1</v>
      </c>
      <c r="R54" s="3">
        <v>122</v>
      </c>
    </row>
    <row r="55" ht="13.65" customHeight="1">
      <c r="A55" s="3">
        <v>12</v>
      </c>
      <c r="B55" s="3">
        <v>4</v>
      </c>
      <c r="C55" s="3">
        <v>1</v>
      </c>
      <c r="D55" s="3">
        <v>3</v>
      </c>
      <c r="E55" s="3">
        <v>0.7</v>
      </c>
      <c r="F55" s="3">
        <v>122</v>
      </c>
      <c r="G55" s="3">
        <f t="shared" si="11"/>
        <v>285.79</v>
      </c>
      <c r="H55" s="3">
        <v>57.158</v>
      </c>
      <c r="I55" s="3">
        <v>23</v>
      </c>
      <c r="J55" s="3">
        <v>4.6</v>
      </c>
      <c r="K55" s="3">
        <v>5</v>
      </c>
      <c r="L55" s="3">
        <v>6</v>
      </c>
      <c r="M55" s="10">
        <v>400450</v>
      </c>
      <c r="N55" s="5">
        <v>0.364</v>
      </c>
      <c r="O55" s="5">
        <v>0.455</v>
      </c>
      <c r="P55" s="5">
        <v>0.045</v>
      </c>
      <c r="Q55" s="3">
        <v>1</v>
      </c>
      <c r="R55" s="3">
        <v>122</v>
      </c>
    </row>
    <row r="56" ht="13.65" customHeight="1">
      <c r="A56" s="3">
        <v>12</v>
      </c>
      <c r="B56" s="3">
        <v>4</v>
      </c>
      <c r="C56" s="3">
        <v>1</v>
      </c>
      <c r="D56" s="3">
        <v>3</v>
      </c>
      <c r="E56" s="3">
        <v>13.1</v>
      </c>
      <c r="F56" s="3">
        <v>122</v>
      </c>
      <c r="G56" s="3">
        <v>299.04</v>
      </c>
      <c r="H56" s="3">
        <v>59.808</v>
      </c>
      <c r="I56" s="3">
        <v>24</v>
      </c>
      <c r="J56" s="3">
        <v>4.8</v>
      </c>
      <c r="K56" s="3">
        <v>5</v>
      </c>
      <c r="L56" s="7">
        <v>7</v>
      </c>
      <c r="M56" s="8">
        <v>58333</v>
      </c>
      <c r="N56" s="9">
        <v>0.229</v>
      </c>
      <c r="O56" s="5">
        <v>0.143</v>
      </c>
      <c r="P56" s="5">
        <v>0.286</v>
      </c>
      <c r="Q56" s="3">
        <v>1</v>
      </c>
      <c r="R56" s="3">
        <v>122</v>
      </c>
    </row>
    <row r="57" ht="13.65" customHeight="1">
      <c r="A57" s="3">
        <v>8.5</v>
      </c>
      <c r="B57" s="3">
        <v>3</v>
      </c>
      <c r="C57" s="3">
        <v>1</v>
      </c>
      <c r="D57" s="3">
        <v>3</v>
      </c>
      <c r="E57" s="3">
        <v>0.4</v>
      </c>
      <c r="F57" s="3">
        <v>123</v>
      </c>
      <c r="G57" s="3">
        <f t="shared" si="15" ref="G57:G95">SUM(49.71+59.88+58.44+47.04+53.11)</f>
        <v>268.18</v>
      </c>
      <c r="H57" s="3">
        <v>53.636</v>
      </c>
      <c r="I57" s="3">
        <f t="shared" si="16" ref="I57:I95">SUM(4+5+5+4+4)</f>
        <v>22</v>
      </c>
      <c r="J57" s="3">
        <v>4.4</v>
      </c>
      <c r="K57" s="3">
        <v>5</v>
      </c>
      <c r="L57" s="3">
        <v>5</v>
      </c>
      <c r="M57" s="11">
        <v>191329</v>
      </c>
      <c r="N57" s="5">
        <v>0.619</v>
      </c>
      <c r="O57" s="5">
        <v>0.143</v>
      </c>
      <c r="P57" s="5">
        <v>0.048</v>
      </c>
      <c r="Q57" s="3">
        <v>2</v>
      </c>
      <c r="R57" s="3">
        <v>125</v>
      </c>
    </row>
    <row r="58" ht="13.65" customHeight="1">
      <c r="A58" s="3">
        <v>8</v>
      </c>
      <c r="B58" s="3">
        <v>3</v>
      </c>
      <c r="C58" s="3">
        <v>1</v>
      </c>
      <c r="D58" s="3">
        <v>3</v>
      </c>
      <c r="E58" s="3">
        <v>6.3</v>
      </c>
      <c r="F58" s="3">
        <v>113</v>
      </c>
      <c r="G58" s="3">
        <v>184.2</v>
      </c>
      <c r="H58" s="3">
        <v>61.4</v>
      </c>
      <c r="I58" s="3">
        <v>15</v>
      </c>
      <c r="J58" s="3">
        <v>5</v>
      </c>
      <c r="K58" s="3">
        <v>3</v>
      </c>
      <c r="L58" s="7">
        <v>4</v>
      </c>
      <c r="M58" s="8">
        <v>47157</v>
      </c>
      <c r="N58" s="9">
        <v>0.308</v>
      </c>
      <c r="O58" s="5">
        <v>0.231</v>
      </c>
      <c r="P58" s="5">
        <v>0.154</v>
      </c>
      <c r="Q58" s="3">
        <v>2</v>
      </c>
      <c r="R58" s="3">
        <v>123</v>
      </c>
    </row>
    <row r="59" ht="13.65" customHeight="1">
      <c r="A59" s="3">
        <v>8.5</v>
      </c>
      <c r="B59" s="3">
        <v>1</v>
      </c>
      <c r="C59" s="3">
        <v>2</v>
      </c>
      <c r="D59" s="3">
        <v>1</v>
      </c>
      <c r="E59" s="3">
        <v>0.3</v>
      </c>
      <c r="F59" s="3">
        <v>124</v>
      </c>
      <c r="G59" s="3">
        <v>384.12</v>
      </c>
      <c r="H59" s="3">
        <v>54.874</v>
      </c>
      <c r="I59" s="3">
        <v>32</v>
      </c>
      <c r="J59" s="3">
        <v>4.571</v>
      </c>
      <c r="K59" s="3">
        <v>7</v>
      </c>
      <c r="L59" s="3">
        <v>3</v>
      </c>
      <c r="M59" s="12">
        <v>306545</v>
      </c>
      <c r="N59" s="5">
        <v>1</v>
      </c>
      <c r="O59" s="5">
        <v>0</v>
      </c>
      <c r="P59" s="5">
        <v>0</v>
      </c>
      <c r="Q59" s="3">
        <v>2</v>
      </c>
      <c r="R59" s="3">
        <v>122</v>
      </c>
    </row>
    <row r="60" ht="13.65" customHeight="1">
      <c r="A60" s="3">
        <v>8</v>
      </c>
      <c r="B60" s="3">
        <v>3</v>
      </c>
      <c r="C60" s="3">
        <v>2</v>
      </c>
      <c r="D60" s="3">
        <v>2</v>
      </c>
      <c r="E60" s="3">
        <v>5.3</v>
      </c>
      <c r="F60" s="3">
        <v>119</v>
      </c>
      <c r="G60" s="3">
        <f t="shared" si="17" ref="G60:G98">SUM(61.19+49.12+50.05+50.9+38.11)</f>
        <v>249.37</v>
      </c>
      <c r="H60" s="3">
        <v>49.874</v>
      </c>
      <c r="I60" s="3">
        <f t="shared" si="18" ref="I60:I98">SUM(5+4+4+4+3)</f>
        <v>20</v>
      </c>
      <c r="J60" s="3">
        <v>4</v>
      </c>
      <c r="K60" s="3">
        <v>5</v>
      </c>
      <c r="L60" s="3">
        <v>3</v>
      </c>
      <c r="M60" s="4">
        <v>65396</v>
      </c>
      <c r="N60" s="5">
        <v>0.5</v>
      </c>
      <c r="O60" s="5">
        <v>0.167</v>
      </c>
      <c r="P60" s="5">
        <v>0.083</v>
      </c>
      <c r="Q60" s="3">
        <v>2</v>
      </c>
      <c r="R60" s="3">
        <v>121</v>
      </c>
    </row>
    <row r="61" ht="13.65" customHeight="1">
      <c r="A61" s="3">
        <v>8</v>
      </c>
      <c r="B61" s="3">
        <v>3</v>
      </c>
      <c r="C61" s="3">
        <v>3</v>
      </c>
      <c r="D61" s="3">
        <v>2</v>
      </c>
      <c r="E61" s="3">
        <v>0.4</v>
      </c>
      <c r="F61" s="3">
        <v>123</v>
      </c>
      <c r="G61" s="3">
        <f t="shared" si="15"/>
        <v>268.18</v>
      </c>
      <c r="H61" s="3">
        <v>53.636</v>
      </c>
      <c r="I61" s="3">
        <f t="shared" si="16"/>
        <v>22</v>
      </c>
      <c r="J61" s="3">
        <v>4.4</v>
      </c>
      <c r="K61" s="3">
        <v>5</v>
      </c>
      <c r="L61" s="3">
        <v>5</v>
      </c>
      <c r="M61" s="4">
        <v>191329</v>
      </c>
      <c r="N61" s="5">
        <v>0.619</v>
      </c>
      <c r="O61" s="5">
        <v>0.143</v>
      </c>
      <c r="P61" s="5">
        <v>0.048</v>
      </c>
      <c r="Q61" s="3">
        <v>2</v>
      </c>
      <c r="R61" s="3">
        <v>125</v>
      </c>
    </row>
    <row r="62" ht="13.65" customHeight="1">
      <c r="A62" s="3">
        <v>8.5</v>
      </c>
      <c r="B62" s="3">
        <v>1</v>
      </c>
      <c r="C62" s="3">
        <v>1</v>
      </c>
      <c r="D62" s="3">
        <v>1</v>
      </c>
      <c r="E62" s="3">
        <v>0.4</v>
      </c>
      <c r="F62" s="3">
        <v>125</v>
      </c>
      <c r="G62" s="3">
        <f t="shared" si="21" ref="G62:G96">72.6+86.4+62.2+37.4+47+59</f>
        <v>364.6</v>
      </c>
      <c r="H62" s="3">
        <v>60.767</v>
      </c>
      <c r="I62" s="3">
        <f t="shared" si="22" ref="I62:I96">6+7+5+3+4+5</f>
        <v>30</v>
      </c>
      <c r="J62" s="3">
        <v>5</v>
      </c>
      <c r="K62" s="3">
        <v>6</v>
      </c>
      <c r="L62" s="3">
        <v>6</v>
      </c>
      <c r="M62" s="4">
        <v>202264</v>
      </c>
      <c r="N62" s="5">
        <v>0.68</v>
      </c>
      <c r="O62" s="5">
        <v>0.24</v>
      </c>
      <c r="P62" s="5">
        <v>0</v>
      </c>
      <c r="Q62" s="3">
        <v>2</v>
      </c>
      <c r="R62" s="3">
        <v>120</v>
      </c>
    </row>
    <row r="63" ht="13.65" customHeight="1">
      <c r="A63" s="3">
        <v>8.5</v>
      </c>
      <c r="B63" s="3">
        <v>1</v>
      </c>
      <c r="C63" s="3">
        <v>1</v>
      </c>
      <c r="D63" s="3">
        <v>1</v>
      </c>
      <c r="E63" s="3">
        <v>2</v>
      </c>
      <c r="F63" s="3">
        <v>125</v>
      </c>
      <c r="G63" s="3">
        <f t="shared" si="23" ref="G63:G97">72.4+74+60.4+61.4+48.6+49</f>
        <v>365.8</v>
      </c>
      <c r="H63" s="3">
        <v>60.967</v>
      </c>
      <c r="I63" s="3">
        <f t="shared" si="24" ref="I63:I97">6+6+5+5+4+4</f>
        <v>30</v>
      </c>
      <c r="J63" s="3">
        <v>5</v>
      </c>
      <c r="K63" s="3">
        <v>6</v>
      </c>
      <c r="L63" s="3">
        <v>4</v>
      </c>
      <c r="M63" s="4">
        <v>123018</v>
      </c>
      <c r="N63" s="5">
        <v>0.636</v>
      </c>
      <c r="O63" s="5">
        <v>0.182</v>
      </c>
      <c r="P63" s="5">
        <v>0.091</v>
      </c>
      <c r="Q63" s="3">
        <v>2</v>
      </c>
      <c r="R63" s="3">
        <v>120</v>
      </c>
    </row>
    <row r="64" ht="13.65" customHeight="1">
      <c r="A64" s="3">
        <v>8</v>
      </c>
      <c r="B64" s="3">
        <v>3</v>
      </c>
      <c r="C64" s="3">
        <v>1</v>
      </c>
      <c r="D64" s="3">
        <v>3</v>
      </c>
      <c r="E64" s="3">
        <v>7.5</v>
      </c>
      <c r="F64" s="3">
        <v>121</v>
      </c>
      <c r="G64" s="3">
        <f t="shared" si="17"/>
        <v>249.37</v>
      </c>
      <c r="H64" s="3">
        <v>49.874</v>
      </c>
      <c r="I64" s="3">
        <f t="shared" si="18"/>
        <v>20</v>
      </c>
      <c r="J64" s="3">
        <v>4</v>
      </c>
      <c r="K64" s="3">
        <v>5</v>
      </c>
      <c r="L64" s="3">
        <v>4</v>
      </c>
      <c r="M64" s="4">
        <v>65396</v>
      </c>
      <c r="N64" s="5">
        <v>0.5</v>
      </c>
      <c r="O64" s="5">
        <v>0.167</v>
      </c>
      <c r="P64" s="5">
        <v>0.083</v>
      </c>
      <c r="Q64" s="3">
        <v>2</v>
      </c>
      <c r="R64" s="3">
        <v>119</v>
      </c>
    </row>
    <row r="65" ht="13.65" customHeight="1">
      <c r="A65" s="3">
        <v>8.5</v>
      </c>
      <c r="B65" s="3">
        <v>3</v>
      </c>
      <c r="C65" s="3">
        <v>1</v>
      </c>
      <c r="D65" s="3">
        <v>3</v>
      </c>
      <c r="E65" s="3">
        <v>27.75</v>
      </c>
      <c r="F65" s="3">
        <v>119</v>
      </c>
      <c r="G65" s="3">
        <f t="shared" si="27" ref="G65:G99">62.65+52.22+52.43</f>
        <v>167.3</v>
      </c>
      <c r="H65" s="3">
        <v>55.767</v>
      </c>
      <c r="I65" s="3">
        <f t="shared" si="28" ref="I65:I99">5+4+4</f>
        <v>13</v>
      </c>
      <c r="J65" s="3">
        <v>4.333</v>
      </c>
      <c r="K65" s="3">
        <v>3</v>
      </c>
      <c r="L65" s="3">
        <v>6</v>
      </c>
      <c r="M65" s="4">
        <v>30136</v>
      </c>
      <c r="N65" s="5">
        <v>0.286</v>
      </c>
      <c r="O65" s="5">
        <v>0.19</v>
      </c>
      <c r="P65" s="5">
        <v>0.143</v>
      </c>
      <c r="Q65" s="3">
        <v>2</v>
      </c>
      <c r="R65" s="3">
        <v>119</v>
      </c>
    </row>
    <row r="66" ht="13.65" customHeight="1">
      <c r="A66" s="3">
        <v>9</v>
      </c>
      <c r="B66" s="3">
        <v>1</v>
      </c>
      <c r="C66" s="3">
        <v>4</v>
      </c>
      <c r="D66" s="3">
        <v>5</v>
      </c>
      <c r="E66" s="3">
        <v>0.9</v>
      </c>
      <c r="F66" s="3">
        <v>122</v>
      </c>
      <c r="G66" s="3">
        <f t="shared" si="29" ref="G66:G100">49.57+49.83</f>
        <v>99.40000000000001</v>
      </c>
      <c r="H66" s="3">
        <v>49.7</v>
      </c>
      <c r="I66" s="3">
        <v>8</v>
      </c>
      <c r="J66" s="3">
        <v>4</v>
      </c>
      <c r="K66" s="3">
        <v>2</v>
      </c>
      <c r="L66" s="3">
        <v>4</v>
      </c>
      <c r="M66" s="4">
        <v>126328</v>
      </c>
      <c r="N66" s="5">
        <v>0.5</v>
      </c>
      <c r="O66" s="5">
        <v>0.25</v>
      </c>
      <c r="P66" s="5">
        <v>0.167</v>
      </c>
      <c r="Q66" s="3">
        <v>2</v>
      </c>
      <c r="R66" s="3">
        <v>118</v>
      </c>
    </row>
    <row r="67" ht="13.65" customHeight="1">
      <c r="A67" s="3">
        <v>12</v>
      </c>
      <c r="B67" s="3">
        <v>4</v>
      </c>
      <c r="C67" s="3">
        <v>1</v>
      </c>
      <c r="D67" s="3">
        <v>3</v>
      </c>
      <c r="E67" s="3">
        <v>0.2</v>
      </c>
      <c r="F67" s="3">
        <v>124</v>
      </c>
      <c r="G67" s="3">
        <f t="shared" si="11"/>
        <v>285.79</v>
      </c>
      <c r="H67" s="3">
        <v>57.158</v>
      </c>
      <c r="I67" s="3">
        <f t="shared" si="31" ref="I67:I90">5+5+4+5+4</f>
        <v>23</v>
      </c>
      <c r="J67" s="3">
        <v>4.6</v>
      </c>
      <c r="K67" s="3">
        <v>5</v>
      </c>
      <c r="L67" s="3">
        <v>6</v>
      </c>
      <c r="M67" s="4">
        <v>400450</v>
      </c>
      <c r="N67" s="5">
        <v>0.363</v>
      </c>
      <c r="O67" s="5">
        <v>0.455</v>
      </c>
      <c r="P67" s="5">
        <v>0.045</v>
      </c>
      <c r="Q67" s="3">
        <v>1</v>
      </c>
      <c r="R67" s="3">
        <v>127</v>
      </c>
    </row>
    <row r="68" ht="13.65" customHeight="1">
      <c r="A68" s="3">
        <v>8.5</v>
      </c>
      <c r="B68" s="3">
        <v>3</v>
      </c>
      <c r="C68" s="3">
        <v>1</v>
      </c>
      <c r="D68" s="3">
        <v>3</v>
      </c>
      <c r="E68" s="3">
        <v>0.4</v>
      </c>
      <c r="F68" s="3">
        <v>123</v>
      </c>
      <c r="G68" s="3">
        <f t="shared" si="15"/>
        <v>268.18</v>
      </c>
      <c r="H68" s="3">
        <v>53.636</v>
      </c>
      <c r="I68" s="3">
        <f t="shared" si="16"/>
        <v>22</v>
      </c>
      <c r="J68" s="3">
        <v>4.4</v>
      </c>
      <c r="K68" s="3">
        <v>5</v>
      </c>
      <c r="L68" s="3">
        <v>5</v>
      </c>
      <c r="M68" s="4">
        <v>191329</v>
      </c>
      <c r="N68" s="5">
        <v>0.619</v>
      </c>
      <c r="O68" s="5">
        <v>0.143</v>
      </c>
      <c r="P68" s="5">
        <v>0.048</v>
      </c>
      <c r="Q68" s="3">
        <v>2</v>
      </c>
      <c r="R68" s="3">
        <v>125</v>
      </c>
    </row>
    <row r="69" ht="13.65" customHeight="1">
      <c r="A69" s="3">
        <v>8</v>
      </c>
      <c r="B69" s="3">
        <v>1</v>
      </c>
      <c r="C69" s="3">
        <v>2</v>
      </c>
      <c r="D69" s="3">
        <v>4</v>
      </c>
      <c r="E69" s="3">
        <v>1.85</v>
      </c>
      <c r="F69" s="3">
        <v>115</v>
      </c>
      <c r="G69" s="3">
        <f t="shared" si="12"/>
        <v>197.85</v>
      </c>
      <c r="H69" s="3">
        <v>49.463</v>
      </c>
      <c r="I69" s="3">
        <v>16</v>
      </c>
      <c r="J69" s="3">
        <v>4</v>
      </c>
      <c r="K69" s="3">
        <v>4</v>
      </c>
      <c r="L69" s="3">
        <v>5</v>
      </c>
      <c r="M69" s="4">
        <v>33950</v>
      </c>
      <c r="N69" s="5">
        <v>0.267</v>
      </c>
      <c r="O69" s="5">
        <v>0.133</v>
      </c>
      <c r="P69" s="5">
        <v>0.133</v>
      </c>
      <c r="Q69" s="3">
        <v>1</v>
      </c>
      <c r="R69" s="3">
        <v>125</v>
      </c>
    </row>
    <row r="70" ht="13.65" customHeight="1">
      <c r="A70" s="3">
        <v>12</v>
      </c>
      <c r="B70" s="3">
        <v>4</v>
      </c>
      <c r="C70" s="3">
        <v>1</v>
      </c>
      <c r="D70" s="3">
        <v>3</v>
      </c>
      <c r="E70" s="3">
        <v>5.5</v>
      </c>
      <c r="F70" s="3">
        <v>116</v>
      </c>
      <c r="G70" s="3">
        <f t="shared" si="13"/>
        <v>285.93</v>
      </c>
      <c r="H70" s="3">
        <v>57.186</v>
      </c>
      <c r="I70" s="3">
        <v>23</v>
      </c>
      <c r="J70" s="3">
        <v>4.6</v>
      </c>
      <c r="K70" s="3">
        <v>5</v>
      </c>
      <c r="L70" s="3">
        <v>4</v>
      </c>
      <c r="M70" s="13">
        <v>45301</v>
      </c>
      <c r="N70" s="5">
        <v>0.231</v>
      </c>
      <c r="O70" s="5">
        <v>0.462</v>
      </c>
      <c r="P70" s="5">
        <v>0.077</v>
      </c>
      <c r="Q70" s="3">
        <v>1</v>
      </c>
      <c r="R70" s="3">
        <v>125</v>
      </c>
    </row>
    <row r="71" ht="13.65" customHeight="1">
      <c r="A71" s="3">
        <v>9</v>
      </c>
      <c r="B71" s="3">
        <v>3</v>
      </c>
      <c r="C71" s="3">
        <v>1</v>
      </c>
      <c r="D71" s="3">
        <v>3</v>
      </c>
      <c r="E71" s="3">
        <v>46.1</v>
      </c>
      <c r="F71" s="3">
        <v>118</v>
      </c>
      <c r="G71" s="3">
        <v>370.8</v>
      </c>
      <c r="H71" s="3">
        <v>61.8</v>
      </c>
      <c r="I71" s="3">
        <v>30</v>
      </c>
      <c r="J71" s="3">
        <v>5</v>
      </c>
      <c r="K71" s="3">
        <v>6</v>
      </c>
      <c r="L71" s="3">
        <v>5</v>
      </c>
      <c r="M71" s="13">
        <v>33123</v>
      </c>
      <c r="N71" s="5">
        <v>0.227</v>
      </c>
      <c r="O71" s="5">
        <v>0.136</v>
      </c>
      <c r="P71" s="5">
        <v>0.227</v>
      </c>
      <c r="Q71" s="3">
        <v>1</v>
      </c>
      <c r="R71" s="3">
        <v>124</v>
      </c>
    </row>
    <row r="72" ht="13.65" customHeight="1">
      <c r="A72" s="3">
        <v>9</v>
      </c>
      <c r="B72" s="3">
        <v>3</v>
      </c>
      <c r="C72" s="3">
        <v>1</v>
      </c>
      <c r="D72" s="3">
        <v>3</v>
      </c>
      <c r="E72" s="3">
        <v>2.5</v>
      </c>
      <c r="F72" s="3">
        <v>118</v>
      </c>
      <c r="G72" s="3">
        <v>544.2</v>
      </c>
      <c r="H72" s="3">
        <v>60.467</v>
      </c>
      <c r="I72" s="3">
        <v>45</v>
      </c>
      <c r="J72" s="3">
        <v>5</v>
      </c>
      <c r="K72" s="3">
        <v>9</v>
      </c>
      <c r="L72" s="3">
        <v>8</v>
      </c>
      <c r="M72" s="13">
        <v>64732</v>
      </c>
      <c r="N72" s="5">
        <v>0.444</v>
      </c>
      <c r="O72" s="5">
        <v>0.222</v>
      </c>
      <c r="P72" s="5">
        <v>0.111</v>
      </c>
      <c r="Q72" s="3">
        <v>1</v>
      </c>
      <c r="R72" s="3">
        <v>124</v>
      </c>
    </row>
    <row r="73" ht="13.65" customHeight="1">
      <c r="A73" s="3">
        <v>9</v>
      </c>
      <c r="B73" s="3">
        <v>1</v>
      </c>
      <c r="C73" s="3">
        <v>1</v>
      </c>
      <c r="D73" s="3">
        <v>1</v>
      </c>
      <c r="E73" s="3">
        <v>0.5</v>
      </c>
      <c r="F73" s="3">
        <v>124</v>
      </c>
      <c r="G73" s="3">
        <v>98.2</v>
      </c>
      <c r="H73" s="3">
        <v>49.1</v>
      </c>
      <c r="I73" s="3">
        <v>8</v>
      </c>
      <c r="J73" s="3">
        <v>4</v>
      </c>
      <c r="K73" s="3">
        <v>2</v>
      </c>
      <c r="L73" s="3">
        <v>4</v>
      </c>
      <c r="M73" s="13">
        <v>217378</v>
      </c>
      <c r="N73" s="5">
        <v>0.333</v>
      </c>
      <c r="O73" s="5">
        <v>0.333</v>
      </c>
      <c r="P73" s="5">
        <v>0.111</v>
      </c>
      <c r="Q73" s="3">
        <v>1</v>
      </c>
      <c r="R73" s="3">
        <v>124</v>
      </c>
    </row>
    <row r="74" ht="13.65" customHeight="1">
      <c r="A74" s="3">
        <v>8</v>
      </c>
      <c r="B74" s="3">
        <v>3</v>
      </c>
      <c r="C74" s="3">
        <v>1</v>
      </c>
      <c r="D74" s="3">
        <v>3</v>
      </c>
      <c r="E74" s="3">
        <v>6.3</v>
      </c>
      <c r="F74" s="3">
        <v>113</v>
      </c>
      <c r="G74" s="3">
        <v>184.2</v>
      </c>
      <c r="H74" s="3">
        <v>61.4</v>
      </c>
      <c r="I74" s="3">
        <v>15</v>
      </c>
      <c r="J74" s="3">
        <v>5</v>
      </c>
      <c r="K74" s="3">
        <v>3</v>
      </c>
      <c r="L74" s="3">
        <v>4</v>
      </c>
      <c r="M74" s="13">
        <v>47157</v>
      </c>
      <c r="N74" s="5">
        <v>0.308</v>
      </c>
      <c r="O74" s="5">
        <v>0.231</v>
      </c>
      <c r="P74" s="5">
        <v>0.154</v>
      </c>
      <c r="Q74" s="3">
        <v>2</v>
      </c>
      <c r="R74" s="3">
        <v>123</v>
      </c>
    </row>
    <row r="75" ht="13.65" customHeight="1">
      <c r="A75" s="3">
        <v>10</v>
      </c>
      <c r="B75" s="3">
        <v>1</v>
      </c>
      <c r="C75" s="3">
        <v>1</v>
      </c>
      <c r="D75" s="3">
        <v>1</v>
      </c>
      <c r="E75" s="3">
        <v>11.7</v>
      </c>
      <c r="F75" s="3">
        <v>126</v>
      </c>
      <c r="G75" s="3">
        <v>277.4</v>
      </c>
      <c r="H75" s="3">
        <v>55.48</v>
      </c>
      <c r="I75" s="3">
        <v>23</v>
      </c>
      <c r="J75" s="3">
        <v>4.6</v>
      </c>
      <c r="K75" s="3">
        <v>5</v>
      </c>
      <c r="L75" s="3">
        <v>3</v>
      </c>
      <c r="M75" s="13">
        <v>156920</v>
      </c>
      <c r="N75" s="5">
        <v>0.8</v>
      </c>
      <c r="O75" s="5">
        <v>0</v>
      </c>
      <c r="P75" s="5">
        <v>0.2</v>
      </c>
      <c r="Q75" s="3">
        <v>1</v>
      </c>
      <c r="R75" s="3">
        <v>123</v>
      </c>
    </row>
    <row r="76" ht="13.65" customHeight="1">
      <c r="A76" s="3">
        <v>8</v>
      </c>
      <c r="B76" s="3">
        <v>1</v>
      </c>
      <c r="C76" s="3">
        <v>2</v>
      </c>
      <c r="D76" s="3">
        <v>1</v>
      </c>
      <c r="E76" s="3">
        <v>9.699999999999999</v>
      </c>
      <c r="F76" s="3">
        <v>114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4</v>
      </c>
      <c r="M76" s="13">
        <v>72410</v>
      </c>
      <c r="N76" s="5">
        <v>0.4</v>
      </c>
      <c r="O76" s="5">
        <v>0</v>
      </c>
      <c r="P76" s="5">
        <v>0.1</v>
      </c>
      <c r="Q76" s="3">
        <v>1</v>
      </c>
      <c r="R76" s="3">
        <v>122</v>
      </c>
    </row>
    <row r="77" ht="13.65" customHeight="1">
      <c r="A77" s="3">
        <v>8</v>
      </c>
      <c r="B77" s="3">
        <v>1</v>
      </c>
      <c r="C77" s="3">
        <v>2</v>
      </c>
      <c r="D77" s="3">
        <v>1</v>
      </c>
      <c r="E77" s="3">
        <v>2.7</v>
      </c>
      <c r="F77" s="3">
        <v>115</v>
      </c>
      <c r="G77" s="3">
        <v>37.6</v>
      </c>
      <c r="H77" s="3">
        <v>37.6</v>
      </c>
      <c r="I77" s="3">
        <v>3</v>
      </c>
      <c r="J77" s="3">
        <v>3</v>
      </c>
      <c r="K77" s="3">
        <v>1</v>
      </c>
      <c r="L77" s="3">
        <v>4</v>
      </c>
      <c r="M77" s="4">
        <v>94733</v>
      </c>
      <c r="N77" s="5">
        <v>0.333</v>
      </c>
      <c r="O77" s="5">
        <v>0.333</v>
      </c>
      <c r="P77" s="5">
        <v>0</v>
      </c>
      <c r="Q77" s="3">
        <v>1</v>
      </c>
      <c r="R77" s="3">
        <v>122</v>
      </c>
    </row>
    <row r="78" ht="13.65" customHeight="1">
      <c r="A78" s="3">
        <v>5</v>
      </c>
      <c r="B78" s="3">
        <v>3</v>
      </c>
      <c r="C78" s="3">
        <v>1</v>
      </c>
      <c r="D78" s="3">
        <v>3</v>
      </c>
      <c r="E78" s="3">
        <v>8.800000000000001</v>
      </c>
      <c r="F78" s="3">
        <v>120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4</v>
      </c>
      <c r="M78" s="4">
        <v>16396</v>
      </c>
      <c r="N78" s="5">
        <v>0.111</v>
      </c>
      <c r="O78" s="5">
        <v>0.222</v>
      </c>
      <c r="P78" s="5">
        <v>0.111</v>
      </c>
      <c r="Q78" s="3">
        <v>1</v>
      </c>
      <c r="R78" s="3">
        <v>122</v>
      </c>
    </row>
    <row r="79" ht="13.65" customHeight="1">
      <c r="A79" s="3">
        <v>12</v>
      </c>
      <c r="B79" s="3">
        <v>4</v>
      </c>
      <c r="C79" s="3">
        <v>1</v>
      </c>
      <c r="D79" s="3">
        <v>3</v>
      </c>
      <c r="E79" s="3">
        <v>13.1</v>
      </c>
      <c r="F79" s="3">
        <v>122</v>
      </c>
      <c r="G79" s="3">
        <v>299.04</v>
      </c>
      <c r="H79" s="3">
        <v>59.808</v>
      </c>
      <c r="I79" s="3">
        <v>24</v>
      </c>
      <c r="J79" s="3">
        <v>4.8</v>
      </c>
      <c r="K79" s="3">
        <v>5</v>
      </c>
      <c r="L79" s="3">
        <v>7</v>
      </c>
      <c r="M79" s="4">
        <v>36445</v>
      </c>
      <c r="N79" s="5">
        <v>0.229</v>
      </c>
      <c r="O79" s="5">
        <v>0.143</v>
      </c>
      <c r="P79" s="5">
        <v>0.286</v>
      </c>
      <c r="Q79" s="3">
        <v>1</v>
      </c>
      <c r="R79" s="3">
        <v>122</v>
      </c>
    </row>
    <row r="80" ht="13.65" customHeight="1">
      <c r="A80" s="3">
        <v>8.5</v>
      </c>
      <c r="B80" s="3">
        <v>1</v>
      </c>
      <c r="C80" s="3">
        <v>2</v>
      </c>
      <c r="D80" s="3">
        <v>1</v>
      </c>
      <c r="E80" s="3">
        <v>0.3</v>
      </c>
      <c r="F80" s="3">
        <v>124</v>
      </c>
      <c r="G80" s="3">
        <f>47.6+58.8+60.2+47.6+48.49+60.64+60.81</f>
        <v>384.14</v>
      </c>
      <c r="H80" s="3">
        <v>54.877</v>
      </c>
      <c r="I80" s="3">
        <v>32</v>
      </c>
      <c r="J80" s="3">
        <v>4.571</v>
      </c>
      <c r="K80" s="3">
        <v>7</v>
      </c>
      <c r="L80" s="3">
        <v>3</v>
      </c>
      <c r="M80" s="4">
        <v>306505</v>
      </c>
      <c r="N80" s="5">
        <v>1</v>
      </c>
      <c r="O80" s="5">
        <v>0</v>
      </c>
      <c r="P80" s="5">
        <v>0</v>
      </c>
      <c r="Q80" s="3">
        <v>2</v>
      </c>
      <c r="R80" s="3">
        <v>122</v>
      </c>
    </row>
    <row r="81" ht="13.65" customHeight="1">
      <c r="A81" s="3">
        <v>12</v>
      </c>
      <c r="B81" s="3">
        <v>4</v>
      </c>
      <c r="C81" s="3">
        <v>1</v>
      </c>
      <c r="D81" s="3">
        <v>3</v>
      </c>
      <c r="E81" s="3">
        <v>0.2</v>
      </c>
      <c r="F81" s="3">
        <v>124</v>
      </c>
      <c r="G81" s="3">
        <f t="shared" si="11"/>
        <v>285.79</v>
      </c>
      <c r="H81" s="3">
        <v>57.158</v>
      </c>
      <c r="I81" s="3">
        <f t="shared" si="31"/>
        <v>23</v>
      </c>
      <c r="J81" s="3">
        <v>4.6</v>
      </c>
      <c r="K81" s="3">
        <v>5</v>
      </c>
      <c r="L81" s="3">
        <v>4</v>
      </c>
      <c r="M81" s="4">
        <v>400450</v>
      </c>
      <c r="N81" s="5">
        <v>0.363</v>
      </c>
      <c r="O81" s="5">
        <v>0.455</v>
      </c>
      <c r="P81" s="5">
        <v>0.045</v>
      </c>
      <c r="Q81" s="3">
        <v>1</v>
      </c>
      <c r="R81" s="3">
        <v>127</v>
      </c>
    </row>
    <row r="82" ht="13.65" customHeight="1">
      <c r="A82" s="3">
        <v>8</v>
      </c>
      <c r="B82" s="3">
        <v>1</v>
      </c>
      <c r="C82" s="3">
        <v>2</v>
      </c>
      <c r="D82" s="3">
        <v>4</v>
      </c>
      <c r="E82" s="3">
        <v>1.85</v>
      </c>
      <c r="F82" s="3">
        <v>115</v>
      </c>
      <c r="G82" s="3">
        <f t="shared" si="12"/>
        <v>197.85</v>
      </c>
      <c r="H82" s="3">
        <v>49.463</v>
      </c>
      <c r="I82" s="3">
        <v>16</v>
      </c>
      <c r="J82" s="3">
        <v>4</v>
      </c>
      <c r="K82" s="3">
        <v>4</v>
      </c>
      <c r="L82" s="3">
        <v>5</v>
      </c>
      <c r="M82" s="6">
        <v>33950</v>
      </c>
      <c r="N82" s="5">
        <v>0.267</v>
      </c>
      <c r="O82" s="5">
        <v>0.133</v>
      </c>
      <c r="P82" s="5">
        <v>0.133</v>
      </c>
      <c r="Q82" s="3">
        <v>1</v>
      </c>
      <c r="R82" s="3">
        <v>125</v>
      </c>
    </row>
    <row r="83" ht="13.65" customHeight="1">
      <c r="A83" s="3">
        <v>12</v>
      </c>
      <c r="B83" s="3">
        <v>4</v>
      </c>
      <c r="C83" s="3">
        <v>1</v>
      </c>
      <c r="D83" s="3">
        <v>3</v>
      </c>
      <c r="E83" s="3">
        <v>5.5</v>
      </c>
      <c r="F83" s="3">
        <v>116</v>
      </c>
      <c r="G83" s="3">
        <f t="shared" si="13"/>
        <v>285.93</v>
      </c>
      <c r="H83" s="3">
        <v>57.186</v>
      </c>
      <c r="I83" s="3">
        <v>23</v>
      </c>
      <c r="J83" s="3">
        <v>4.6</v>
      </c>
      <c r="K83" s="3">
        <v>5</v>
      </c>
      <c r="L83" s="7">
        <v>4</v>
      </c>
      <c r="M83" s="8">
        <v>45301</v>
      </c>
      <c r="N83" s="9">
        <v>0.231</v>
      </c>
      <c r="O83" s="5">
        <v>0.462</v>
      </c>
      <c r="P83" s="5">
        <v>0.077</v>
      </c>
      <c r="Q83" s="3">
        <v>1</v>
      </c>
      <c r="R83" s="3">
        <v>125</v>
      </c>
    </row>
    <row r="84" ht="13.65" customHeight="1">
      <c r="A84" s="3">
        <v>9</v>
      </c>
      <c r="B84" s="3">
        <v>3</v>
      </c>
      <c r="C84" s="3">
        <v>1</v>
      </c>
      <c r="D84" s="3">
        <v>3</v>
      </c>
      <c r="E84" s="3">
        <v>46.1</v>
      </c>
      <c r="F84" s="3">
        <v>118</v>
      </c>
      <c r="G84" s="3">
        <v>370.8</v>
      </c>
      <c r="H84" s="3">
        <v>61.8</v>
      </c>
      <c r="I84" s="3">
        <v>30</v>
      </c>
      <c r="J84" s="3">
        <v>5</v>
      </c>
      <c r="K84" s="3">
        <v>6</v>
      </c>
      <c r="L84" s="7">
        <v>5</v>
      </c>
      <c r="M84" s="8">
        <v>33123</v>
      </c>
      <c r="N84" s="9">
        <v>0.227</v>
      </c>
      <c r="O84" s="5">
        <v>0.136</v>
      </c>
      <c r="P84" s="5">
        <v>0.227</v>
      </c>
      <c r="Q84" s="3">
        <v>1</v>
      </c>
      <c r="R84" s="3">
        <v>124</v>
      </c>
    </row>
    <row r="85" ht="13.65" customHeight="1">
      <c r="A85" s="3">
        <v>9</v>
      </c>
      <c r="B85" s="3">
        <v>3</v>
      </c>
      <c r="C85" s="3">
        <v>1</v>
      </c>
      <c r="D85" s="3">
        <v>3</v>
      </c>
      <c r="E85" s="3">
        <v>2.5</v>
      </c>
      <c r="F85" s="3">
        <v>118</v>
      </c>
      <c r="G85" s="3">
        <v>544.2</v>
      </c>
      <c r="H85" s="3">
        <v>60.467</v>
      </c>
      <c r="I85" s="3">
        <v>45</v>
      </c>
      <c r="J85" s="3">
        <v>5</v>
      </c>
      <c r="K85" s="3">
        <v>9</v>
      </c>
      <c r="L85" s="7">
        <v>8</v>
      </c>
      <c r="M85" s="8">
        <v>64732</v>
      </c>
      <c r="N85" s="9">
        <v>0.444</v>
      </c>
      <c r="O85" s="5">
        <v>0.222</v>
      </c>
      <c r="P85" s="5">
        <v>0.111</v>
      </c>
      <c r="Q85" s="3">
        <v>1</v>
      </c>
      <c r="R85" s="3">
        <v>124</v>
      </c>
    </row>
    <row r="86" ht="13.65" customHeight="1">
      <c r="A86" s="3">
        <v>9</v>
      </c>
      <c r="B86" s="3">
        <v>1</v>
      </c>
      <c r="C86" s="3">
        <v>1</v>
      </c>
      <c r="D86" s="3">
        <v>1</v>
      </c>
      <c r="E86" s="3">
        <v>0.5</v>
      </c>
      <c r="F86" s="3">
        <v>124</v>
      </c>
      <c r="G86" s="3">
        <v>98.2</v>
      </c>
      <c r="H86" s="3">
        <v>49.1</v>
      </c>
      <c r="I86" s="3">
        <v>8</v>
      </c>
      <c r="J86" s="3">
        <v>4</v>
      </c>
      <c r="K86" s="3">
        <v>2</v>
      </c>
      <c r="L86" s="7">
        <v>4</v>
      </c>
      <c r="M86" s="8">
        <v>217378</v>
      </c>
      <c r="N86" s="9">
        <v>0.333</v>
      </c>
      <c r="O86" s="5">
        <v>0.333</v>
      </c>
      <c r="P86" s="5">
        <v>0.111</v>
      </c>
      <c r="Q86" s="3">
        <v>1</v>
      </c>
      <c r="R86" s="3">
        <v>124</v>
      </c>
    </row>
    <row r="87" ht="13.65" customHeight="1">
      <c r="A87" s="3">
        <v>8</v>
      </c>
      <c r="B87" s="3">
        <v>1</v>
      </c>
      <c r="C87" s="3">
        <v>2</v>
      </c>
      <c r="D87" s="3">
        <v>1</v>
      </c>
      <c r="E87" s="3">
        <v>9.699999999999999</v>
      </c>
      <c r="F87" s="3">
        <v>114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7">
        <v>4</v>
      </c>
      <c r="M87" s="8">
        <v>72410</v>
      </c>
      <c r="N87" s="9">
        <v>0.4</v>
      </c>
      <c r="O87" s="5">
        <v>0</v>
      </c>
      <c r="P87" s="5">
        <v>0.1</v>
      </c>
      <c r="Q87" s="3">
        <v>1</v>
      </c>
      <c r="R87" s="3">
        <v>122</v>
      </c>
    </row>
    <row r="88" ht="13.65" customHeight="1">
      <c r="A88" s="3">
        <v>8</v>
      </c>
      <c r="B88" s="3">
        <v>1</v>
      </c>
      <c r="C88" s="3">
        <v>2</v>
      </c>
      <c r="D88" s="3">
        <v>1</v>
      </c>
      <c r="E88" s="3">
        <v>2.7</v>
      </c>
      <c r="F88" s="3">
        <v>115</v>
      </c>
      <c r="G88" s="3">
        <v>37.6</v>
      </c>
      <c r="H88" s="3">
        <v>37.6</v>
      </c>
      <c r="I88" s="3">
        <v>3</v>
      </c>
      <c r="J88" s="3">
        <v>3</v>
      </c>
      <c r="K88" s="3">
        <v>1</v>
      </c>
      <c r="L88" s="3">
        <v>4</v>
      </c>
      <c r="M88" s="12">
        <v>94733</v>
      </c>
      <c r="N88" s="5">
        <v>0.333</v>
      </c>
      <c r="O88" s="5">
        <v>0.333</v>
      </c>
      <c r="P88" s="5">
        <v>0</v>
      </c>
      <c r="Q88" s="3">
        <v>1</v>
      </c>
      <c r="R88" s="3">
        <v>122</v>
      </c>
    </row>
    <row r="89" ht="13.65" customHeight="1">
      <c r="A89" s="3">
        <v>5</v>
      </c>
      <c r="B89" s="3">
        <v>3</v>
      </c>
      <c r="C89" s="3">
        <v>1</v>
      </c>
      <c r="D89" s="3">
        <v>3</v>
      </c>
      <c r="E89" s="3">
        <v>8.800000000000001</v>
      </c>
      <c r="F89" s="3">
        <v>120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4</v>
      </c>
      <c r="M89" s="4">
        <v>16396</v>
      </c>
      <c r="N89" s="5">
        <v>0.111</v>
      </c>
      <c r="O89" s="5">
        <v>0.222</v>
      </c>
      <c r="P89" s="5">
        <v>0.111</v>
      </c>
      <c r="Q89" s="3">
        <v>1</v>
      </c>
      <c r="R89" s="3">
        <v>122</v>
      </c>
    </row>
    <row r="90" ht="13.65" customHeight="1">
      <c r="A90" s="3">
        <v>10</v>
      </c>
      <c r="B90" s="3">
        <v>4</v>
      </c>
      <c r="C90" s="3">
        <v>1</v>
      </c>
      <c r="D90" s="3">
        <v>3</v>
      </c>
      <c r="E90" s="3">
        <v>0.7</v>
      </c>
      <c r="F90" s="3">
        <v>122</v>
      </c>
      <c r="G90" s="3">
        <f t="shared" si="11"/>
        <v>285.79</v>
      </c>
      <c r="H90" s="3">
        <v>57.158</v>
      </c>
      <c r="I90" s="3">
        <f t="shared" si="31"/>
        <v>23</v>
      </c>
      <c r="J90" s="3">
        <v>4.6</v>
      </c>
      <c r="K90" s="3">
        <v>5</v>
      </c>
      <c r="L90" s="3">
        <v>4</v>
      </c>
      <c r="M90" s="4">
        <v>400450</v>
      </c>
      <c r="N90" s="5">
        <v>0.363</v>
      </c>
      <c r="O90" s="5">
        <v>0.455</v>
      </c>
      <c r="P90" s="5">
        <v>0.045</v>
      </c>
      <c r="Q90" s="3">
        <v>1</v>
      </c>
      <c r="R90" s="3">
        <v>122</v>
      </c>
    </row>
    <row r="91" ht="13.65" customHeight="1">
      <c r="A91" s="3">
        <v>12</v>
      </c>
      <c r="B91" s="3">
        <v>4</v>
      </c>
      <c r="C91" s="3">
        <v>1</v>
      </c>
      <c r="D91" s="3">
        <v>3</v>
      </c>
      <c r="E91" s="3">
        <v>13.1</v>
      </c>
      <c r="F91" s="3">
        <v>122</v>
      </c>
      <c r="G91" s="3">
        <v>299.04</v>
      </c>
      <c r="H91" s="3">
        <v>59.808</v>
      </c>
      <c r="I91" s="3">
        <v>24</v>
      </c>
      <c r="J91" s="3">
        <v>4.8</v>
      </c>
      <c r="K91" s="3">
        <v>5</v>
      </c>
      <c r="L91" s="3">
        <v>7</v>
      </c>
      <c r="M91" s="4">
        <v>36445</v>
      </c>
      <c r="N91" s="5">
        <v>0.229</v>
      </c>
      <c r="O91" s="5">
        <v>0.143</v>
      </c>
      <c r="P91" s="5">
        <v>0.286</v>
      </c>
      <c r="Q91" s="3">
        <v>1</v>
      </c>
      <c r="R91" s="3">
        <v>122</v>
      </c>
    </row>
    <row r="92" ht="13.65" customHeight="1">
      <c r="A92" s="3">
        <v>8.5</v>
      </c>
      <c r="B92" s="3">
        <v>3</v>
      </c>
      <c r="C92" s="3">
        <v>1</v>
      </c>
      <c r="D92" s="3">
        <v>3</v>
      </c>
      <c r="E92" s="3">
        <v>0.4</v>
      </c>
      <c r="F92" s="3">
        <v>123</v>
      </c>
      <c r="G92" s="3">
        <f t="shared" si="15"/>
        <v>268.18</v>
      </c>
      <c r="H92" s="3">
        <v>53.636</v>
      </c>
      <c r="I92" s="3">
        <f t="shared" si="16"/>
        <v>22</v>
      </c>
      <c r="J92" s="3">
        <v>4.4</v>
      </c>
      <c r="K92" s="3">
        <v>5</v>
      </c>
      <c r="L92" s="3">
        <v>5</v>
      </c>
      <c r="M92" s="6">
        <v>191329</v>
      </c>
      <c r="N92" s="5">
        <v>0.619</v>
      </c>
      <c r="O92" s="5">
        <v>0.143</v>
      </c>
      <c r="P92" s="5">
        <v>0.048</v>
      </c>
      <c r="Q92" s="3">
        <v>2</v>
      </c>
      <c r="R92" s="3">
        <v>125</v>
      </c>
    </row>
    <row r="93" ht="13.65" customHeight="1">
      <c r="A93" s="3">
        <v>8</v>
      </c>
      <c r="B93" s="3">
        <v>3</v>
      </c>
      <c r="C93" s="3">
        <v>1</v>
      </c>
      <c r="D93" s="3">
        <v>3</v>
      </c>
      <c r="E93" s="3">
        <v>6.3</v>
      </c>
      <c r="F93" s="3">
        <v>113</v>
      </c>
      <c r="G93" s="3">
        <v>184.2</v>
      </c>
      <c r="H93" s="3">
        <v>61.4</v>
      </c>
      <c r="I93" s="3">
        <v>15</v>
      </c>
      <c r="J93" s="3">
        <v>5</v>
      </c>
      <c r="K93" s="3">
        <v>3</v>
      </c>
      <c r="L93" s="7">
        <v>4</v>
      </c>
      <c r="M93" s="8">
        <v>47157</v>
      </c>
      <c r="N93" s="9">
        <v>0.308</v>
      </c>
      <c r="O93" s="5">
        <v>0.231</v>
      </c>
      <c r="P93" s="5">
        <v>0.154</v>
      </c>
      <c r="Q93" s="3">
        <v>2</v>
      </c>
      <c r="R93" s="3">
        <v>123</v>
      </c>
    </row>
    <row r="94" ht="13.65" customHeight="1">
      <c r="A94" s="3">
        <v>8</v>
      </c>
      <c r="B94" s="3">
        <v>3</v>
      </c>
      <c r="C94" s="3">
        <v>2</v>
      </c>
      <c r="D94" s="3">
        <v>2</v>
      </c>
      <c r="E94" s="3">
        <v>5.3</v>
      </c>
      <c r="F94" s="3">
        <v>119</v>
      </c>
      <c r="G94" s="3">
        <f t="shared" si="17"/>
        <v>249.37</v>
      </c>
      <c r="H94" s="3">
        <v>49.874</v>
      </c>
      <c r="I94" s="3">
        <f t="shared" si="18"/>
        <v>20</v>
      </c>
      <c r="J94" s="3">
        <v>4</v>
      </c>
      <c r="K94" s="3">
        <v>5</v>
      </c>
      <c r="L94" s="3">
        <v>4</v>
      </c>
      <c r="M94" s="12">
        <v>65396</v>
      </c>
      <c r="N94" s="5">
        <v>0.5</v>
      </c>
      <c r="O94" s="5">
        <v>0.167</v>
      </c>
      <c r="P94" s="5">
        <v>0.083</v>
      </c>
      <c r="Q94" s="3">
        <v>2</v>
      </c>
      <c r="R94" s="3">
        <v>121</v>
      </c>
    </row>
    <row r="95" ht="13.65" customHeight="1">
      <c r="A95" s="3">
        <v>8</v>
      </c>
      <c r="B95" s="3">
        <v>3</v>
      </c>
      <c r="C95" s="3">
        <v>3</v>
      </c>
      <c r="D95" s="3">
        <v>2</v>
      </c>
      <c r="E95" s="3">
        <v>0.45</v>
      </c>
      <c r="F95" s="3">
        <v>121</v>
      </c>
      <c r="G95" s="3">
        <f t="shared" si="15"/>
        <v>268.18</v>
      </c>
      <c r="H95" s="3">
        <v>53.636</v>
      </c>
      <c r="I95" s="3">
        <f t="shared" si="16"/>
        <v>22</v>
      </c>
      <c r="J95" s="3">
        <v>4.4</v>
      </c>
      <c r="K95" s="3">
        <v>5</v>
      </c>
      <c r="L95" s="3">
        <v>5</v>
      </c>
      <c r="M95" s="4">
        <v>191329</v>
      </c>
      <c r="N95" s="5">
        <v>0.619</v>
      </c>
      <c r="O95" s="5">
        <v>0.143</v>
      </c>
      <c r="P95" s="5">
        <v>0.048</v>
      </c>
      <c r="Q95" s="3">
        <v>2</v>
      </c>
      <c r="R95" s="3">
        <v>121</v>
      </c>
    </row>
    <row r="96" ht="13.65" customHeight="1">
      <c r="A96" s="3">
        <v>8.5</v>
      </c>
      <c r="B96" s="3">
        <v>1</v>
      </c>
      <c r="C96" s="3">
        <v>1</v>
      </c>
      <c r="D96" s="3">
        <v>1</v>
      </c>
      <c r="E96" s="3">
        <v>0.4</v>
      </c>
      <c r="F96" s="3">
        <v>125</v>
      </c>
      <c r="G96" s="3">
        <f t="shared" si="21"/>
        <v>364.6</v>
      </c>
      <c r="H96" s="3">
        <v>60.767</v>
      </c>
      <c r="I96" s="3">
        <f t="shared" si="22"/>
        <v>30</v>
      </c>
      <c r="J96" s="3">
        <v>5</v>
      </c>
      <c r="K96" s="3">
        <v>6</v>
      </c>
      <c r="L96" s="3">
        <v>6</v>
      </c>
      <c r="M96" s="4">
        <v>202264</v>
      </c>
      <c r="N96" s="5">
        <v>0.68</v>
      </c>
      <c r="O96" s="5">
        <v>0.24</v>
      </c>
      <c r="P96" s="5">
        <v>0</v>
      </c>
      <c r="Q96" s="3">
        <v>2</v>
      </c>
      <c r="R96" s="3">
        <v>120</v>
      </c>
    </row>
    <row r="97" ht="13.65" customHeight="1">
      <c r="A97" s="3">
        <v>8.5</v>
      </c>
      <c r="B97" s="3">
        <v>1</v>
      </c>
      <c r="C97" s="3">
        <v>1</v>
      </c>
      <c r="D97" s="3">
        <v>1</v>
      </c>
      <c r="E97" s="3">
        <v>2</v>
      </c>
      <c r="F97" s="3">
        <v>125</v>
      </c>
      <c r="G97" s="3">
        <f t="shared" si="23"/>
        <v>365.8</v>
      </c>
      <c r="H97" s="3">
        <v>60.967</v>
      </c>
      <c r="I97" s="3">
        <f t="shared" si="24"/>
        <v>30</v>
      </c>
      <c r="J97" s="3">
        <v>5</v>
      </c>
      <c r="K97" s="3">
        <v>6</v>
      </c>
      <c r="L97" s="3">
        <v>4</v>
      </c>
      <c r="M97" s="4">
        <v>123018</v>
      </c>
      <c r="N97" s="5">
        <v>0.636</v>
      </c>
      <c r="O97" s="5">
        <v>0.182</v>
      </c>
      <c r="P97" s="5">
        <v>0.091</v>
      </c>
      <c r="Q97" s="3">
        <v>2</v>
      </c>
      <c r="R97" s="3">
        <v>120</v>
      </c>
    </row>
    <row r="98" ht="13.65" customHeight="1">
      <c r="A98" s="3">
        <v>8</v>
      </c>
      <c r="B98" s="3">
        <v>3</v>
      </c>
      <c r="C98" s="3">
        <v>1</v>
      </c>
      <c r="D98" s="3">
        <v>3</v>
      </c>
      <c r="E98" s="3">
        <v>7.5</v>
      </c>
      <c r="F98" s="3">
        <v>121</v>
      </c>
      <c r="G98" s="3">
        <f t="shared" si="17"/>
        <v>249.37</v>
      </c>
      <c r="H98" s="3">
        <v>49.874</v>
      </c>
      <c r="I98" s="3">
        <f t="shared" si="18"/>
        <v>20</v>
      </c>
      <c r="J98" s="3">
        <v>4</v>
      </c>
      <c r="K98" s="3">
        <v>5</v>
      </c>
      <c r="L98" s="3">
        <v>4</v>
      </c>
      <c r="M98" s="4">
        <v>65396</v>
      </c>
      <c r="N98" s="5">
        <v>0.5</v>
      </c>
      <c r="O98" s="5">
        <v>0.167</v>
      </c>
      <c r="P98" s="5">
        <v>0.083</v>
      </c>
      <c r="Q98" s="3">
        <v>2</v>
      </c>
      <c r="R98" s="3">
        <v>119</v>
      </c>
    </row>
    <row r="99" ht="13.65" customHeight="1">
      <c r="A99" s="3">
        <v>8.5</v>
      </c>
      <c r="B99" s="3">
        <v>3</v>
      </c>
      <c r="C99" s="3">
        <v>1</v>
      </c>
      <c r="D99" s="3">
        <v>3</v>
      </c>
      <c r="E99" s="3">
        <v>0.9</v>
      </c>
      <c r="F99" s="3">
        <v>121</v>
      </c>
      <c r="G99" s="3">
        <f t="shared" si="27"/>
        <v>167.3</v>
      </c>
      <c r="H99" s="3">
        <v>55.767</v>
      </c>
      <c r="I99" s="3">
        <f t="shared" si="28"/>
        <v>13</v>
      </c>
      <c r="J99" s="3">
        <v>4.333</v>
      </c>
      <c r="K99" s="3">
        <v>3</v>
      </c>
      <c r="L99" s="3">
        <v>6</v>
      </c>
      <c r="M99" s="4">
        <v>30136</v>
      </c>
      <c r="N99" s="5">
        <v>0.286</v>
      </c>
      <c r="O99" s="5">
        <v>0.19</v>
      </c>
      <c r="P99" s="5">
        <v>0.143</v>
      </c>
      <c r="Q99" s="3">
        <v>2</v>
      </c>
      <c r="R99" s="3">
        <v>119</v>
      </c>
    </row>
    <row r="100" ht="13.65" customHeight="1">
      <c r="A100" s="3">
        <v>9</v>
      </c>
      <c r="B100" s="3">
        <v>1</v>
      </c>
      <c r="C100" s="3">
        <v>4</v>
      </c>
      <c r="D100" s="3">
        <v>5</v>
      </c>
      <c r="E100" s="3">
        <v>0.9</v>
      </c>
      <c r="F100" s="3">
        <v>122</v>
      </c>
      <c r="G100" s="3">
        <f t="shared" si="29"/>
        <v>99.40000000000001</v>
      </c>
      <c r="H100" s="3">
        <v>49.7</v>
      </c>
      <c r="I100" s="3">
        <v>8</v>
      </c>
      <c r="J100" s="3">
        <v>4</v>
      </c>
      <c r="K100" s="3">
        <v>2</v>
      </c>
      <c r="L100" s="3">
        <v>4</v>
      </c>
      <c r="M100" s="4">
        <v>126328</v>
      </c>
      <c r="N100" s="5">
        <v>0.5</v>
      </c>
      <c r="O100" s="5">
        <v>0.25</v>
      </c>
      <c r="P100" s="5">
        <v>0.167</v>
      </c>
      <c r="Q100" s="3">
        <v>2</v>
      </c>
      <c r="R100" s="3">
        <v>118</v>
      </c>
    </row>
    <row r="101" ht="13.65" customHeight="1">
      <c r="A101" s="3">
        <v>5</v>
      </c>
      <c r="B101" s="3">
        <v>3</v>
      </c>
      <c r="C101" s="3">
        <v>1</v>
      </c>
      <c r="D101" s="3">
        <v>3</v>
      </c>
      <c r="E101" s="3">
        <v>8.800000000000001</v>
      </c>
      <c r="F101" s="3">
        <v>120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4</v>
      </c>
      <c r="M101" s="4">
        <v>16396</v>
      </c>
      <c r="N101" s="5">
        <v>0.111</v>
      </c>
      <c r="O101" s="5">
        <v>0.222</v>
      </c>
      <c r="P101" s="5">
        <v>0.111</v>
      </c>
      <c r="Q101" s="3">
        <v>1</v>
      </c>
      <c r="R101" s="3">
        <v>122</v>
      </c>
    </row>
    <row r="102" ht="13.65" customHeight="1">
      <c r="A102" s="3">
        <v>7</v>
      </c>
      <c r="B102" s="3">
        <v>1</v>
      </c>
      <c r="C102" s="3">
        <v>1</v>
      </c>
      <c r="D102" s="3">
        <v>1</v>
      </c>
      <c r="E102" s="3">
        <v>1.1</v>
      </c>
      <c r="F102" s="3">
        <v>124</v>
      </c>
      <c r="G102" s="3">
        <f t="shared" si="58" ref="G102:G109">60.8+61.8+49.2+60.6</f>
        <v>232.4</v>
      </c>
      <c r="H102" s="3">
        <v>58.1</v>
      </c>
      <c r="I102" s="3">
        <v>19</v>
      </c>
      <c r="J102" s="3">
        <v>4.75</v>
      </c>
      <c r="K102" s="3">
        <v>4</v>
      </c>
      <c r="L102" s="3">
        <v>6</v>
      </c>
      <c r="M102" s="4">
        <v>69527</v>
      </c>
      <c r="N102" s="5">
        <v>0.625</v>
      </c>
      <c r="O102" s="5">
        <v>0.25</v>
      </c>
      <c r="P102" s="5">
        <v>0</v>
      </c>
      <c r="Q102" s="3">
        <v>1</v>
      </c>
      <c r="R102" s="3">
        <v>121</v>
      </c>
    </row>
    <row r="103" ht="13.65" customHeight="1">
      <c r="A103" s="3">
        <v>7</v>
      </c>
      <c r="B103" s="3">
        <v>1</v>
      </c>
      <c r="C103" s="3">
        <v>5</v>
      </c>
      <c r="D103" s="3">
        <v>1</v>
      </c>
      <c r="E103" s="3">
        <v>1.5</v>
      </c>
      <c r="F103" s="3">
        <v>120</v>
      </c>
      <c r="G103" s="3">
        <f>61.1+61.2+48.64+49.22+48.77+48.11</f>
        <v>317.04</v>
      </c>
      <c r="H103" s="3">
        <v>52.84</v>
      </c>
      <c r="I103" s="3">
        <f>5+5+4+4+4+4</f>
        <v>26</v>
      </c>
      <c r="J103" s="3">
        <v>4.333</v>
      </c>
      <c r="K103" s="3">
        <v>6</v>
      </c>
      <c r="L103" s="3">
        <v>4</v>
      </c>
      <c r="M103" s="4">
        <v>29598</v>
      </c>
      <c r="N103" s="5">
        <v>0.4</v>
      </c>
      <c r="O103" s="5">
        <v>0.267</v>
      </c>
      <c r="P103" s="5">
        <v>0.067</v>
      </c>
      <c r="Q103" s="3">
        <v>1</v>
      </c>
      <c r="R103" s="3">
        <v>120</v>
      </c>
    </row>
    <row r="104" ht="13.65" customHeight="1">
      <c r="A104" s="3">
        <v>7</v>
      </c>
      <c r="B104" s="3">
        <v>1</v>
      </c>
      <c r="C104" s="3">
        <v>6</v>
      </c>
      <c r="D104" s="3">
        <v>6</v>
      </c>
      <c r="E104" s="3">
        <v>2.4</v>
      </c>
      <c r="F104" s="3">
        <v>118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6</v>
      </c>
      <c r="M104" s="4">
        <v>31954</v>
      </c>
      <c r="N104" s="5">
        <v>0.364</v>
      </c>
      <c r="O104" s="5">
        <v>0.295</v>
      </c>
      <c r="P104" s="5">
        <v>0.091</v>
      </c>
      <c r="Q104" s="3">
        <v>1</v>
      </c>
      <c r="R104" s="3">
        <v>120</v>
      </c>
    </row>
    <row r="105" ht="13.65" customHeight="1">
      <c r="A105" s="3">
        <v>6.5</v>
      </c>
      <c r="B105" s="3">
        <v>5</v>
      </c>
      <c r="C105" s="3">
        <v>1</v>
      </c>
      <c r="D105" s="3">
        <v>3</v>
      </c>
      <c r="E105" s="3">
        <v>6</v>
      </c>
      <c r="F105" s="3">
        <v>120</v>
      </c>
      <c r="G105" s="3">
        <f>35.8+60.6+49.2+61+48.8</f>
        <v>255.4</v>
      </c>
      <c r="H105" s="3">
        <v>51.08</v>
      </c>
      <c r="I105" s="3">
        <f>3+5+4+5+4</f>
        <v>21</v>
      </c>
      <c r="J105" s="3">
        <v>4.2</v>
      </c>
      <c r="K105" s="3">
        <v>5</v>
      </c>
      <c r="L105" s="3">
        <v>6</v>
      </c>
      <c r="M105" s="4">
        <v>22388</v>
      </c>
      <c r="N105" s="5">
        <v>0.269</v>
      </c>
      <c r="O105" s="5">
        <v>0.192</v>
      </c>
      <c r="P105" s="5">
        <v>0.231</v>
      </c>
      <c r="Q105" s="3">
        <v>1</v>
      </c>
      <c r="R105" s="3">
        <v>120</v>
      </c>
    </row>
    <row r="106" ht="13.65" customHeight="1">
      <c r="A106" s="3">
        <v>6.5</v>
      </c>
      <c r="B106" s="3">
        <v>5</v>
      </c>
      <c r="C106" s="3">
        <v>1</v>
      </c>
      <c r="D106" s="3">
        <v>3</v>
      </c>
      <c r="E106" s="3">
        <v>11.7</v>
      </c>
      <c r="F106" s="3">
        <v>122</v>
      </c>
      <c r="G106" s="3">
        <f>60.4+46.8+50.4+47.8+61+71.8+72.2</f>
        <v>410.4</v>
      </c>
      <c r="H106" s="3">
        <v>58.629</v>
      </c>
      <c r="I106" s="3">
        <f>6+6+5+4+4+4+5</f>
        <v>34</v>
      </c>
      <c r="J106" s="3">
        <v>4.857</v>
      </c>
      <c r="K106" s="3">
        <v>7</v>
      </c>
      <c r="L106" s="3">
        <v>4</v>
      </c>
      <c r="M106" s="4">
        <v>24861</v>
      </c>
      <c r="N106" s="5">
        <v>0.429</v>
      </c>
      <c r="O106" s="5">
        <v>0.214</v>
      </c>
      <c r="P106" s="5">
        <v>0.07099999999999999</v>
      </c>
      <c r="Q106" s="3">
        <v>1</v>
      </c>
      <c r="R106" s="3">
        <v>120</v>
      </c>
    </row>
    <row r="107" ht="13.65" customHeight="1">
      <c r="A107" s="3">
        <v>6</v>
      </c>
      <c r="B107" s="3">
        <v>1</v>
      </c>
      <c r="C107" s="3">
        <v>2</v>
      </c>
      <c r="D107" s="3">
        <v>4</v>
      </c>
      <c r="E107" s="3">
        <v>1.9</v>
      </c>
      <c r="F107" s="3">
        <v>118</v>
      </c>
      <c r="G107" s="3">
        <f>59.43+49.31+50.21+37.45</f>
        <v>196.4</v>
      </c>
      <c r="H107" s="3">
        <v>49.1</v>
      </c>
      <c r="I107" s="3">
        <f>5+4+4+3</f>
        <v>16</v>
      </c>
      <c r="J107" s="3">
        <v>4</v>
      </c>
      <c r="K107" s="3">
        <v>4</v>
      </c>
      <c r="L107" s="3">
        <v>4</v>
      </c>
      <c r="M107" s="4">
        <v>23675</v>
      </c>
      <c r="N107" s="5">
        <v>0.357</v>
      </c>
      <c r="O107" s="5">
        <v>0.214</v>
      </c>
      <c r="P107" s="5">
        <v>0.143</v>
      </c>
      <c r="Q107" s="3">
        <v>1</v>
      </c>
      <c r="R107" s="3">
        <v>119</v>
      </c>
    </row>
    <row r="108" ht="13.65" customHeight="1">
      <c r="A108" s="3">
        <v>6</v>
      </c>
      <c r="B108" s="3">
        <v>1</v>
      </c>
      <c r="C108" s="3">
        <v>1</v>
      </c>
      <c r="D108" s="3">
        <v>1</v>
      </c>
      <c r="E108" s="3">
        <v>1.8</v>
      </c>
      <c r="F108" s="3">
        <v>123</v>
      </c>
      <c r="G108" s="3">
        <f>47.6+50+62+49.2+62</f>
        <v>270.8</v>
      </c>
      <c r="H108" s="3">
        <v>54.16</v>
      </c>
      <c r="I108" s="3">
        <f>4+4+5+4+5</f>
        <v>22</v>
      </c>
      <c r="J108" s="3">
        <v>4.4</v>
      </c>
      <c r="K108" s="3">
        <v>5</v>
      </c>
      <c r="L108" s="3">
        <v>6</v>
      </c>
      <c r="M108" s="4">
        <v>11161</v>
      </c>
      <c r="N108" s="5">
        <v>0.25</v>
      </c>
      <c r="O108" s="5">
        <v>0.167</v>
      </c>
      <c r="P108" s="5">
        <v>0.139</v>
      </c>
      <c r="Q108" s="3">
        <v>1</v>
      </c>
      <c r="R108" s="3">
        <v>119</v>
      </c>
    </row>
    <row r="109" ht="13.65" customHeight="1">
      <c r="A109" s="3">
        <v>7</v>
      </c>
      <c r="B109" s="3">
        <v>1</v>
      </c>
      <c r="C109" s="3">
        <v>2</v>
      </c>
      <c r="D109" s="3">
        <v>1</v>
      </c>
      <c r="E109" s="3">
        <v>5.9</v>
      </c>
      <c r="F109" s="3">
        <v>118</v>
      </c>
      <c r="G109" s="3">
        <f t="shared" si="58"/>
        <v>232.4</v>
      </c>
      <c r="H109" s="3">
        <v>58.1</v>
      </c>
      <c r="I109" s="3">
        <v>19</v>
      </c>
      <c r="J109" s="3">
        <v>4.75</v>
      </c>
      <c r="K109" s="3">
        <v>4</v>
      </c>
      <c r="L109" s="3">
        <v>6</v>
      </c>
      <c r="M109" s="4">
        <v>69527</v>
      </c>
      <c r="N109" s="5">
        <v>0.625</v>
      </c>
      <c r="O109" s="5">
        <v>0.25</v>
      </c>
      <c r="P109" s="5">
        <v>0</v>
      </c>
      <c r="Q109" s="3">
        <v>1</v>
      </c>
      <c r="R109" s="3">
        <v>119</v>
      </c>
    </row>
    <row r="110" ht="13.65" customHeight="1">
      <c r="A110" s="3">
        <v>7</v>
      </c>
      <c r="B110" s="3">
        <v>1</v>
      </c>
      <c r="C110" s="3">
        <v>2</v>
      </c>
      <c r="D110" s="3">
        <v>1</v>
      </c>
      <c r="E110" s="3">
        <v>2.6</v>
      </c>
      <c r="F110" s="3">
        <v>116</v>
      </c>
      <c r="G110" s="3">
        <v>48.4</v>
      </c>
      <c r="H110" s="3">
        <v>48.4</v>
      </c>
      <c r="I110" s="3">
        <v>4</v>
      </c>
      <c r="J110" s="3">
        <v>4</v>
      </c>
      <c r="K110" s="3">
        <v>1</v>
      </c>
      <c r="L110" s="3">
        <v>4</v>
      </c>
      <c r="M110" s="4">
        <v>53275</v>
      </c>
      <c r="N110" s="5">
        <v>0.375</v>
      </c>
      <c r="O110" s="5">
        <v>0.25</v>
      </c>
      <c r="P110" s="5">
        <v>0</v>
      </c>
      <c r="Q110" s="3">
        <v>1</v>
      </c>
      <c r="R110" s="3">
        <v>119</v>
      </c>
    </row>
    <row r="111" ht="13.65" customHeight="1">
      <c r="A111" s="3">
        <v>6</v>
      </c>
      <c r="B111" s="3">
        <v>1</v>
      </c>
      <c r="C111" s="3">
        <v>1</v>
      </c>
      <c r="D111" s="3">
        <v>1</v>
      </c>
      <c r="E111" s="3">
        <v>1</v>
      </c>
      <c r="F111" s="3">
        <v>123</v>
      </c>
      <c r="G111" s="3">
        <f>72.8+59.2+60.6+59.2+47.8+62.4+34.8</f>
        <v>396.8</v>
      </c>
      <c r="H111" s="3">
        <v>56.686</v>
      </c>
      <c r="I111" s="3">
        <f>6+5+5+5+4+5+3</f>
        <v>33</v>
      </c>
      <c r="J111" s="3">
        <v>4.714</v>
      </c>
      <c r="K111" s="3">
        <v>7</v>
      </c>
      <c r="L111" s="3">
        <v>4</v>
      </c>
      <c r="M111" s="4">
        <v>64856</v>
      </c>
      <c r="N111" s="5">
        <v>0.5</v>
      </c>
      <c r="O111" s="5">
        <v>0.083</v>
      </c>
      <c r="P111" s="5">
        <v>0.083</v>
      </c>
      <c r="Q111" s="3">
        <v>1</v>
      </c>
      <c r="R111" s="3">
        <v>119</v>
      </c>
    </row>
    <row r="112" ht="13.65" customHeight="1">
      <c r="A112" s="3">
        <v>5</v>
      </c>
      <c r="B112" s="3">
        <v>3</v>
      </c>
      <c r="C112" s="3">
        <v>2</v>
      </c>
      <c r="D112" s="3">
        <v>3</v>
      </c>
      <c r="E112" s="3">
        <v>6.2</v>
      </c>
      <c r="F112" s="3">
        <v>118</v>
      </c>
      <c r="G112" s="3">
        <f>36.6+59.6+49.6+36.4+48</f>
        <v>230.2</v>
      </c>
      <c r="H112" s="3">
        <v>46.04</v>
      </c>
      <c r="I112" s="3">
        <f>3+5+4+3+4</f>
        <v>19</v>
      </c>
      <c r="J112" s="3">
        <v>3.8</v>
      </c>
      <c r="K112" s="3">
        <v>5</v>
      </c>
      <c r="L112" s="3">
        <v>4</v>
      </c>
      <c r="M112" s="4">
        <v>19151</v>
      </c>
      <c r="N112" s="5">
        <v>0.364</v>
      </c>
      <c r="O112" s="5">
        <v>0</v>
      </c>
      <c r="P112" s="5">
        <v>0.091</v>
      </c>
      <c r="Q112" s="3">
        <v>1</v>
      </c>
      <c r="R112" s="3">
        <v>119</v>
      </c>
    </row>
    <row r="113" ht="13.65" customHeight="1">
      <c r="A113" s="3">
        <v>7</v>
      </c>
      <c r="B113" s="3">
        <v>1</v>
      </c>
      <c r="C113" s="3">
        <v>2</v>
      </c>
      <c r="D113" s="3">
        <v>1</v>
      </c>
      <c r="E113" s="3">
        <v>0.2</v>
      </c>
      <c r="F113" s="3">
        <v>121</v>
      </c>
      <c r="G113" s="3">
        <f>60.4+47.6+36.2+58.6+85+72.2</f>
        <v>359.9999999999999</v>
      </c>
      <c r="H113" s="3">
        <v>60</v>
      </c>
      <c r="I113" s="3">
        <f>5+4+3+5+7+6</f>
        <v>30</v>
      </c>
      <c r="J113" s="3">
        <v>5</v>
      </c>
      <c r="K113" s="3">
        <v>6</v>
      </c>
      <c r="L113" s="3">
        <v>6</v>
      </c>
      <c r="M113" s="4">
        <v>59427</v>
      </c>
      <c r="N113" s="5">
        <v>0.615</v>
      </c>
      <c r="O113" s="5">
        <v>0.154</v>
      </c>
      <c r="P113" s="5">
        <v>0</v>
      </c>
      <c r="Q113" s="3">
        <v>1</v>
      </c>
      <c r="R113" s="3">
        <v>119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S133"/>
  <sheetViews>
    <sheetView workbookViewId="0" showGridLines="0" defaultGridColor="1"/>
  </sheetViews>
  <sheetFormatPr defaultColWidth="14.5" defaultRowHeight="15.75" customHeight="1" outlineLevelRow="0" outlineLevelCol="0"/>
  <cols>
    <col min="1" max="1" width="19.8516" style="14" customWidth="1"/>
    <col min="2" max="2" width="14.5" style="14" customWidth="1"/>
    <col min="3" max="3" width="14.5" style="14" customWidth="1"/>
    <col min="4" max="4" width="14.5" style="14" customWidth="1"/>
    <col min="5" max="5" width="14.5" style="14" customWidth="1"/>
    <col min="6" max="6" width="14.5" style="14" customWidth="1"/>
    <col min="7" max="7" width="14.5" style="14" customWidth="1"/>
    <col min="8" max="8" width="21" style="14" customWidth="1"/>
    <col min="9" max="9" width="14.5" style="14" customWidth="1"/>
    <col min="10" max="10" width="18.3516" style="14" customWidth="1"/>
    <col min="11" max="11" width="19.6719" style="14" customWidth="1"/>
    <col min="12" max="12" width="14.5" style="14" customWidth="1"/>
    <col min="13" max="13" width="19.5" style="14" customWidth="1"/>
    <col min="14" max="14" width="14.5" style="14" customWidth="1"/>
    <col min="15" max="15" width="14.5" style="14" customWidth="1"/>
    <col min="16" max="16" width="14.5" style="14" customWidth="1"/>
    <col min="17" max="17" width="14.5" style="14" customWidth="1"/>
    <col min="18" max="18" width="14.5" style="14" customWidth="1"/>
    <col min="19" max="19" width="14.5" style="14" customWidth="1"/>
    <col min="20" max="256" width="14.5" style="14" customWidth="1"/>
  </cols>
  <sheetData>
    <row r="1" ht="13.65" customHeight="1">
      <c r="A1" t="s" s="2">
        <v>18</v>
      </c>
      <c r="B1" t="s" s="2">
        <v>0</v>
      </c>
      <c r="C1" t="s" s="2">
        <v>19</v>
      </c>
      <c r="D1" t="s" s="2">
        <v>20</v>
      </c>
      <c r="E1" t="s" s="2">
        <v>21</v>
      </c>
      <c r="F1" t="s" s="2">
        <v>5</v>
      </c>
      <c r="G1" t="s" s="2">
        <v>4</v>
      </c>
      <c r="H1" t="s" s="2">
        <v>6</v>
      </c>
      <c r="I1" t="s" s="2">
        <v>7</v>
      </c>
      <c r="J1" t="s" s="2">
        <v>8</v>
      </c>
      <c r="K1" t="s" s="2">
        <v>9</v>
      </c>
      <c r="L1" t="s" s="2">
        <v>10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11</v>
      </c>
      <c r="R1" t="s" s="2">
        <v>22</v>
      </c>
      <c r="S1" t="s" s="2">
        <v>17</v>
      </c>
    </row>
    <row r="2" ht="13.65" customHeight="1">
      <c r="A2" t="s" s="15">
        <v>23</v>
      </c>
      <c r="B2" s="3">
        <v>8.5</v>
      </c>
      <c r="C2" t="s" s="15">
        <v>24</v>
      </c>
      <c r="D2" t="s" s="15">
        <v>25</v>
      </c>
      <c r="E2" t="s" s="15">
        <v>26</v>
      </c>
      <c r="F2" s="3">
        <v>122</v>
      </c>
      <c r="G2" s="3">
        <v>0.9</v>
      </c>
      <c r="H2" s="3">
        <f>60.2+60.95</f>
        <v>121.15</v>
      </c>
      <c r="I2" s="3">
        <f>H2/L2</f>
        <v>60.575</v>
      </c>
      <c r="J2" s="3">
        <f>5+5</f>
        <v>10</v>
      </c>
      <c r="K2" s="3">
        <f>J2/L2</f>
        <v>5</v>
      </c>
      <c r="L2" s="3">
        <v>2</v>
      </c>
      <c r="M2" s="3">
        <v>238741</v>
      </c>
      <c r="N2" s="3">
        <f>6/15</f>
        <v>0.4</v>
      </c>
      <c r="O2" s="3">
        <f>3/15</f>
        <v>0.2</v>
      </c>
      <c r="P2" s="3">
        <f>1/15</f>
        <v>0.06666666666666667</v>
      </c>
      <c r="Q2" s="3">
        <v>2</v>
      </c>
      <c r="R2" t="s" s="15">
        <v>27</v>
      </c>
      <c r="S2" s="3">
        <v>110</v>
      </c>
    </row>
    <row r="3" ht="13.65" customHeight="1">
      <c r="A3" t="s" s="15">
        <v>28</v>
      </c>
      <c r="B3" s="3">
        <v>8.5</v>
      </c>
      <c r="C3" t="s" s="15">
        <v>24</v>
      </c>
      <c r="D3" t="s" s="15">
        <v>25</v>
      </c>
      <c r="E3" t="s" s="15">
        <v>26</v>
      </c>
      <c r="F3" s="3">
        <v>119</v>
      </c>
      <c r="G3" s="3">
        <v>4.4</v>
      </c>
      <c r="H3" s="3">
        <f>62.4</f>
        <v>62.4</v>
      </c>
      <c r="I3" s="3">
        <f>H3/L3</f>
        <v>62.4</v>
      </c>
      <c r="J3" s="3">
        <v>5</v>
      </c>
      <c r="K3" s="3">
        <f>J3/L3</f>
        <v>5</v>
      </c>
      <c r="L3" s="3">
        <v>1</v>
      </c>
      <c r="M3" s="3">
        <v>74417</v>
      </c>
      <c r="N3" s="3">
        <f t="shared" si="10" ref="N3:O22">3/9</f>
        <v>0.3333333333333333</v>
      </c>
      <c r="O3" s="3">
        <f t="shared" si="11" ref="O3:P17">2/9</f>
        <v>0.2222222222222222</v>
      </c>
      <c r="P3" s="3">
        <f t="shared" si="12" ref="P3:P22">1/9</f>
        <v>0.1111111111111111</v>
      </c>
      <c r="Q3" s="3">
        <v>2</v>
      </c>
      <c r="R3" t="s" s="15">
        <v>27</v>
      </c>
      <c r="S3" s="3">
        <v>110</v>
      </c>
    </row>
    <row r="4" ht="13.65" customHeight="1">
      <c r="A4" t="s" s="15">
        <v>29</v>
      </c>
      <c r="B4" s="3">
        <v>8</v>
      </c>
      <c r="C4" t="s" s="15">
        <v>30</v>
      </c>
      <c r="D4" t="s" s="15">
        <v>25</v>
      </c>
      <c r="E4" t="s" s="15">
        <v>31</v>
      </c>
      <c r="F4" s="3">
        <v>122</v>
      </c>
      <c r="G4" s="3">
        <v>2.7</v>
      </c>
      <c r="H4" s="3">
        <f>50.04+63.19+47.04</f>
        <v>160.27</v>
      </c>
      <c r="I4" s="3">
        <f>H4/L4</f>
        <v>53.42333333333332</v>
      </c>
      <c r="J4" s="3">
        <v>13</v>
      </c>
      <c r="K4" s="3">
        <f>J4/L4</f>
        <v>4.333333333333333</v>
      </c>
      <c r="L4" s="3">
        <v>3</v>
      </c>
      <c r="M4" s="3">
        <v>61489</v>
      </c>
      <c r="N4" s="3">
        <f t="shared" si="16" ref="N4:O20">3/11</f>
        <v>0.2727272727272727</v>
      </c>
      <c r="O4" s="3">
        <f t="shared" si="16"/>
        <v>0.2727272727272727</v>
      </c>
      <c r="P4" s="3">
        <f>0</f>
        <v>0</v>
      </c>
      <c r="Q4" s="3">
        <v>2</v>
      </c>
      <c r="R4" t="s" s="15">
        <v>27</v>
      </c>
      <c r="S4" s="3">
        <v>109</v>
      </c>
    </row>
    <row r="5" ht="13.65" customHeight="1">
      <c r="A5" t="s" s="15">
        <v>32</v>
      </c>
      <c r="B5" s="3">
        <v>8</v>
      </c>
      <c r="C5" t="s" s="15">
        <v>30</v>
      </c>
      <c r="D5" t="s" s="15">
        <v>25</v>
      </c>
      <c r="E5" t="s" s="15">
        <v>31</v>
      </c>
      <c r="F5" s="3">
        <v>122</v>
      </c>
      <c r="G5" s="3">
        <v>7.2</v>
      </c>
      <c r="H5" s="3">
        <f>0</f>
        <v>0</v>
      </c>
      <c r="I5" s="3">
        <v>0</v>
      </c>
      <c r="J5" s="3">
        <v>0</v>
      </c>
      <c r="K5" s="3">
        <v>0</v>
      </c>
      <c r="L5" s="3">
        <v>0</v>
      </c>
      <c r="M5" s="3">
        <v>125295</v>
      </c>
      <c r="N5" s="3">
        <f>3/5</f>
        <v>0.6</v>
      </c>
      <c r="O5" s="3">
        <f>0</f>
        <v>0</v>
      </c>
      <c r="P5" s="3">
        <f>2/5</f>
        <v>0.4</v>
      </c>
      <c r="Q5" s="3">
        <v>2</v>
      </c>
      <c r="R5" t="s" s="15">
        <v>27</v>
      </c>
      <c r="S5" s="3">
        <v>109</v>
      </c>
    </row>
    <row r="6" ht="13.65" customHeight="1">
      <c r="A6" t="s" s="15">
        <v>33</v>
      </c>
      <c r="B6" s="3">
        <v>8</v>
      </c>
      <c r="C6" t="s" s="15">
        <v>30</v>
      </c>
      <c r="D6" t="s" s="15">
        <v>25</v>
      </c>
      <c r="E6" t="s" s="15">
        <v>31</v>
      </c>
      <c r="F6" s="3">
        <v>122</v>
      </c>
      <c r="G6" s="3">
        <v>18.5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25482</v>
      </c>
      <c r="N6" s="3">
        <f>4/12</f>
        <v>0.3333333333333333</v>
      </c>
      <c r="O6" s="3">
        <f>0</f>
        <v>0</v>
      </c>
      <c r="P6" s="3">
        <f>3/12</f>
        <v>0.25</v>
      </c>
      <c r="Q6" s="3">
        <v>2</v>
      </c>
      <c r="R6" t="s" s="15">
        <v>27</v>
      </c>
      <c r="S6" s="3">
        <v>108</v>
      </c>
    </row>
    <row r="7" ht="13.65" customHeight="1">
      <c r="A7" t="s" s="15">
        <v>34</v>
      </c>
      <c r="B7" s="3">
        <v>8</v>
      </c>
      <c r="C7" t="s" s="15">
        <v>30</v>
      </c>
      <c r="D7" t="s" s="15">
        <v>35</v>
      </c>
      <c r="E7" t="s" s="15">
        <v>36</v>
      </c>
      <c r="F7" s="3">
        <v>122</v>
      </c>
      <c r="G7" s="3">
        <v>3.7</v>
      </c>
      <c r="H7" s="3">
        <f>61.2+50.8+72.4+49.8</f>
        <v>234.2</v>
      </c>
      <c r="I7" s="3">
        <f>H7/L7</f>
        <v>58.55</v>
      </c>
      <c r="J7" s="3">
        <f>5+4+6+4</f>
        <v>19</v>
      </c>
      <c r="K7" s="3">
        <f>J7/L7</f>
        <v>4.75</v>
      </c>
      <c r="L7" s="3">
        <v>4</v>
      </c>
      <c r="M7" s="3">
        <v>21700</v>
      </c>
      <c r="N7" s="3">
        <f>3/12</f>
        <v>0.25</v>
      </c>
      <c r="O7" s="3">
        <f>0</f>
        <v>0</v>
      </c>
      <c r="P7" s="3">
        <f>2/12</f>
        <v>0.1666666666666667</v>
      </c>
      <c r="Q7" s="3">
        <v>2</v>
      </c>
      <c r="R7" t="s" s="15">
        <v>27</v>
      </c>
      <c r="S7" s="3">
        <v>107</v>
      </c>
    </row>
    <row r="8" ht="13.65" customHeight="1">
      <c r="A8" t="s" s="15">
        <v>37</v>
      </c>
      <c r="B8" s="3">
        <v>7</v>
      </c>
      <c r="C8" t="s" s="15">
        <v>24</v>
      </c>
      <c r="D8" t="s" s="15">
        <v>35</v>
      </c>
      <c r="E8" t="s" s="15">
        <v>38</v>
      </c>
      <c r="F8" s="3">
        <v>118</v>
      </c>
      <c r="G8" s="3">
        <v>1.6</v>
      </c>
      <c r="H8" s="3">
        <f>62.92+61.97+49.73+50.14+37</f>
        <v>261.76</v>
      </c>
      <c r="I8" s="3">
        <f>H8/L8</f>
        <v>52.352</v>
      </c>
      <c r="J8" s="3">
        <f>5+5+4+4+3</f>
        <v>21</v>
      </c>
      <c r="K8" s="3">
        <f>J8/L8</f>
        <v>4.2</v>
      </c>
      <c r="L8" s="3">
        <v>5</v>
      </c>
      <c r="M8" s="3">
        <v>15722</v>
      </c>
      <c r="N8" s="3">
        <f t="shared" si="37" ref="N8:P51">2/11</f>
        <v>0.1818181818181818</v>
      </c>
      <c r="O8" s="3">
        <f t="shared" si="37"/>
        <v>0.1818181818181818</v>
      </c>
      <c r="P8" s="3">
        <f t="shared" si="37"/>
        <v>0.1818181818181818</v>
      </c>
      <c r="Q8" s="3">
        <v>2</v>
      </c>
      <c r="R8" t="s" s="15">
        <v>27</v>
      </c>
      <c r="S8" s="3">
        <v>107</v>
      </c>
    </row>
    <row r="9" ht="13.65" customHeight="1">
      <c r="A9" t="s" s="15">
        <v>39</v>
      </c>
      <c r="B9" s="3">
        <v>6</v>
      </c>
      <c r="C9" t="s" s="15">
        <v>24</v>
      </c>
      <c r="D9" t="s" s="15">
        <v>35</v>
      </c>
      <c r="E9" t="s" s="15">
        <v>38</v>
      </c>
      <c r="F9" s="3">
        <v>122</v>
      </c>
      <c r="G9" s="3">
        <v>0.6</v>
      </c>
      <c r="H9" s="3"/>
      <c r="I9" s="3">
        <f>H9/L9</f>
      </c>
      <c r="J9" s="3"/>
      <c r="K9" s="3">
        <f>J9/L9</f>
      </c>
      <c r="L9" s="3"/>
      <c r="M9" s="3"/>
      <c r="N9" s="3"/>
      <c r="O9" s="3"/>
      <c r="P9" s="3"/>
      <c r="Q9" s="3">
        <v>2</v>
      </c>
      <c r="R9" t="s" s="15">
        <v>27</v>
      </c>
      <c r="S9" s="3">
        <v>106</v>
      </c>
    </row>
    <row r="10" ht="13.65" customHeight="1">
      <c r="A10" t="s" s="15">
        <v>39</v>
      </c>
      <c r="B10" s="3">
        <v>7</v>
      </c>
      <c r="C10" t="s" s="15">
        <v>24</v>
      </c>
      <c r="D10" t="s" s="15">
        <v>35</v>
      </c>
      <c r="E10" t="s" s="15">
        <v>38</v>
      </c>
      <c r="F10" s="3">
        <v>123</v>
      </c>
      <c r="G10" s="3">
        <v>0.5</v>
      </c>
      <c r="H10" s="3"/>
      <c r="I10" s="3">
        <f>H10/L10</f>
      </c>
      <c r="J10" s="3"/>
      <c r="K10" s="3">
        <f>J10/L10</f>
      </c>
      <c r="L10" s="3"/>
      <c r="M10" s="3"/>
      <c r="N10" s="3"/>
      <c r="O10" s="3"/>
      <c r="P10" s="3"/>
      <c r="Q10" s="3">
        <v>2</v>
      </c>
      <c r="R10" t="s" s="15">
        <v>27</v>
      </c>
      <c r="S10" s="3">
        <v>106</v>
      </c>
    </row>
    <row r="11" ht="13.65" customHeight="1">
      <c r="A11" t="s" s="15">
        <v>40</v>
      </c>
      <c r="B11" s="3">
        <v>6.5</v>
      </c>
      <c r="C11" t="s" s="15">
        <v>24</v>
      </c>
      <c r="D11" t="s" s="15">
        <v>35</v>
      </c>
      <c r="E11" t="s" s="15">
        <v>38</v>
      </c>
      <c r="F11" s="3">
        <v>119</v>
      </c>
      <c r="G11" s="3">
        <v>1</v>
      </c>
      <c r="H11" s="3"/>
      <c r="I11" s="3">
        <f>H11/L11</f>
      </c>
      <c r="J11" s="3"/>
      <c r="K11" s="3">
        <f>J11/L11</f>
      </c>
      <c r="L11" s="3"/>
      <c r="M11" s="3"/>
      <c r="N11" s="3"/>
      <c r="O11" s="3"/>
      <c r="P11" s="3"/>
      <c r="Q11" s="3">
        <v>2</v>
      </c>
      <c r="R11" t="s" s="15">
        <v>27</v>
      </c>
      <c r="S11" s="3">
        <v>105</v>
      </c>
    </row>
    <row r="12" ht="13.65" customHeight="1">
      <c r="A12" t="s" s="15">
        <v>41</v>
      </c>
      <c r="B12" s="3">
        <v>7</v>
      </c>
      <c r="C12" t="s" s="15">
        <v>24</v>
      </c>
      <c r="D12" t="s" s="15">
        <v>35</v>
      </c>
      <c r="E12" t="s" s="15">
        <v>38</v>
      </c>
      <c r="F12" s="3">
        <v>123</v>
      </c>
      <c r="G12" s="3">
        <v>5.3</v>
      </c>
      <c r="H12" s="3"/>
      <c r="I12" s="3">
        <f>H12/L12</f>
      </c>
      <c r="J12" s="3"/>
      <c r="K12" s="3">
        <f>J12/L12</f>
      </c>
      <c r="L12" s="3"/>
      <c r="M12" s="3"/>
      <c r="N12" s="3"/>
      <c r="O12" s="3"/>
      <c r="P12" s="3"/>
      <c r="Q12" s="3">
        <v>2</v>
      </c>
      <c r="R12" t="s" s="15">
        <v>27</v>
      </c>
      <c r="S12" s="3">
        <v>105</v>
      </c>
    </row>
    <row r="13" ht="13.65" customHeight="1">
      <c r="A13" t="s" s="15">
        <v>42</v>
      </c>
      <c r="B13" s="3">
        <v>8</v>
      </c>
      <c r="C13" t="s" s="15">
        <v>30</v>
      </c>
      <c r="D13" t="s" s="15">
        <v>35</v>
      </c>
      <c r="E13" t="s" s="15">
        <v>36</v>
      </c>
      <c r="F13" s="3">
        <v>116</v>
      </c>
      <c r="G13" s="3">
        <v>8.9</v>
      </c>
      <c r="H13" s="3"/>
      <c r="I13" s="3">
        <f>H13/L13</f>
      </c>
      <c r="J13" s="3"/>
      <c r="K13" s="3">
        <f>J13/L13</f>
      </c>
      <c r="L13" s="3"/>
      <c r="M13" s="3"/>
      <c r="N13" s="3"/>
      <c r="O13" s="3"/>
      <c r="P13" s="3"/>
      <c r="Q13" s="3">
        <v>2</v>
      </c>
      <c r="R13" t="s" s="15">
        <v>27</v>
      </c>
      <c r="S13" s="3">
        <v>105</v>
      </c>
    </row>
    <row r="14" ht="13.6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ht="13.65" customHeight="1">
      <c r="A15" t="s" s="15">
        <v>43</v>
      </c>
      <c r="B15" s="3">
        <v>8.5</v>
      </c>
      <c r="C15" t="s" s="15">
        <v>24</v>
      </c>
      <c r="D15" t="s" s="15">
        <v>25</v>
      </c>
      <c r="E15" t="s" s="15">
        <v>38</v>
      </c>
      <c r="F15" s="3">
        <v>122</v>
      </c>
      <c r="G15" s="3">
        <v>0.6</v>
      </c>
      <c r="H15" s="3">
        <v>384.14</v>
      </c>
      <c r="I15" s="3">
        <f>H15/L15</f>
        <v>54.87714285714286</v>
      </c>
      <c r="J15" s="3">
        <v>32</v>
      </c>
      <c r="K15" s="3">
        <f>J15/L15</f>
        <v>4.571428571428571</v>
      </c>
      <c r="L15" s="3">
        <v>7</v>
      </c>
      <c r="M15" s="3">
        <v>306545</v>
      </c>
      <c r="N15" s="3">
        <v>1</v>
      </c>
      <c r="O15" s="3">
        <v>0</v>
      </c>
      <c r="P15" s="3">
        <v>0</v>
      </c>
      <c r="Q15" s="3">
        <v>2</v>
      </c>
      <c r="R15" t="s" s="15">
        <v>44</v>
      </c>
      <c r="S15" s="3">
        <v>110</v>
      </c>
    </row>
    <row r="16" ht="13.65" customHeight="1">
      <c r="A16" t="s" s="15">
        <v>45</v>
      </c>
      <c r="B16" s="3">
        <v>6</v>
      </c>
      <c r="C16" t="s" s="15">
        <v>24</v>
      </c>
      <c r="D16" t="s" s="15">
        <v>46</v>
      </c>
      <c r="E16" t="s" s="15">
        <v>38</v>
      </c>
      <c r="F16" s="3">
        <v>118</v>
      </c>
      <c r="G16" s="3">
        <v>0.2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22783</v>
      </c>
      <c r="N16" s="3">
        <f t="shared" si="52" ref="N16:N43">3/7</f>
        <v>0.4285714285714285</v>
      </c>
      <c r="O16" s="3">
        <f t="shared" si="53" ref="O16:P43">1/7</f>
        <v>0.1428571428571428</v>
      </c>
      <c r="P16" s="3">
        <v>0</v>
      </c>
      <c r="Q16" s="3">
        <v>2</v>
      </c>
      <c r="R16" t="s" s="15">
        <v>44</v>
      </c>
      <c r="S16" s="3">
        <v>109</v>
      </c>
    </row>
    <row r="17" ht="13.65" customHeight="1">
      <c r="A17" t="s" s="15">
        <v>47</v>
      </c>
      <c r="B17" s="3">
        <v>6</v>
      </c>
      <c r="C17" t="s" s="15">
        <v>24</v>
      </c>
      <c r="D17" t="s" s="15">
        <v>25</v>
      </c>
      <c r="E17" t="s" s="15">
        <v>48</v>
      </c>
      <c r="F17" s="3">
        <v>119</v>
      </c>
      <c r="G17" s="3">
        <v>8.800000000000001</v>
      </c>
      <c r="H17" s="3">
        <v>100.26</v>
      </c>
      <c r="I17" s="3">
        <f>H17/L17</f>
        <v>50.13</v>
      </c>
      <c r="J17" s="3">
        <v>8</v>
      </c>
      <c r="K17" s="3">
        <f>J17/L17</f>
        <v>4</v>
      </c>
      <c r="L17" s="3">
        <v>2</v>
      </c>
      <c r="M17" s="3">
        <v>63399</v>
      </c>
      <c r="N17" s="3">
        <f t="shared" si="56" ref="N17:N22">4/9</f>
        <v>0.4444444444444444</v>
      </c>
      <c r="O17" s="3">
        <f>1/9</f>
        <v>0.1111111111111111</v>
      </c>
      <c r="P17" s="3">
        <f t="shared" si="11"/>
        <v>0.2222222222222222</v>
      </c>
      <c r="Q17" s="3">
        <v>2</v>
      </c>
      <c r="R17" t="s" s="15">
        <v>44</v>
      </c>
      <c r="S17" s="3">
        <v>108</v>
      </c>
    </row>
    <row r="18" ht="13.65" customHeight="1">
      <c r="A18" t="s" s="15">
        <v>49</v>
      </c>
      <c r="B18" s="3">
        <v>8</v>
      </c>
      <c r="C18" t="s" s="15">
        <v>30</v>
      </c>
      <c r="D18" t="s" s="15">
        <v>25</v>
      </c>
      <c r="E18" t="s" s="15">
        <v>31</v>
      </c>
      <c r="F18" s="3">
        <v>122</v>
      </c>
      <c r="G18" s="3">
        <v>6.4</v>
      </c>
      <c r="H18" s="3">
        <v>329.61</v>
      </c>
      <c r="I18" s="3">
        <f>H18/L18</f>
        <v>54.935</v>
      </c>
      <c r="J18" s="3">
        <v>27</v>
      </c>
      <c r="K18" s="3">
        <f>J18/L18</f>
        <v>4.5</v>
      </c>
      <c r="L18" s="3">
        <v>6</v>
      </c>
      <c r="M18" s="3">
        <v>180805</v>
      </c>
      <c r="N18" s="3">
        <f>8/10</f>
        <v>0.8</v>
      </c>
      <c r="O18" s="3">
        <f t="shared" si="62" ref="O18:O23">1/10</f>
        <v>0.1</v>
      </c>
      <c r="P18" s="3">
        <v>0</v>
      </c>
      <c r="Q18" s="3">
        <v>2</v>
      </c>
      <c r="R18" t="s" s="15">
        <v>44</v>
      </c>
      <c r="S18" s="3">
        <v>107</v>
      </c>
    </row>
    <row r="19" ht="13.65" customHeight="1">
      <c r="A19" t="s" s="15">
        <v>50</v>
      </c>
      <c r="B19" s="3">
        <v>8</v>
      </c>
      <c r="C19" t="s" s="15">
        <v>30</v>
      </c>
      <c r="D19" t="s" s="15">
        <v>25</v>
      </c>
      <c r="E19" t="s" s="15">
        <v>31</v>
      </c>
      <c r="F19" s="3">
        <v>122</v>
      </c>
      <c r="G19" s="3">
        <v>2.9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80840</v>
      </c>
      <c r="N19" s="3">
        <f>5/15</f>
        <v>0.3333333333333333</v>
      </c>
      <c r="O19" s="3">
        <f>2/15</f>
        <v>0.1333333333333333</v>
      </c>
      <c r="P19" s="3">
        <f>4/15</f>
        <v>0.2666666666666667</v>
      </c>
      <c r="Q19" s="3">
        <v>2</v>
      </c>
      <c r="R19" t="s" s="15">
        <v>44</v>
      </c>
      <c r="S19" s="3">
        <v>106</v>
      </c>
    </row>
    <row r="20" ht="13.65" customHeight="1">
      <c r="A20" t="s" s="15">
        <v>51</v>
      </c>
      <c r="B20" s="3">
        <v>8</v>
      </c>
      <c r="C20" t="s" s="15">
        <v>30</v>
      </c>
      <c r="D20" t="s" s="15">
        <v>25</v>
      </c>
      <c r="E20" t="s" s="15">
        <v>31</v>
      </c>
      <c r="F20" s="3">
        <v>122</v>
      </c>
      <c r="G20" s="3">
        <v>14.1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47694</v>
      </c>
      <c r="N20" s="3">
        <f t="shared" si="66" ref="N20:O46">4/11</f>
        <v>0.3636363636363636</v>
      </c>
      <c r="O20" s="3">
        <f t="shared" si="16"/>
        <v>0.2727272727272727</v>
      </c>
      <c r="P20" s="3">
        <f t="shared" si="68" ref="P20:P39">1/11</f>
        <v>0.09090909090909091</v>
      </c>
      <c r="Q20" s="3">
        <v>2</v>
      </c>
      <c r="R20" t="s" s="15">
        <v>44</v>
      </c>
      <c r="S20" s="3">
        <v>106</v>
      </c>
    </row>
    <row r="21" ht="13.65" customHeight="1">
      <c r="A21" t="s" s="15">
        <v>52</v>
      </c>
      <c r="B21" s="3">
        <v>8</v>
      </c>
      <c r="C21" t="s" s="15">
        <v>30</v>
      </c>
      <c r="D21" t="s" s="15">
        <v>25</v>
      </c>
      <c r="E21" t="s" s="15">
        <v>31</v>
      </c>
      <c r="F21" s="3">
        <v>122</v>
      </c>
      <c r="G21" s="3">
        <v>9.6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29153</v>
      </c>
      <c r="N21" s="3">
        <f t="shared" si="69" ref="N21:P21">1/6</f>
        <v>0.1666666666666667</v>
      </c>
      <c r="O21" s="3">
        <f t="shared" si="69"/>
        <v>0.1666666666666667</v>
      </c>
      <c r="P21" s="3">
        <f t="shared" si="69"/>
        <v>0.1666666666666667</v>
      </c>
      <c r="Q21" s="3">
        <v>2</v>
      </c>
      <c r="R21" t="s" s="15">
        <v>44</v>
      </c>
      <c r="S21" s="3">
        <v>105</v>
      </c>
    </row>
    <row r="22" ht="13.65" customHeight="1">
      <c r="A22" t="s" s="15">
        <v>53</v>
      </c>
      <c r="B22" s="3">
        <v>8.5</v>
      </c>
      <c r="C22" t="s" s="15">
        <v>24</v>
      </c>
      <c r="D22" t="s" s="15">
        <v>54</v>
      </c>
      <c r="E22" t="s" s="15">
        <v>55</v>
      </c>
      <c r="F22" s="3">
        <v>119</v>
      </c>
      <c r="G22" s="3">
        <v>2.1</v>
      </c>
      <c r="H22" s="3">
        <v>245.41</v>
      </c>
      <c r="I22" s="3">
        <f>H22/L22</f>
        <v>49.082</v>
      </c>
      <c r="J22" s="3">
        <v>20</v>
      </c>
      <c r="K22" s="3">
        <f>J22/L22</f>
        <v>4</v>
      </c>
      <c r="L22" s="3">
        <v>5</v>
      </c>
      <c r="M22" s="3">
        <v>117124</v>
      </c>
      <c r="N22" s="3">
        <f t="shared" si="56"/>
        <v>0.4444444444444444</v>
      </c>
      <c r="O22" s="3">
        <f t="shared" si="10"/>
        <v>0.3333333333333333</v>
      </c>
      <c r="P22" s="3">
        <f t="shared" si="12"/>
        <v>0.1111111111111111</v>
      </c>
      <c r="Q22" s="3">
        <v>2</v>
      </c>
      <c r="R22" t="s" s="15">
        <v>44</v>
      </c>
      <c r="S22" s="3">
        <v>105</v>
      </c>
    </row>
    <row r="23" ht="13.65" customHeight="1">
      <c r="A23" t="s" s="15">
        <v>56</v>
      </c>
      <c r="B23" s="3">
        <v>8</v>
      </c>
      <c r="C23" t="s" s="15">
        <v>30</v>
      </c>
      <c r="D23" t="s" s="15">
        <v>25</v>
      </c>
      <c r="E23" t="s" s="15">
        <v>36</v>
      </c>
      <c r="F23" s="3">
        <v>118</v>
      </c>
      <c r="G23" s="3">
        <v>5.1</v>
      </c>
      <c r="H23" s="3">
        <v>306.4</v>
      </c>
      <c r="I23" s="3">
        <f>H23/L23</f>
        <v>61.27999999999999</v>
      </c>
      <c r="J23" s="3">
        <v>25</v>
      </c>
      <c r="K23" s="3">
        <f>J23/L23</f>
        <v>5</v>
      </c>
      <c r="L23" s="3">
        <v>5</v>
      </c>
      <c r="M23" s="3">
        <v>19478</v>
      </c>
      <c r="N23" s="3">
        <f>5/10</f>
        <v>0.5</v>
      </c>
      <c r="O23" s="3">
        <f t="shared" si="62"/>
        <v>0.1</v>
      </c>
      <c r="P23" s="3">
        <v>0</v>
      </c>
      <c r="Q23" s="3">
        <v>2</v>
      </c>
      <c r="R23" t="s" s="15">
        <v>44</v>
      </c>
      <c r="S23" s="3">
        <v>105</v>
      </c>
    </row>
    <row r="24" ht="13.6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ht="13.65" customHeight="1">
      <c r="A25" t="s" s="15">
        <v>57</v>
      </c>
      <c r="B25" s="3">
        <v>10</v>
      </c>
      <c r="C25" t="s" s="15">
        <v>30</v>
      </c>
      <c r="D25" t="s" s="15">
        <v>58</v>
      </c>
      <c r="E25" t="s" s="15">
        <v>36</v>
      </c>
      <c r="F25" s="3">
        <v>121</v>
      </c>
      <c r="G25" s="3">
        <v>2.4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283369</v>
      </c>
      <c r="N25" s="3">
        <f>6/18</f>
        <v>0.3333333333333333</v>
      </c>
      <c r="O25" s="3">
        <f>5/18</f>
        <v>0.2777777777777778</v>
      </c>
      <c r="P25" s="3">
        <f>1/18</f>
        <v>0.05555555555555555</v>
      </c>
      <c r="Q25" s="3">
        <v>3</v>
      </c>
      <c r="R25" t="s" s="15">
        <v>27</v>
      </c>
      <c r="S25" s="3">
        <v>121</v>
      </c>
    </row>
    <row r="26" ht="13.65" customHeight="1">
      <c r="A26" t="s" s="15">
        <v>59</v>
      </c>
      <c r="B26" s="3">
        <v>7</v>
      </c>
      <c r="C26" t="s" s="15">
        <v>24</v>
      </c>
      <c r="D26" t="s" s="15">
        <v>46</v>
      </c>
      <c r="E26" t="s" s="15">
        <v>38</v>
      </c>
      <c r="F26" s="3">
        <v>117</v>
      </c>
      <c r="G26" s="3">
        <v>11.3</v>
      </c>
      <c r="H26" s="3">
        <v>297.8</v>
      </c>
      <c r="I26" s="3">
        <f>H26/L26</f>
        <v>59.56</v>
      </c>
      <c r="J26" s="3">
        <v>25</v>
      </c>
      <c r="K26" s="3">
        <f>J26/L26</f>
        <v>5</v>
      </c>
      <c r="L26" s="3">
        <v>5</v>
      </c>
      <c r="M26" s="3">
        <v>165139</v>
      </c>
      <c r="N26" s="3">
        <f t="shared" si="86" ref="N26:N119">7/9</f>
        <v>0.7777777777777778</v>
      </c>
      <c r="O26" s="3">
        <v>0</v>
      </c>
      <c r="P26" s="3">
        <v>0</v>
      </c>
      <c r="Q26" s="3">
        <v>3</v>
      </c>
      <c r="R26" t="s" s="15">
        <v>27</v>
      </c>
      <c r="S26" s="3">
        <v>121</v>
      </c>
    </row>
    <row r="27" ht="13.65" customHeight="1">
      <c r="A27" t="s" s="15">
        <v>60</v>
      </c>
      <c r="B27" s="3">
        <v>6</v>
      </c>
      <c r="C27" t="s" s="15">
        <v>24</v>
      </c>
      <c r="D27" t="s" s="15">
        <v>25</v>
      </c>
      <c r="E27" t="s" s="15">
        <v>38</v>
      </c>
      <c r="F27" s="3">
        <v>114</v>
      </c>
      <c r="G27" s="3">
        <v>2</v>
      </c>
      <c r="H27" s="3">
        <v>374.8</v>
      </c>
      <c r="I27" s="3">
        <f>H27/L27</f>
        <v>53.54285714285714</v>
      </c>
      <c r="J27" s="3">
        <v>32</v>
      </c>
      <c r="K27" s="3">
        <f>J27/L27</f>
        <v>4.571428571428571</v>
      </c>
      <c r="L27" s="3">
        <v>7</v>
      </c>
      <c r="M27" s="3">
        <v>48510</v>
      </c>
      <c r="N27" s="3">
        <f t="shared" si="89" ref="N27:O116">6/16</f>
        <v>0.375</v>
      </c>
      <c r="O27" s="3">
        <f t="shared" si="89"/>
        <v>0.375</v>
      </c>
      <c r="P27" s="3">
        <f t="shared" si="91" ref="P27:P116">1/16</f>
        <v>0.0625</v>
      </c>
      <c r="Q27" s="3">
        <v>3</v>
      </c>
      <c r="R27" t="s" s="15">
        <v>27</v>
      </c>
      <c r="S27" s="3">
        <v>121</v>
      </c>
    </row>
    <row r="28" ht="13.65" customHeight="1">
      <c r="A28" t="s" s="15">
        <v>59</v>
      </c>
      <c r="B28" s="3">
        <v>6</v>
      </c>
      <c r="C28" t="s" s="15">
        <v>24</v>
      </c>
      <c r="D28" t="s" s="15">
        <v>25</v>
      </c>
      <c r="E28" t="s" s="15">
        <v>38</v>
      </c>
      <c r="F28" s="3">
        <v>124</v>
      </c>
      <c r="G28" s="3">
        <v>1.6</v>
      </c>
      <c r="H28" s="3">
        <v>297.4</v>
      </c>
      <c r="I28" s="3">
        <f>H28/L28</f>
        <v>59.48</v>
      </c>
      <c r="J28" s="3">
        <v>25</v>
      </c>
      <c r="K28" s="3">
        <f>J28/L28</f>
        <v>5</v>
      </c>
      <c r="L28" s="3">
        <v>5</v>
      </c>
      <c r="M28" s="3">
        <v>165139</v>
      </c>
      <c r="N28" s="3">
        <f t="shared" si="86"/>
        <v>0.7777777777777778</v>
      </c>
      <c r="O28" s="3">
        <v>0</v>
      </c>
      <c r="P28" s="3">
        <v>0</v>
      </c>
      <c r="Q28" s="3">
        <v>3</v>
      </c>
      <c r="R28" t="s" s="15">
        <v>27</v>
      </c>
      <c r="S28" s="3">
        <v>120</v>
      </c>
    </row>
    <row r="29" ht="13.65" customHeight="1">
      <c r="A29" t="s" s="15">
        <v>61</v>
      </c>
      <c r="B29" s="3">
        <v>8.5</v>
      </c>
      <c r="C29" t="s" s="15">
        <v>24</v>
      </c>
      <c r="D29" t="s" s="15">
        <v>25</v>
      </c>
      <c r="E29" t="s" s="15">
        <v>38</v>
      </c>
      <c r="F29" s="3">
        <v>115</v>
      </c>
      <c r="G29" s="3">
        <v>21.4</v>
      </c>
      <c r="H29" s="3">
        <v>214.08</v>
      </c>
      <c r="I29" s="3">
        <f>H29/L29</f>
        <v>53.52</v>
      </c>
      <c r="J29" s="3">
        <v>18</v>
      </c>
      <c r="K29" s="3">
        <f>J29/L29</f>
        <v>4.5</v>
      </c>
      <c r="L29" s="3">
        <v>4</v>
      </c>
      <c r="M29" s="3">
        <v>13518</v>
      </c>
      <c r="N29" s="3">
        <f>6/21</f>
        <v>0.2857142857142857</v>
      </c>
      <c r="O29" s="3">
        <f>3/21</f>
        <v>0.1428571428571428</v>
      </c>
      <c r="P29" s="3">
        <f t="shared" si="99" ref="P29:P121">4/21</f>
        <v>0.1904761904761905</v>
      </c>
      <c r="Q29" s="3">
        <v>3</v>
      </c>
      <c r="R29" t="s" s="15">
        <v>27</v>
      </c>
      <c r="S29" s="3">
        <v>118</v>
      </c>
    </row>
    <row r="30" ht="13.65" customHeight="1">
      <c r="A30" t="s" s="15">
        <v>62</v>
      </c>
      <c r="B30" s="3">
        <v>8</v>
      </c>
      <c r="C30" t="s" s="15">
        <v>24</v>
      </c>
      <c r="D30" t="s" s="15">
        <v>35</v>
      </c>
      <c r="E30" t="s" s="15">
        <v>38</v>
      </c>
      <c r="F30" s="3">
        <v>122</v>
      </c>
      <c r="G30" s="3">
        <v>0.3</v>
      </c>
      <c r="H30" s="3">
        <v>393.1</v>
      </c>
      <c r="I30" s="3">
        <f>H30/L30</f>
        <v>65.51666666666667</v>
      </c>
      <c r="J30" s="3">
        <v>33</v>
      </c>
      <c r="K30" s="3">
        <f>J30/L30</f>
        <v>5.5</v>
      </c>
      <c r="L30" s="3">
        <v>6</v>
      </c>
      <c r="M30" s="3">
        <v>148652</v>
      </c>
      <c r="N30" s="3">
        <f t="shared" si="102" ref="N30:N113">8/13</f>
        <v>0.6153846153846154</v>
      </c>
      <c r="O30" s="3">
        <f t="shared" si="103" ref="O30:P118">2/13</f>
        <v>0.1538461538461539</v>
      </c>
      <c r="P30" s="3">
        <f t="shared" si="103"/>
        <v>0.1538461538461539</v>
      </c>
      <c r="Q30" s="3">
        <v>3</v>
      </c>
      <c r="R30" t="s" s="15">
        <v>27</v>
      </c>
      <c r="S30" s="3">
        <v>118</v>
      </c>
    </row>
    <row r="31" ht="13.65" customHeight="1">
      <c r="A31" t="s" s="15">
        <v>63</v>
      </c>
      <c r="B31" s="3">
        <v>10</v>
      </c>
      <c r="C31" t="s" s="15">
        <v>24</v>
      </c>
      <c r="D31" t="s" s="15">
        <v>25</v>
      </c>
      <c r="E31" t="s" s="15">
        <v>38</v>
      </c>
      <c r="F31" s="3">
        <v>122</v>
      </c>
      <c r="G31" s="3">
        <v>0.7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786391</v>
      </c>
      <c r="N31" s="3">
        <f>9/11</f>
        <v>0.8181818181818182</v>
      </c>
      <c r="O31" s="3">
        <f>1/11</f>
        <v>0.09090909090909091</v>
      </c>
      <c r="P31" s="3">
        <v>0</v>
      </c>
      <c r="Q31" s="3">
        <v>3</v>
      </c>
      <c r="R31" t="s" s="15">
        <v>27</v>
      </c>
      <c r="S31" s="3">
        <v>118</v>
      </c>
    </row>
    <row r="32" ht="13.65" customHeight="1">
      <c r="A32" t="s" s="15">
        <v>62</v>
      </c>
      <c r="B32" s="3">
        <v>9</v>
      </c>
      <c r="C32" t="s" s="15">
        <v>24</v>
      </c>
      <c r="D32" t="s" s="15">
        <v>35</v>
      </c>
      <c r="E32" t="s" s="15">
        <v>38</v>
      </c>
      <c r="F32" s="3">
        <v>124</v>
      </c>
      <c r="G32" s="3">
        <v>0.6</v>
      </c>
      <c r="H32" s="3">
        <v>393.1</v>
      </c>
      <c r="I32" s="3">
        <f>H32/L32</f>
        <v>65.51666666666667</v>
      </c>
      <c r="J32" s="3">
        <v>33</v>
      </c>
      <c r="K32" s="3">
        <f>J32/L32</f>
        <v>5.5</v>
      </c>
      <c r="L32" s="3">
        <v>6</v>
      </c>
      <c r="M32" s="3">
        <v>148652</v>
      </c>
      <c r="N32" s="3">
        <f t="shared" si="102"/>
        <v>0.6153846153846154</v>
      </c>
      <c r="O32" s="3">
        <f t="shared" si="103"/>
        <v>0.1538461538461539</v>
      </c>
      <c r="P32" s="3">
        <f t="shared" si="103"/>
        <v>0.1538461538461539</v>
      </c>
      <c r="Q32" s="3">
        <v>3</v>
      </c>
      <c r="R32" t="s" s="15">
        <v>27</v>
      </c>
      <c r="S32" s="3">
        <v>118</v>
      </c>
    </row>
    <row r="33" ht="13.65" customHeight="1">
      <c r="A33" t="s" s="15">
        <v>64</v>
      </c>
      <c r="B33" s="3">
        <v>8</v>
      </c>
      <c r="C33" t="s" s="15">
        <v>30</v>
      </c>
      <c r="D33" t="s" s="15">
        <v>25</v>
      </c>
      <c r="E33" t="s" s="15">
        <v>65</v>
      </c>
      <c r="F33" s="3">
        <v>123</v>
      </c>
      <c r="G33" s="3">
        <v>4.9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96497</v>
      </c>
      <c r="N33" s="3">
        <f>4/7</f>
        <v>0.5714285714285714</v>
      </c>
      <c r="O33" s="3">
        <f t="shared" si="53"/>
        <v>0.1428571428571428</v>
      </c>
      <c r="P33" s="3">
        <v>0</v>
      </c>
      <c r="Q33" s="3">
        <v>3</v>
      </c>
      <c r="R33" t="s" s="15">
        <v>27</v>
      </c>
      <c r="S33" s="3">
        <v>116</v>
      </c>
    </row>
    <row r="34" ht="13.65" customHeight="1">
      <c r="A34" t="s" s="15">
        <v>66</v>
      </c>
      <c r="B34" s="3">
        <v>8</v>
      </c>
      <c r="C34" t="s" s="15">
        <v>24</v>
      </c>
      <c r="D34" t="s" s="15">
        <v>25</v>
      </c>
      <c r="E34" t="s" s="15">
        <v>65</v>
      </c>
      <c r="F34" s="3">
        <v>113</v>
      </c>
      <c r="G34" s="3">
        <v>3.1</v>
      </c>
      <c r="H34" s="3">
        <v>161.8</v>
      </c>
      <c r="I34" s="3">
        <f>H34/L34</f>
        <v>53.93333333333334</v>
      </c>
      <c r="J34" s="3">
        <v>13</v>
      </c>
      <c r="K34" s="3">
        <f>J34/L34</f>
        <v>4.333333333333333</v>
      </c>
      <c r="L34" s="3">
        <v>3</v>
      </c>
      <c r="M34" s="3">
        <v>14959</v>
      </c>
      <c r="N34" s="3">
        <f>5/14</f>
        <v>0.3571428571428572</v>
      </c>
      <c r="O34" s="3">
        <f>3/14</f>
        <v>0.2142857142857143</v>
      </c>
      <c r="P34" s="3">
        <f>1/14</f>
        <v>0.07142857142857142</v>
      </c>
      <c r="Q34" s="3">
        <v>3</v>
      </c>
      <c r="R34" t="s" s="15">
        <v>27</v>
      </c>
      <c r="S34" s="3">
        <v>116</v>
      </c>
    </row>
    <row r="35" ht="13.6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16"/>
      <c r="N35" s="3"/>
      <c r="O35" s="3"/>
      <c r="P35" s="3"/>
      <c r="Q35" s="3"/>
      <c r="R35" s="3"/>
      <c r="S35" s="3"/>
    </row>
    <row r="36" ht="13.65" customHeight="1">
      <c r="A36" t="s" s="15">
        <v>67</v>
      </c>
      <c r="B36" s="3">
        <v>9.5</v>
      </c>
      <c r="C36" t="s" s="15">
        <v>30</v>
      </c>
      <c r="D36" t="s" s="15">
        <v>25</v>
      </c>
      <c r="E36" t="s" s="15">
        <v>65</v>
      </c>
      <c r="F36" s="3">
        <v>120</v>
      </c>
      <c r="G36" s="3">
        <v>0.9</v>
      </c>
      <c r="H36" s="3">
        <v>0</v>
      </c>
      <c r="I36" s="3">
        <v>0</v>
      </c>
      <c r="J36" s="3">
        <v>0</v>
      </c>
      <c r="K36" s="3">
        <v>0</v>
      </c>
      <c r="L36" s="7">
        <v>0</v>
      </c>
      <c r="M36" s="17">
        <v>156207</v>
      </c>
      <c r="N36" s="18">
        <f t="shared" si="119" ref="N36:N39">5/11</f>
        <v>0.4545454545454545</v>
      </c>
      <c r="O36" s="3">
        <f t="shared" si="66"/>
        <v>0.3636363636363636</v>
      </c>
      <c r="P36" s="3">
        <v>0</v>
      </c>
      <c r="Q36" s="3">
        <v>3</v>
      </c>
      <c r="R36" t="s" s="15">
        <v>44</v>
      </c>
      <c r="S36" s="3">
        <v>119</v>
      </c>
    </row>
    <row r="37" ht="13.65" customHeight="1">
      <c r="A37" t="s" s="15">
        <v>68</v>
      </c>
      <c r="B37" s="3">
        <v>9</v>
      </c>
      <c r="C37" t="s" s="15">
        <v>30</v>
      </c>
      <c r="D37" t="s" s="15">
        <v>35</v>
      </c>
      <c r="E37" t="s" s="15">
        <v>36</v>
      </c>
      <c r="F37" s="3">
        <v>114</v>
      </c>
      <c r="G37" s="3">
        <v>1.65</v>
      </c>
      <c r="H37" s="3">
        <v>245</v>
      </c>
      <c r="I37" s="3">
        <f>H37/L37</f>
        <v>49</v>
      </c>
      <c r="J37" s="3">
        <v>20</v>
      </c>
      <c r="K37" s="3">
        <f>J37/L37</f>
        <v>4</v>
      </c>
      <c r="L37" s="7">
        <v>5</v>
      </c>
      <c r="M37" s="17">
        <v>89490</v>
      </c>
      <c r="N37" s="18">
        <v>0.5</v>
      </c>
      <c r="O37" s="3">
        <v>0</v>
      </c>
      <c r="P37" s="3">
        <v>0.2</v>
      </c>
      <c r="Q37" s="3">
        <v>3</v>
      </c>
      <c r="R37" t="s" s="15">
        <v>44</v>
      </c>
      <c r="S37" s="3">
        <v>116</v>
      </c>
    </row>
    <row r="38" ht="13.65" customHeight="1">
      <c r="A38" t="s" s="15">
        <v>69</v>
      </c>
      <c r="B38" s="3">
        <v>9.5</v>
      </c>
      <c r="C38" t="s" s="15">
        <v>30</v>
      </c>
      <c r="D38" t="s" s="15">
        <v>58</v>
      </c>
      <c r="E38" t="s" s="15">
        <v>31</v>
      </c>
      <c r="F38" s="3">
        <v>117</v>
      </c>
      <c r="G38" s="3">
        <v>3.8</v>
      </c>
      <c r="H38" s="3">
        <v>0</v>
      </c>
      <c r="I38" s="3">
        <v>0</v>
      </c>
      <c r="J38" s="3">
        <v>0</v>
      </c>
      <c r="K38" s="3">
        <v>0</v>
      </c>
      <c r="L38" s="7">
        <v>0</v>
      </c>
      <c r="M38" s="17">
        <v>39572</v>
      </c>
      <c r="N38" s="18">
        <f t="shared" si="123" ref="N38:P38">1/8</f>
        <v>0.125</v>
      </c>
      <c r="O38" s="3">
        <f>3/8</f>
        <v>0.375</v>
      </c>
      <c r="P38" s="3">
        <f t="shared" si="123"/>
        <v>0.125</v>
      </c>
      <c r="Q38" s="3">
        <v>3</v>
      </c>
      <c r="R38" t="s" s="15">
        <v>44</v>
      </c>
      <c r="S38" s="3">
        <v>116</v>
      </c>
    </row>
    <row r="39" ht="13.65" customHeight="1">
      <c r="A39" t="s" s="15">
        <v>70</v>
      </c>
      <c r="B39" s="3">
        <v>10</v>
      </c>
      <c r="C39" t="s" s="15">
        <v>30</v>
      </c>
      <c r="D39" t="s" s="15">
        <v>25</v>
      </c>
      <c r="E39" t="s" s="15">
        <v>65</v>
      </c>
      <c r="F39" s="3">
        <v>119</v>
      </c>
      <c r="G39" s="3">
        <v>2.45</v>
      </c>
      <c r="H39" s="3">
        <v>0</v>
      </c>
      <c r="I39" s="3">
        <v>0</v>
      </c>
      <c r="J39" s="3">
        <v>0</v>
      </c>
      <c r="K39" s="3">
        <v>0</v>
      </c>
      <c r="L39" s="7">
        <v>0</v>
      </c>
      <c r="M39" s="17">
        <v>50490</v>
      </c>
      <c r="N39" s="18">
        <f t="shared" si="119"/>
        <v>0.4545454545454545</v>
      </c>
      <c r="O39" s="3">
        <v>0</v>
      </c>
      <c r="P39" s="3">
        <f t="shared" si="68"/>
        <v>0.09090909090909091</v>
      </c>
      <c r="Q39" s="3">
        <v>3</v>
      </c>
      <c r="R39" t="s" s="15">
        <v>44</v>
      </c>
      <c r="S39" s="3">
        <v>116</v>
      </c>
    </row>
    <row r="40" ht="13.65" customHeight="1">
      <c r="A40" t="s" s="15">
        <v>71</v>
      </c>
      <c r="B40" s="3">
        <v>9</v>
      </c>
      <c r="C40" t="s" s="15">
        <v>30</v>
      </c>
      <c r="D40" t="s" s="15">
        <v>35</v>
      </c>
      <c r="E40" t="s" s="15">
        <v>36</v>
      </c>
      <c r="F40" s="3">
        <v>122</v>
      </c>
      <c r="G40" s="3">
        <v>6.2</v>
      </c>
      <c r="H40" s="3">
        <v>0</v>
      </c>
      <c r="I40" s="3">
        <v>0</v>
      </c>
      <c r="J40" s="3">
        <v>0</v>
      </c>
      <c r="K40" s="3">
        <v>0</v>
      </c>
      <c r="L40" s="7">
        <v>0</v>
      </c>
      <c r="M40" s="19">
        <v>25128</v>
      </c>
      <c r="N40" s="18">
        <f>5/18</f>
        <v>0.2777777777777778</v>
      </c>
      <c r="O40" s="3">
        <f>1/18</f>
        <v>0.05555555555555555</v>
      </c>
      <c r="P40" s="3">
        <f>2/18</f>
        <v>0.1111111111111111</v>
      </c>
      <c r="Q40" s="3">
        <v>3</v>
      </c>
      <c r="R40" t="s" s="15">
        <v>44</v>
      </c>
      <c r="S40" s="3">
        <v>115</v>
      </c>
    </row>
    <row r="41" ht="13.65" customHeight="1">
      <c r="A41" t="s" s="15">
        <v>72</v>
      </c>
      <c r="B41" s="3">
        <v>12</v>
      </c>
      <c r="C41" t="s" s="15">
        <v>30</v>
      </c>
      <c r="D41" t="s" s="15">
        <v>25</v>
      </c>
      <c r="E41" t="s" s="15">
        <v>65</v>
      </c>
      <c r="F41" s="3">
        <v>119</v>
      </c>
      <c r="G41" s="3">
        <v>6.4</v>
      </c>
      <c r="H41" s="3">
        <v>0</v>
      </c>
      <c r="I41" s="3">
        <v>0</v>
      </c>
      <c r="J41" s="3">
        <v>0</v>
      </c>
      <c r="K41" s="3">
        <v>0</v>
      </c>
      <c r="L41" s="7">
        <v>0</v>
      </c>
      <c r="M41" s="17">
        <v>363671</v>
      </c>
      <c r="N41" s="18">
        <f>6/19</f>
        <v>0.3157894736842105</v>
      </c>
      <c r="O41" s="3">
        <f>10/19</f>
        <v>0.5263157894736842</v>
      </c>
      <c r="P41" s="3">
        <f t="shared" si="133" ref="P41:P123">2/19</f>
        <v>0.1052631578947368</v>
      </c>
      <c r="Q41" s="3">
        <v>3</v>
      </c>
      <c r="R41" t="s" s="15">
        <v>44</v>
      </c>
      <c r="S41" s="3">
        <v>115</v>
      </c>
    </row>
    <row r="42" ht="13.65" customHeight="1">
      <c r="A42" t="s" s="15">
        <v>73</v>
      </c>
      <c r="B42" s="3">
        <v>5.5</v>
      </c>
      <c r="C42" t="s" s="15">
        <v>30</v>
      </c>
      <c r="D42" t="s" s="15">
        <v>25</v>
      </c>
      <c r="E42" t="s" s="15">
        <v>65</v>
      </c>
      <c r="F42" s="3">
        <v>121</v>
      </c>
      <c r="G42" s="3">
        <v>4.5</v>
      </c>
      <c r="H42" s="3">
        <v>147.26</v>
      </c>
      <c r="I42" s="3">
        <f>H42/L42</f>
        <v>49.08666666666667</v>
      </c>
      <c r="J42" s="3">
        <v>12</v>
      </c>
      <c r="K42" s="3">
        <f>J42/L42</f>
        <v>4</v>
      </c>
      <c r="L42" s="7">
        <v>3</v>
      </c>
      <c r="M42" s="17">
        <v>44819</v>
      </c>
      <c r="N42" s="18">
        <f>13/20</f>
        <v>0.65</v>
      </c>
      <c r="O42" s="3">
        <f t="shared" si="137" ref="O42:P42">2/20</f>
        <v>0.1</v>
      </c>
      <c r="P42" s="3">
        <f t="shared" si="137"/>
        <v>0.1</v>
      </c>
      <c r="Q42" s="3">
        <v>3</v>
      </c>
      <c r="R42" t="s" s="15">
        <v>44</v>
      </c>
      <c r="S42" s="3">
        <v>115</v>
      </c>
    </row>
    <row r="43" ht="13.65" customHeight="1">
      <c r="A43" t="s" s="15">
        <v>74</v>
      </c>
      <c r="B43" s="3">
        <v>9.5</v>
      </c>
      <c r="C43" t="s" s="15">
        <v>30</v>
      </c>
      <c r="D43" t="s" s="15">
        <v>25</v>
      </c>
      <c r="E43" t="s" s="15">
        <v>65</v>
      </c>
      <c r="F43" s="3">
        <v>120</v>
      </c>
      <c r="G43" s="3">
        <v>13.2</v>
      </c>
      <c r="H43" s="3">
        <v>0</v>
      </c>
      <c r="I43" s="3">
        <v>0</v>
      </c>
      <c r="J43" s="3">
        <v>0</v>
      </c>
      <c r="K43" s="3">
        <v>0</v>
      </c>
      <c r="L43" s="7">
        <v>0</v>
      </c>
      <c r="M43" s="17">
        <v>59804</v>
      </c>
      <c r="N43" s="18">
        <f t="shared" si="52"/>
        <v>0.4285714285714285</v>
      </c>
      <c r="O43" s="3">
        <v>0</v>
      </c>
      <c r="P43" s="3">
        <f t="shared" si="53"/>
        <v>0.1428571428571428</v>
      </c>
      <c r="Q43" s="3">
        <v>3</v>
      </c>
      <c r="R43" t="s" s="15">
        <v>44</v>
      </c>
      <c r="S43" s="3">
        <v>115</v>
      </c>
    </row>
    <row r="44" ht="13.65" customHeight="1">
      <c r="A44" t="s" s="15">
        <v>68</v>
      </c>
      <c r="B44" s="3">
        <v>9.5</v>
      </c>
      <c r="C44" t="s" s="15">
        <v>30</v>
      </c>
      <c r="D44" t="s" s="15">
        <v>25</v>
      </c>
      <c r="E44" t="s" s="15">
        <v>65</v>
      </c>
      <c r="F44" s="3">
        <v>120</v>
      </c>
      <c r="G44" s="3">
        <v>14.6</v>
      </c>
      <c r="H44" s="3">
        <v>245</v>
      </c>
      <c r="I44" s="3">
        <f>H44/L44</f>
        <v>49</v>
      </c>
      <c r="J44" s="3">
        <v>20</v>
      </c>
      <c r="K44" s="3">
        <f>J44/L44</f>
        <v>4</v>
      </c>
      <c r="L44" s="7">
        <v>5</v>
      </c>
      <c r="M44" s="17">
        <v>89490</v>
      </c>
      <c r="N44" s="18">
        <v>0.5</v>
      </c>
      <c r="O44" s="3">
        <v>0</v>
      </c>
      <c r="P44" s="3">
        <v>0.2</v>
      </c>
      <c r="Q44" s="3">
        <v>3</v>
      </c>
      <c r="R44" t="s" s="15">
        <v>44</v>
      </c>
      <c r="S44" s="3">
        <v>115</v>
      </c>
    </row>
    <row r="45" ht="13.65" customHeight="1">
      <c r="A45" t="s" s="15">
        <v>75</v>
      </c>
      <c r="B45" s="3">
        <v>9</v>
      </c>
      <c r="C45" t="s" s="15">
        <v>30</v>
      </c>
      <c r="D45" t="s" s="15">
        <v>35</v>
      </c>
      <c r="E45" t="s" s="15">
        <v>36</v>
      </c>
      <c r="F45" s="3">
        <v>118</v>
      </c>
      <c r="G45" s="3">
        <v>3.2</v>
      </c>
      <c r="H45" s="3">
        <v>245.2</v>
      </c>
      <c r="I45" s="3">
        <f>H45/L45</f>
        <v>61.3</v>
      </c>
      <c r="J45" s="3">
        <v>30</v>
      </c>
      <c r="K45" s="3">
        <f>J45/L45</f>
        <v>7.5</v>
      </c>
      <c r="L45" s="7">
        <v>4</v>
      </c>
      <c r="M45" s="17">
        <v>47157</v>
      </c>
      <c r="N45" s="18">
        <f>4/13</f>
        <v>0.3076923076923077</v>
      </c>
      <c r="O45" s="3">
        <f>3/13</f>
        <v>0.2307692307692308</v>
      </c>
      <c r="P45" s="3">
        <f t="shared" si="103"/>
        <v>0.1538461538461539</v>
      </c>
      <c r="Q45" s="3">
        <v>3</v>
      </c>
      <c r="R45" t="s" s="15">
        <v>44</v>
      </c>
      <c r="S45" s="3">
        <v>114</v>
      </c>
    </row>
    <row r="46" ht="13.65" customHeight="1">
      <c r="A46" t="s" s="15">
        <v>76</v>
      </c>
      <c r="B46" s="3">
        <v>9</v>
      </c>
      <c r="C46" t="s" s="15">
        <v>30</v>
      </c>
      <c r="D46" t="s" s="15">
        <v>35</v>
      </c>
      <c r="E46" t="s" s="15">
        <v>36</v>
      </c>
      <c r="F46" s="3">
        <v>122</v>
      </c>
      <c r="G46" s="3">
        <v>14.5</v>
      </c>
      <c r="H46" s="3">
        <v>0</v>
      </c>
      <c r="I46" s="3">
        <v>0</v>
      </c>
      <c r="J46" s="3">
        <v>0</v>
      </c>
      <c r="K46" s="3">
        <v>0</v>
      </c>
      <c r="L46" s="7">
        <v>0</v>
      </c>
      <c r="M46" s="17">
        <v>50963</v>
      </c>
      <c r="N46" s="18">
        <f t="shared" si="66"/>
        <v>0.3636363636363636</v>
      </c>
      <c r="O46" s="3">
        <f t="shared" si="37"/>
        <v>0.1818181818181818</v>
      </c>
      <c r="P46" s="3">
        <v>0</v>
      </c>
      <c r="Q46" s="3">
        <v>3</v>
      </c>
      <c r="R46" t="s" s="15">
        <v>44</v>
      </c>
      <c r="S46" s="3">
        <v>114</v>
      </c>
    </row>
    <row r="47" ht="13.65" customHeight="1">
      <c r="A47" t="s" s="15">
        <v>77</v>
      </c>
      <c r="B47" s="3">
        <v>8</v>
      </c>
      <c r="C47" t="s" s="15">
        <v>30</v>
      </c>
      <c r="D47" t="s" s="15">
        <v>25</v>
      </c>
      <c r="E47" t="s" s="15">
        <v>65</v>
      </c>
      <c r="F47" s="3">
        <v>120</v>
      </c>
      <c r="G47" s="3">
        <v>15.4</v>
      </c>
      <c r="H47" s="3">
        <v>0</v>
      </c>
      <c r="I47" s="3">
        <v>0</v>
      </c>
      <c r="J47" s="3">
        <v>0</v>
      </c>
      <c r="K47" s="3">
        <v>0</v>
      </c>
      <c r="L47" s="7">
        <v>0</v>
      </c>
      <c r="M47" s="17">
        <v>26906</v>
      </c>
      <c r="N47" s="18">
        <v>0.4</v>
      </c>
      <c r="O47" s="3">
        <v>0.2</v>
      </c>
      <c r="P47" s="3">
        <v>0</v>
      </c>
      <c r="Q47" s="3">
        <v>3</v>
      </c>
      <c r="R47" t="s" s="15">
        <v>44</v>
      </c>
      <c r="S47" s="3">
        <v>114</v>
      </c>
    </row>
    <row r="48" ht="13.6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7"/>
      <c r="M48" s="19"/>
      <c r="N48" s="18"/>
      <c r="O48" s="3"/>
      <c r="P48" s="3"/>
      <c r="Q48" s="3"/>
      <c r="R48" s="3"/>
      <c r="S48" s="3"/>
    </row>
    <row r="49" ht="13.65" customHeight="1">
      <c r="A49" t="s" s="15">
        <v>78</v>
      </c>
      <c r="B49" s="3">
        <v>12</v>
      </c>
      <c r="C49" t="s" s="15">
        <v>79</v>
      </c>
      <c r="D49" t="s" s="15">
        <v>35</v>
      </c>
      <c r="E49" t="s" s="15">
        <v>36</v>
      </c>
      <c r="F49" s="3">
        <v>122</v>
      </c>
      <c r="G49" s="3">
        <v>1</v>
      </c>
      <c r="H49" s="3">
        <v>285.79</v>
      </c>
      <c r="I49" s="3">
        <f>H49/L49</f>
        <v>57.158</v>
      </c>
      <c r="J49" s="3">
        <v>23</v>
      </c>
      <c r="K49" s="3">
        <f>J49/L49</f>
        <v>4.6</v>
      </c>
      <c r="L49" s="7">
        <v>5</v>
      </c>
      <c r="M49" s="17">
        <v>387387</v>
      </c>
      <c r="N49" s="18">
        <f>8/23</f>
        <v>0.3478260869565217</v>
      </c>
      <c r="O49" s="3">
        <f>11/23</f>
        <v>0.4782608695652174</v>
      </c>
      <c r="P49" s="3">
        <f>1/23</f>
        <v>0.04347826086956522</v>
      </c>
      <c r="Q49" s="3">
        <v>5</v>
      </c>
      <c r="R49" t="s" s="15">
        <v>27</v>
      </c>
      <c r="S49" s="3">
        <v>131</v>
      </c>
    </row>
    <row r="50" ht="13.65" customHeight="1">
      <c r="A50" t="s" s="15">
        <v>80</v>
      </c>
      <c r="B50" s="3">
        <v>12</v>
      </c>
      <c r="C50" t="s" s="15">
        <v>79</v>
      </c>
      <c r="D50" t="s" s="15">
        <v>35</v>
      </c>
      <c r="E50" t="s" s="15">
        <v>36</v>
      </c>
      <c r="F50" s="3">
        <v>122</v>
      </c>
      <c r="G50" s="3">
        <v>5</v>
      </c>
      <c r="H50" s="3">
        <v>0</v>
      </c>
      <c r="I50" s="3">
        <v>0</v>
      </c>
      <c r="J50" s="3">
        <v>0</v>
      </c>
      <c r="K50" s="3">
        <v>0</v>
      </c>
      <c r="L50" s="7">
        <v>0</v>
      </c>
      <c r="M50" s="17">
        <v>36813</v>
      </c>
      <c r="N50" s="18">
        <f t="shared" si="155" ref="N50:O50">7/26</f>
        <v>0.2692307692307692</v>
      </c>
      <c r="O50" s="3">
        <f t="shared" si="155"/>
        <v>0.2692307692307692</v>
      </c>
      <c r="P50" s="3">
        <f>1/26</f>
        <v>0.03846153846153846</v>
      </c>
      <c r="Q50" s="3">
        <v>5</v>
      </c>
      <c r="R50" t="s" s="15">
        <v>27</v>
      </c>
      <c r="S50" s="3">
        <v>129</v>
      </c>
    </row>
    <row r="51" ht="13.65" customHeight="1">
      <c r="A51" t="s" s="15">
        <v>81</v>
      </c>
      <c r="B51" s="3">
        <v>9</v>
      </c>
      <c r="C51" t="s" s="15">
        <v>24</v>
      </c>
      <c r="D51" t="s" s="15">
        <v>35</v>
      </c>
      <c r="E51" t="s" s="15">
        <v>38</v>
      </c>
      <c r="F51" s="3">
        <v>124</v>
      </c>
      <c r="G51" s="3">
        <v>3.75</v>
      </c>
      <c r="H51" s="3">
        <v>0</v>
      </c>
      <c r="I51" s="3">
        <v>0</v>
      </c>
      <c r="J51" s="3">
        <v>0</v>
      </c>
      <c r="K51" s="3">
        <v>0</v>
      </c>
      <c r="L51" s="7">
        <v>0</v>
      </c>
      <c r="M51" s="17">
        <v>228933</v>
      </c>
      <c r="N51" s="18">
        <f>6/11</f>
        <v>0.5454545454545454</v>
      </c>
      <c r="O51" s="3">
        <f t="shared" si="37"/>
        <v>0.1818181818181818</v>
      </c>
      <c r="P51" s="3">
        <f t="shared" si="37"/>
        <v>0.1818181818181818</v>
      </c>
      <c r="Q51" s="3">
        <v>4</v>
      </c>
      <c r="R51" t="s" s="15">
        <v>27</v>
      </c>
      <c r="S51" s="3">
        <v>126</v>
      </c>
    </row>
    <row r="52" ht="13.65" customHeight="1">
      <c r="A52" t="s" s="15">
        <v>82</v>
      </c>
      <c r="B52" s="3">
        <v>9</v>
      </c>
      <c r="C52" t="s" s="15">
        <v>24</v>
      </c>
      <c r="D52" t="s" s="15">
        <v>35</v>
      </c>
      <c r="E52" t="s" s="15">
        <v>38</v>
      </c>
      <c r="F52" s="3">
        <v>117</v>
      </c>
      <c r="G52" s="3">
        <v>5.1</v>
      </c>
      <c r="H52" s="3">
        <v>0</v>
      </c>
      <c r="I52" s="3">
        <v>0</v>
      </c>
      <c r="J52" s="3">
        <v>0</v>
      </c>
      <c r="K52" s="3">
        <v>0</v>
      </c>
      <c r="L52" s="7">
        <v>0</v>
      </c>
      <c r="M52" s="17">
        <v>169868</v>
      </c>
      <c r="N52" s="18">
        <f>6/8</f>
        <v>0.75</v>
      </c>
      <c r="O52" s="3">
        <f>2/8</f>
        <v>0.25</v>
      </c>
      <c r="P52" s="3">
        <v>0</v>
      </c>
      <c r="Q52" s="3">
        <v>4</v>
      </c>
      <c r="R52" t="s" s="15">
        <v>27</v>
      </c>
      <c r="S52" s="3">
        <v>126</v>
      </c>
    </row>
    <row r="53" ht="13.65" customHeight="1">
      <c r="A53" t="s" s="15">
        <v>83</v>
      </c>
      <c r="B53" s="3">
        <v>12</v>
      </c>
      <c r="C53" t="s" s="15">
        <v>30</v>
      </c>
      <c r="D53" t="s" s="15">
        <v>25</v>
      </c>
      <c r="E53" t="s" s="15">
        <v>36</v>
      </c>
      <c r="F53" s="3">
        <v>124</v>
      </c>
      <c r="G53" s="3">
        <v>0.5</v>
      </c>
      <c r="H53" s="3">
        <v>294.2</v>
      </c>
      <c r="I53" s="3">
        <f>H53/L53</f>
        <v>58.84</v>
      </c>
      <c r="J53" s="3">
        <v>24</v>
      </c>
      <c r="K53" s="3">
        <f>J53/L53</f>
        <v>4.8</v>
      </c>
      <c r="L53" s="7">
        <v>5</v>
      </c>
      <c r="M53" s="17">
        <v>49853</v>
      </c>
      <c r="N53" s="18">
        <f>8/17</f>
        <v>0.4705882352941176</v>
      </c>
      <c r="O53" s="3">
        <f>2/17</f>
        <v>0.1176470588235294</v>
      </c>
      <c r="P53" s="3">
        <f>3/17</f>
        <v>0.1764705882352941</v>
      </c>
      <c r="Q53" s="3">
        <v>4</v>
      </c>
      <c r="R53" t="s" s="15">
        <v>27</v>
      </c>
      <c r="S53" s="3">
        <v>125</v>
      </c>
    </row>
    <row r="54" ht="13.65" customHeight="1">
      <c r="A54" t="s" s="15">
        <v>84</v>
      </c>
      <c r="B54" s="3">
        <v>12</v>
      </c>
      <c r="C54" t="s" s="15">
        <v>79</v>
      </c>
      <c r="D54" t="s" s="15">
        <v>35</v>
      </c>
      <c r="E54" t="s" s="15">
        <v>36</v>
      </c>
      <c r="F54" s="3">
        <v>124</v>
      </c>
      <c r="G54" s="3">
        <v>7</v>
      </c>
      <c r="H54" s="3">
        <v>299.04</v>
      </c>
      <c r="I54" s="3">
        <f>H54/L54</f>
        <v>59.80800000000001</v>
      </c>
      <c r="J54" s="3">
        <v>24</v>
      </c>
      <c r="K54" s="3">
        <f>J54/L54</f>
        <v>4.8</v>
      </c>
      <c r="L54" s="7">
        <v>5</v>
      </c>
      <c r="M54" s="17">
        <v>58101</v>
      </c>
      <c r="N54" s="18">
        <f>8/36</f>
        <v>0.2222222222222222</v>
      </c>
      <c r="O54" s="3">
        <f>5/36</f>
        <v>0.1388888888888889</v>
      </c>
      <c r="P54" s="3">
        <f>11/36</f>
        <v>0.3055555555555556</v>
      </c>
      <c r="Q54" s="3">
        <v>6</v>
      </c>
      <c r="R54" t="s" s="15">
        <v>27</v>
      </c>
      <c r="S54" s="3">
        <v>125</v>
      </c>
    </row>
    <row r="55" ht="13.65" customHeight="1">
      <c r="A55" t="s" s="15">
        <v>85</v>
      </c>
      <c r="B55" s="3">
        <v>8.5</v>
      </c>
      <c r="C55" t="s" s="15">
        <v>24</v>
      </c>
      <c r="D55" t="s" s="15">
        <v>54</v>
      </c>
      <c r="E55" t="s" s="15">
        <v>26</v>
      </c>
      <c r="F55" s="3">
        <v>120</v>
      </c>
      <c r="G55" s="3">
        <v>5.1</v>
      </c>
      <c r="H55" s="3">
        <v>95.59999999999999</v>
      </c>
      <c r="I55" s="3">
        <f>H55/L55</f>
        <v>47.8</v>
      </c>
      <c r="J55" s="3">
        <v>8</v>
      </c>
      <c r="K55" s="3">
        <f>J55/L55</f>
        <v>4</v>
      </c>
      <c r="L55" s="7">
        <v>2</v>
      </c>
      <c r="M55" s="17">
        <v>18514</v>
      </c>
      <c r="N55" s="18">
        <f t="shared" si="175" ref="N55:P55">5/22</f>
        <v>0.2272727272727273</v>
      </c>
      <c r="O55" s="3">
        <f>1/22</f>
        <v>0.04545454545454546</v>
      </c>
      <c r="P55" s="3">
        <f t="shared" si="175"/>
        <v>0.2272727272727273</v>
      </c>
      <c r="Q55" s="3">
        <v>5</v>
      </c>
      <c r="R55" t="s" s="15">
        <v>27</v>
      </c>
      <c r="S55" s="3">
        <v>124</v>
      </c>
    </row>
    <row r="56" ht="13.65" customHeight="1">
      <c r="A56" t="s" s="15">
        <v>86</v>
      </c>
      <c r="B56" s="3">
        <v>8</v>
      </c>
      <c r="C56" t="s" s="15">
        <v>24</v>
      </c>
      <c r="D56" t="s" s="15">
        <v>35</v>
      </c>
      <c r="E56" t="s" s="15">
        <v>38</v>
      </c>
      <c r="F56" s="3">
        <v>123</v>
      </c>
      <c r="G56" s="3">
        <v>0.9</v>
      </c>
      <c r="H56" s="3">
        <v>0</v>
      </c>
      <c r="I56" s="3">
        <v>0</v>
      </c>
      <c r="J56" s="3">
        <v>0</v>
      </c>
      <c r="K56" s="3">
        <v>0</v>
      </c>
      <c r="L56" s="7">
        <v>0</v>
      </c>
      <c r="M56" s="17">
        <v>227938</v>
      </c>
      <c r="N56" s="18">
        <f>7/16</f>
        <v>0.4375</v>
      </c>
      <c r="O56" s="3">
        <f t="shared" si="179" ref="O56:O122">4/16</f>
        <v>0.25</v>
      </c>
      <c r="P56" s="3">
        <f>2/16</f>
        <v>0.125</v>
      </c>
      <c r="Q56" s="3">
        <v>4</v>
      </c>
      <c r="R56" t="s" s="15">
        <v>27</v>
      </c>
      <c r="S56" s="3">
        <v>124</v>
      </c>
    </row>
    <row r="57" ht="13.65" customHeight="1">
      <c r="A57" t="s" s="15">
        <v>87</v>
      </c>
      <c r="B57" s="3">
        <v>12</v>
      </c>
      <c r="C57" t="s" s="15">
        <v>79</v>
      </c>
      <c r="D57" t="s" s="15">
        <v>35</v>
      </c>
      <c r="E57" t="s" s="15">
        <v>36</v>
      </c>
      <c r="F57" s="3">
        <v>121</v>
      </c>
      <c r="G57" s="3">
        <v>5.9</v>
      </c>
      <c r="H57" s="3"/>
      <c r="I57" s="3">
        <f>H57/L57</f>
      </c>
      <c r="J57" s="3"/>
      <c r="K57" s="3">
        <f>J57/L57</f>
      </c>
      <c r="L57" s="3"/>
      <c r="M57" s="20"/>
      <c r="N57" s="3"/>
      <c r="O57" s="3"/>
      <c r="P57" s="3"/>
      <c r="Q57" s="3"/>
      <c r="R57" t="s" s="15">
        <v>27</v>
      </c>
      <c r="S57" s="3">
        <v>124</v>
      </c>
    </row>
    <row r="58" ht="13.65" customHeight="1">
      <c r="A58" t="s" s="15">
        <v>88</v>
      </c>
      <c r="B58" s="3">
        <v>12</v>
      </c>
      <c r="C58" t="s" s="15">
        <v>79</v>
      </c>
      <c r="D58" t="s" s="15">
        <v>35</v>
      </c>
      <c r="E58" t="s" s="15">
        <v>36</v>
      </c>
      <c r="F58" s="3">
        <v>119</v>
      </c>
      <c r="G58" s="3">
        <v>8.9</v>
      </c>
      <c r="H58" s="3"/>
      <c r="I58" s="3">
        <f>H58/L58</f>
      </c>
      <c r="J58" s="3"/>
      <c r="K58" s="3">
        <f>J58/L58</f>
      </c>
      <c r="L58" s="3"/>
      <c r="M58" s="3"/>
      <c r="N58" s="3"/>
      <c r="O58" s="3"/>
      <c r="P58" s="3"/>
      <c r="Q58" s="3"/>
      <c r="R58" t="s" s="15">
        <v>27</v>
      </c>
      <c r="S58" s="3">
        <v>124</v>
      </c>
    </row>
    <row r="59" ht="13.65" customHeight="1">
      <c r="A59" t="s" s="15">
        <v>89</v>
      </c>
      <c r="B59" s="3"/>
      <c r="C59" s="3"/>
      <c r="D59" s="3"/>
      <c r="E59" s="3"/>
      <c r="F59" s="3"/>
      <c r="G59" s="3"/>
      <c r="H59" s="3"/>
      <c r="I59" s="3">
        <f>H59/L59</f>
      </c>
      <c r="J59" s="3"/>
      <c r="K59" s="3">
        <f>J59/L59</f>
      </c>
      <c r="L59" s="3"/>
      <c r="M59" s="3"/>
      <c r="N59" s="3"/>
      <c r="O59" s="3"/>
      <c r="P59" s="3"/>
      <c r="Q59" s="3"/>
      <c r="R59" t="s" s="15">
        <v>27</v>
      </c>
      <c r="S59" s="3">
        <v>124</v>
      </c>
    </row>
    <row r="60" ht="13.65" customHeight="1">
      <c r="A60" t="s" s="15">
        <v>90</v>
      </c>
      <c r="B60" s="3"/>
      <c r="C60" s="3"/>
      <c r="D60" s="3"/>
      <c r="E60" s="3"/>
      <c r="F60" s="3"/>
      <c r="G60" s="3"/>
      <c r="H60" s="3"/>
      <c r="I60" s="3">
        <f>H60/L60</f>
      </c>
      <c r="J60" s="3"/>
      <c r="K60" s="3">
        <f>J60/L60</f>
      </c>
      <c r="L60" s="3"/>
      <c r="M60" s="3"/>
      <c r="N60" s="3"/>
      <c r="O60" s="3"/>
      <c r="P60" s="3"/>
      <c r="Q60" s="3"/>
      <c r="R60" t="s" s="15">
        <v>27</v>
      </c>
      <c r="S60" s="3">
        <v>124</v>
      </c>
    </row>
    <row r="61" ht="13.65" customHeight="1">
      <c r="A61" s="3"/>
      <c r="B61" s="3"/>
      <c r="C61" s="3"/>
      <c r="D61" s="3"/>
      <c r="E61" s="3"/>
      <c r="F61" s="3"/>
      <c r="G61" s="3"/>
      <c r="H61" s="3"/>
      <c r="I61" s="3">
        <f>H61/L61</f>
      </c>
      <c r="J61" s="3"/>
      <c r="K61" s="3">
        <f>J61/L61</f>
      </c>
      <c r="L61" s="3"/>
      <c r="M61" s="3"/>
      <c r="N61" s="3"/>
      <c r="O61" s="3"/>
      <c r="P61" s="3"/>
      <c r="Q61" s="3"/>
      <c r="R61" s="3"/>
      <c r="S61" s="3"/>
    </row>
    <row r="62" ht="13.65" customHeight="1">
      <c r="A62" t="s" s="15">
        <v>91</v>
      </c>
      <c r="B62" s="3"/>
      <c r="C62" s="3"/>
      <c r="D62" s="3"/>
      <c r="E62" s="3"/>
      <c r="F62" s="3"/>
      <c r="G62" s="3"/>
      <c r="H62" s="3"/>
      <c r="I62" s="3">
        <f>H62/L62</f>
      </c>
      <c r="J62" s="3"/>
      <c r="K62" s="3">
        <f>J62/L62</f>
      </c>
      <c r="L62" s="3"/>
      <c r="M62" s="3"/>
      <c r="N62" s="3"/>
      <c r="O62" s="3"/>
      <c r="P62" s="3"/>
      <c r="Q62" s="3"/>
      <c r="R62" t="s" s="15">
        <v>44</v>
      </c>
      <c r="S62" s="3">
        <v>124</v>
      </c>
    </row>
    <row r="63" ht="13.65" customHeight="1">
      <c r="A63" t="s" s="15">
        <v>91</v>
      </c>
      <c r="B63" s="3"/>
      <c r="C63" s="3"/>
      <c r="D63" s="3"/>
      <c r="E63" s="3"/>
      <c r="F63" s="3"/>
      <c r="G63" s="3"/>
      <c r="H63" s="3"/>
      <c r="I63" s="3">
        <f>H63/L63</f>
      </c>
      <c r="J63" s="3"/>
      <c r="K63" s="3">
        <f>J63/L63</f>
      </c>
      <c r="L63" s="3"/>
      <c r="M63" s="3"/>
      <c r="N63" s="3"/>
      <c r="O63" s="3"/>
      <c r="P63" s="3"/>
      <c r="Q63" s="3"/>
      <c r="R63" t="s" s="15">
        <v>44</v>
      </c>
      <c r="S63" s="3">
        <v>121</v>
      </c>
    </row>
    <row r="64" ht="13.65" customHeight="1">
      <c r="A64" t="s" s="15">
        <v>92</v>
      </c>
      <c r="B64" s="3"/>
      <c r="C64" s="3"/>
      <c r="D64" s="3"/>
      <c r="E64" s="3"/>
      <c r="F64" s="3"/>
      <c r="G64" s="3"/>
      <c r="H64" s="3"/>
      <c r="I64" s="3">
        <f>H64/L64</f>
      </c>
      <c r="J64" s="3"/>
      <c r="K64" s="3">
        <f>J64/L64</f>
      </c>
      <c r="L64" s="3"/>
      <c r="M64" s="3"/>
      <c r="N64" s="3"/>
      <c r="O64" s="3"/>
      <c r="P64" s="3"/>
      <c r="Q64" s="3"/>
      <c r="R64" t="s" s="15">
        <v>44</v>
      </c>
      <c r="S64" s="3">
        <v>121</v>
      </c>
    </row>
    <row r="65" ht="13.65" customHeight="1">
      <c r="A65" t="s" s="15">
        <v>93</v>
      </c>
      <c r="B65" s="3"/>
      <c r="C65" s="3"/>
      <c r="D65" s="3"/>
      <c r="E65" s="3"/>
      <c r="F65" s="3"/>
      <c r="G65" s="3"/>
      <c r="H65" s="3"/>
      <c r="I65" s="3">
        <f>H65/L65</f>
      </c>
      <c r="J65" s="3"/>
      <c r="K65" s="3">
        <f>J65/L65</f>
      </c>
      <c r="L65" s="3"/>
      <c r="M65" s="3"/>
      <c r="N65" s="3"/>
      <c r="O65" s="3"/>
      <c r="P65" s="3"/>
      <c r="Q65" s="3"/>
      <c r="R65" t="s" s="15">
        <v>44</v>
      </c>
      <c r="S65" s="3">
        <v>120</v>
      </c>
    </row>
    <row r="66" ht="13.65" customHeight="1">
      <c r="A66" t="s" s="15">
        <v>94</v>
      </c>
      <c r="B66" s="3"/>
      <c r="C66" s="3"/>
      <c r="D66" s="3"/>
      <c r="E66" s="3"/>
      <c r="F66" s="3"/>
      <c r="G66" s="3"/>
      <c r="H66" s="3"/>
      <c r="I66" s="3">
        <f>H66/L66</f>
      </c>
      <c r="J66" s="3"/>
      <c r="K66" s="3">
        <f>J66/L66</f>
      </c>
      <c r="L66" s="3"/>
      <c r="M66" s="3"/>
      <c r="N66" s="3"/>
      <c r="O66" s="3"/>
      <c r="P66" s="3"/>
      <c r="Q66" s="3"/>
      <c r="R66" t="s" s="15">
        <v>44</v>
      </c>
      <c r="S66" s="3">
        <v>120</v>
      </c>
    </row>
    <row r="67" ht="13.65" customHeight="1">
      <c r="A67" t="s" s="15">
        <v>67</v>
      </c>
      <c r="B67" s="3"/>
      <c r="C67" s="3"/>
      <c r="D67" s="3"/>
      <c r="E67" s="3"/>
      <c r="F67" s="3"/>
      <c r="G67" s="3"/>
      <c r="H67" s="3"/>
      <c r="I67" s="3">
        <f>H67/L67</f>
      </c>
      <c r="J67" s="3"/>
      <c r="K67" s="3">
        <f>J67/L67</f>
      </c>
      <c r="L67" s="3"/>
      <c r="M67" s="3"/>
      <c r="N67" s="3"/>
      <c r="O67" s="3"/>
      <c r="P67" s="3"/>
      <c r="Q67" s="3"/>
      <c r="R67" t="s" s="15">
        <v>44</v>
      </c>
      <c r="S67" s="3">
        <v>119</v>
      </c>
    </row>
    <row r="68" ht="13.65" customHeight="1">
      <c r="A68" t="s" s="15">
        <v>95</v>
      </c>
      <c r="B68" s="3"/>
      <c r="C68" s="3"/>
      <c r="D68" s="3"/>
      <c r="E68" s="3"/>
      <c r="F68" s="3"/>
      <c r="G68" s="3"/>
      <c r="H68" s="3"/>
      <c r="I68" s="3">
        <f>H68/L68</f>
      </c>
      <c r="J68" s="3"/>
      <c r="K68" s="3">
        <f>J68/L68</f>
      </c>
      <c r="L68" s="3"/>
      <c r="M68" s="3"/>
      <c r="N68" s="3"/>
      <c r="O68" s="3"/>
      <c r="P68" s="3"/>
      <c r="Q68" s="3"/>
      <c r="R68" t="s" s="15">
        <v>44</v>
      </c>
      <c r="S68" s="3">
        <v>119</v>
      </c>
    </row>
    <row r="69" ht="13.65" customHeight="1">
      <c r="A69" t="s" s="15">
        <v>96</v>
      </c>
      <c r="B69" s="3"/>
      <c r="C69" s="3"/>
      <c r="D69" s="3"/>
      <c r="E69" s="3"/>
      <c r="F69" s="3"/>
      <c r="G69" s="3"/>
      <c r="H69" s="3"/>
      <c r="I69" s="3">
        <f>H69/L69</f>
      </c>
      <c r="J69" s="3"/>
      <c r="K69" s="3">
        <f>J69/L69</f>
      </c>
      <c r="L69" s="3"/>
      <c r="M69" s="3"/>
      <c r="N69" s="3"/>
      <c r="O69" s="3"/>
      <c r="P69" s="3"/>
      <c r="Q69" s="3"/>
      <c r="R69" t="s" s="15">
        <v>44</v>
      </c>
      <c r="S69" s="3">
        <v>119</v>
      </c>
    </row>
    <row r="70" ht="13.65" customHeight="1">
      <c r="A70" t="s" s="15">
        <v>97</v>
      </c>
      <c r="B70" s="3"/>
      <c r="C70" s="3"/>
      <c r="D70" s="3"/>
      <c r="E70" s="3"/>
      <c r="F70" s="3"/>
      <c r="G70" s="3"/>
      <c r="H70" s="3"/>
      <c r="I70" s="3">
        <f>H70/L70</f>
      </c>
      <c r="J70" s="3"/>
      <c r="K70" s="3">
        <f>J70/L70</f>
      </c>
      <c r="L70" s="3"/>
      <c r="M70" s="3"/>
      <c r="N70" s="3"/>
      <c r="O70" s="3"/>
      <c r="P70" s="3"/>
      <c r="Q70" s="3"/>
      <c r="R70" t="s" s="15">
        <v>44</v>
      </c>
      <c r="S70" s="3">
        <v>119</v>
      </c>
    </row>
    <row r="71" ht="13.65" customHeight="1">
      <c r="A71" t="s" s="15">
        <v>98</v>
      </c>
      <c r="B71" s="3"/>
      <c r="C71" s="3"/>
      <c r="D71" s="3"/>
      <c r="E71" s="3"/>
      <c r="F71" s="3"/>
      <c r="G71" s="3"/>
      <c r="H71" s="3"/>
      <c r="I71" s="3">
        <f>H71/L71</f>
      </c>
      <c r="J71" s="3"/>
      <c r="K71" s="3">
        <f>J71/L71</f>
      </c>
      <c r="L71" s="3"/>
      <c r="M71" s="3"/>
      <c r="N71" s="3"/>
      <c r="O71" s="3"/>
      <c r="P71" s="3"/>
      <c r="Q71" s="3"/>
      <c r="R71" t="s" s="15">
        <v>44</v>
      </c>
      <c r="S71" s="3">
        <v>118</v>
      </c>
    </row>
    <row r="72" ht="13.65" customHeight="1">
      <c r="A72" t="s" s="15">
        <v>99</v>
      </c>
      <c r="B72" s="3"/>
      <c r="C72" s="3"/>
      <c r="D72" s="3"/>
      <c r="E72" s="3"/>
      <c r="F72" s="3"/>
      <c r="G72" s="3"/>
      <c r="H72" s="3"/>
      <c r="I72" s="3">
        <f>H72/L72</f>
      </c>
      <c r="J72" s="3"/>
      <c r="K72" s="3">
        <f>J72/L72</f>
      </c>
      <c r="L72" s="3"/>
      <c r="M72" s="3"/>
      <c r="N72" s="3"/>
      <c r="O72" s="3"/>
      <c r="P72" s="3"/>
      <c r="Q72" s="3"/>
      <c r="R72" t="s" s="15">
        <v>44</v>
      </c>
      <c r="S72" s="3">
        <v>118</v>
      </c>
    </row>
    <row r="73" ht="13.65" customHeight="1">
      <c r="A73" s="3"/>
      <c r="B73" s="3"/>
      <c r="C73" s="3"/>
      <c r="D73" s="3"/>
      <c r="E73" s="3"/>
      <c r="F73" s="3"/>
      <c r="G73" s="3"/>
      <c r="H73" s="3"/>
      <c r="I73" s="3">
        <f>H73/L73</f>
      </c>
      <c r="J73" s="3"/>
      <c r="K73" s="3">
        <f>J73/L73</f>
      </c>
      <c r="L73" s="3"/>
      <c r="M73" s="3"/>
      <c r="N73" s="3"/>
      <c r="O73" s="3"/>
      <c r="P73" s="3"/>
      <c r="Q73" s="3"/>
      <c r="R73" s="3"/>
      <c r="S73" s="3"/>
    </row>
    <row r="74" ht="13.65" customHeight="1">
      <c r="A74" t="s" s="15">
        <v>78</v>
      </c>
      <c r="B74" s="3"/>
      <c r="C74" s="3"/>
      <c r="D74" s="3"/>
      <c r="E74" s="3"/>
      <c r="F74" s="3"/>
      <c r="G74" s="3"/>
      <c r="H74" s="3"/>
      <c r="I74" s="3">
        <f>H74/L74</f>
      </c>
      <c r="J74" s="3"/>
      <c r="K74" s="3">
        <f>J74/L74</f>
      </c>
      <c r="L74" s="3"/>
      <c r="M74" s="3"/>
      <c r="N74" s="3"/>
      <c r="O74" s="3"/>
      <c r="P74" s="3"/>
      <c r="Q74" s="3"/>
      <c r="R74" s="3"/>
      <c r="S74" s="3">
        <v>131</v>
      </c>
    </row>
    <row r="75" ht="13.65" customHeight="1">
      <c r="A75" t="s" s="15">
        <v>80</v>
      </c>
      <c r="B75" s="3"/>
      <c r="C75" s="3"/>
      <c r="D75" s="3"/>
      <c r="E75" s="3"/>
      <c r="F75" s="3"/>
      <c r="G75" s="3"/>
      <c r="H75" s="3"/>
      <c r="I75" s="3">
        <f>H75/L75</f>
      </c>
      <c r="J75" s="3"/>
      <c r="K75" s="3">
        <f>J75/L75</f>
      </c>
      <c r="L75" s="3"/>
      <c r="M75" s="3"/>
      <c r="N75" s="3"/>
      <c r="O75" s="3"/>
      <c r="P75" s="3"/>
      <c r="Q75" s="3"/>
      <c r="R75" s="3"/>
      <c r="S75" s="3">
        <v>129</v>
      </c>
    </row>
    <row r="76" ht="13.65" customHeight="1">
      <c r="A76" t="s" s="15">
        <v>81</v>
      </c>
      <c r="B76" s="3"/>
      <c r="C76" s="3"/>
      <c r="D76" s="3"/>
      <c r="E76" s="3"/>
      <c r="F76" s="3"/>
      <c r="G76" s="3"/>
      <c r="H76" s="3"/>
      <c r="I76" s="3">
        <f>H76/L76</f>
      </c>
      <c r="J76" s="3"/>
      <c r="K76" s="3">
        <f>J76/L76</f>
      </c>
      <c r="L76" s="3"/>
      <c r="M76" s="3"/>
      <c r="N76" s="3"/>
      <c r="O76" s="3"/>
      <c r="P76" s="3"/>
      <c r="Q76" s="3"/>
      <c r="R76" s="3"/>
      <c r="S76" s="3">
        <v>126</v>
      </c>
    </row>
    <row r="77" ht="13.65" customHeight="1">
      <c r="A77" t="s" s="15">
        <v>82</v>
      </c>
      <c r="B77" s="3"/>
      <c r="C77" s="3"/>
      <c r="D77" s="3"/>
      <c r="E77" s="3"/>
      <c r="F77" s="3"/>
      <c r="G77" s="3"/>
      <c r="H77" s="3"/>
      <c r="I77" s="3">
        <f>H77/L77</f>
      </c>
      <c r="J77" s="3"/>
      <c r="K77" s="3">
        <f>J77/L77</f>
      </c>
      <c r="L77" s="3"/>
      <c r="M77" s="3"/>
      <c r="N77" s="3"/>
      <c r="O77" s="3"/>
      <c r="P77" s="3"/>
      <c r="Q77" s="3"/>
      <c r="R77" s="3"/>
      <c r="S77" s="3">
        <v>126</v>
      </c>
    </row>
    <row r="78" ht="13.65" customHeight="1">
      <c r="A78" t="s" s="15">
        <v>83</v>
      </c>
      <c r="B78" s="3"/>
      <c r="C78" s="3"/>
      <c r="D78" s="3"/>
      <c r="E78" s="3"/>
      <c r="F78" s="3"/>
      <c r="G78" s="3"/>
      <c r="H78" s="3"/>
      <c r="I78" s="3">
        <f>H78/L78</f>
      </c>
      <c r="J78" s="3"/>
      <c r="K78" s="3">
        <f>J78/L78</f>
      </c>
      <c r="L78" s="3"/>
      <c r="M78" s="3"/>
      <c r="N78" s="3"/>
      <c r="O78" s="3"/>
      <c r="P78" s="3"/>
      <c r="Q78" s="3"/>
      <c r="R78" s="3"/>
      <c r="S78" s="3">
        <v>125</v>
      </c>
    </row>
    <row r="79" ht="13.65" customHeight="1">
      <c r="A79" t="s" s="15">
        <v>84</v>
      </c>
      <c r="B79" s="3"/>
      <c r="C79" s="3"/>
      <c r="D79" s="3"/>
      <c r="E79" s="3"/>
      <c r="F79" s="3"/>
      <c r="G79" s="3"/>
      <c r="H79" s="3"/>
      <c r="I79" s="3">
        <f>H79/L79</f>
      </c>
      <c r="J79" s="3"/>
      <c r="K79" s="3">
        <f>J79/L79</f>
      </c>
      <c r="L79" s="3"/>
      <c r="M79" s="3"/>
      <c r="N79" s="3"/>
      <c r="O79" s="3"/>
      <c r="P79" s="3"/>
      <c r="Q79" s="3"/>
      <c r="R79" s="3"/>
      <c r="S79" s="3">
        <v>125</v>
      </c>
    </row>
    <row r="80" ht="13.65" customHeight="1">
      <c r="A80" t="s" s="15">
        <v>85</v>
      </c>
      <c r="B80" s="3"/>
      <c r="C80" s="3"/>
      <c r="D80" s="3"/>
      <c r="E80" s="3"/>
      <c r="F80" s="3"/>
      <c r="G80" s="3"/>
      <c r="H80" s="3"/>
      <c r="I80" s="3">
        <f>H80/L80</f>
      </c>
      <c r="J80" s="3"/>
      <c r="K80" s="3">
        <f>J80/L80</f>
      </c>
      <c r="L80" s="3"/>
      <c r="M80" s="3"/>
      <c r="N80" s="3"/>
      <c r="O80" s="3"/>
      <c r="P80" s="3"/>
      <c r="Q80" s="3"/>
      <c r="R80" s="3"/>
      <c r="S80" s="3">
        <v>124</v>
      </c>
    </row>
    <row r="81" ht="13.65" customHeight="1">
      <c r="A81" t="s" s="15">
        <v>86</v>
      </c>
      <c r="B81" s="3"/>
      <c r="C81" s="3"/>
      <c r="D81" s="3"/>
      <c r="E81" s="3"/>
      <c r="F81" s="3"/>
      <c r="G81" s="3"/>
      <c r="H81" s="3"/>
      <c r="I81" s="3">
        <f>H81/L81</f>
      </c>
      <c r="J81" s="3"/>
      <c r="K81" s="3">
        <f>J81/L81</f>
      </c>
      <c r="L81" s="3"/>
      <c r="M81" s="3"/>
      <c r="N81" s="3"/>
      <c r="O81" s="3"/>
      <c r="P81" s="3"/>
      <c r="Q81" s="3"/>
      <c r="R81" s="3"/>
      <c r="S81" s="3">
        <v>124</v>
      </c>
    </row>
    <row r="82" ht="13.65" customHeight="1">
      <c r="A82" t="s" s="15">
        <v>87</v>
      </c>
      <c r="B82" s="3"/>
      <c r="C82" s="3"/>
      <c r="D82" s="3"/>
      <c r="E82" s="3"/>
      <c r="F82" s="3"/>
      <c r="G82" s="3"/>
      <c r="H82" s="3"/>
      <c r="I82" s="3">
        <f>H82/L82</f>
      </c>
      <c r="J82" s="3"/>
      <c r="K82" s="3">
        <f>J82/L82</f>
      </c>
      <c r="L82" s="3"/>
      <c r="M82" s="3"/>
      <c r="N82" s="3"/>
      <c r="O82" s="3"/>
      <c r="P82" s="3"/>
      <c r="Q82" s="3"/>
      <c r="R82" s="3"/>
      <c r="S82" s="3">
        <v>124</v>
      </c>
    </row>
    <row r="83" ht="13.65" customHeight="1">
      <c r="A83" t="s" s="15">
        <v>88</v>
      </c>
      <c r="B83" s="3"/>
      <c r="C83" s="3"/>
      <c r="D83" s="3"/>
      <c r="E83" s="3"/>
      <c r="F83" s="3"/>
      <c r="G83" s="3"/>
      <c r="H83" s="3"/>
      <c r="I83" s="3">
        <f>H83/L83</f>
      </c>
      <c r="J83" s="3"/>
      <c r="K83" s="3">
        <f>J83/L83</f>
      </c>
      <c r="L83" s="3"/>
      <c r="M83" s="3"/>
      <c r="N83" s="3"/>
      <c r="O83" s="3"/>
      <c r="P83" s="3"/>
      <c r="Q83" s="3"/>
      <c r="R83" s="3"/>
      <c r="S83" s="3">
        <v>124</v>
      </c>
    </row>
    <row r="84" ht="13.65" customHeight="1">
      <c r="A84" t="s" s="15">
        <v>91</v>
      </c>
      <c r="B84" s="3"/>
      <c r="C84" s="3"/>
      <c r="D84" s="3"/>
      <c r="E84" s="3"/>
      <c r="F84" s="3"/>
      <c r="G84" s="3"/>
      <c r="H84" s="3"/>
      <c r="I84" s="3">
        <f>H84/L84</f>
      </c>
      <c r="J84" s="3"/>
      <c r="K84" s="3">
        <f>J84/L84</f>
      </c>
      <c r="L84" s="3"/>
      <c r="M84" s="3"/>
      <c r="N84" s="3"/>
      <c r="O84" s="3"/>
      <c r="P84" s="3"/>
      <c r="Q84" s="3"/>
      <c r="R84" s="3"/>
      <c r="S84" s="3">
        <v>124</v>
      </c>
    </row>
    <row r="85" ht="13.65" customHeight="1">
      <c r="A85" t="s" s="15">
        <v>89</v>
      </c>
      <c r="B85" s="3"/>
      <c r="C85" s="3"/>
      <c r="D85" s="3"/>
      <c r="E85" s="3"/>
      <c r="F85" s="3"/>
      <c r="G85" s="3"/>
      <c r="H85" s="3"/>
      <c r="I85" s="3">
        <f>H85/L85</f>
      </c>
      <c r="J85" s="3"/>
      <c r="K85" s="3">
        <f>J85/L85</f>
      </c>
      <c r="L85" s="3"/>
      <c r="M85" s="3"/>
      <c r="N85" s="3"/>
      <c r="O85" s="3"/>
      <c r="P85" s="3"/>
      <c r="Q85" s="3"/>
      <c r="R85" s="3"/>
      <c r="S85" s="3">
        <v>124</v>
      </c>
    </row>
    <row r="86" ht="13.65" customHeight="1">
      <c r="A86" t="s" s="15">
        <v>90</v>
      </c>
      <c r="B86" s="3"/>
      <c r="C86" s="3"/>
      <c r="D86" s="3"/>
      <c r="E86" s="3"/>
      <c r="F86" s="3"/>
      <c r="G86" s="3"/>
      <c r="H86" s="3"/>
      <c r="I86" s="3">
        <f>H86/L86</f>
      </c>
      <c r="J86" s="3"/>
      <c r="K86" s="3">
        <f>J86/L86</f>
      </c>
      <c r="L86" s="3"/>
      <c r="M86" s="3"/>
      <c r="N86" s="3"/>
      <c r="O86" s="3"/>
      <c r="P86" s="3"/>
      <c r="Q86" s="3"/>
      <c r="R86" s="3"/>
      <c r="S86" s="3">
        <v>124</v>
      </c>
    </row>
    <row r="87" ht="13.65" customHeight="1">
      <c r="A87" s="3"/>
      <c r="B87" s="3"/>
      <c r="C87" s="3"/>
      <c r="D87" s="3"/>
      <c r="E87" s="3"/>
      <c r="F87" s="3"/>
      <c r="G87" s="3"/>
      <c r="H87" s="3"/>
      <c r="I87" s="3">
        <f>H87/L87</f>
      </c>
      <c r="J87" s="3"/>
      <c r="K87" s="3">
        <f>J87/L87</f>
      </c>
      <c r="L87" s="3"/>
      <c r="M87" s="3"/>
      <c r="N87" s="3"/>
      <c r="O87" s="3"/>
      <c r="P87" s="3"/>
      <c r="Q87" s="3"/>
      <c r="R87" s="3"/>
      <c r="S87" s="3"/>
    </row>
    <row r="88" ht="13.65" customHeight="1">
      <c r="A88" t="s" s="15">
        <v>78</v>
      </c>
      <c r="B88" s="3"/>
      <c r="C88" s="3"/>
      <c r="D88" s="3"/>
      <c r="E88" s="3"/>
      <c r="F88" s="3"/>
      <c r="G88" s="3"/>
      <c r="H88" s="3"/>
      <c r="I88" s="3">
        <f>H88/L88</f>
      </c>
      <c r="J88" s="3"/>
      <c r="K88" s="3">
        <f>J88/L88</f>
      </c>
      <c r="L88" s="3"/>
      <c r="M88" s="3"/>
      <c r="N88" s="3"/>
      <c r="O88" s="3"/>
      <c r="P88" s="3"/>
      <c r="Q88" s="3"/>
      <c r="R88" t="s" s="15">
        <v>27</v>
      </c>
      <c r="S88" s="3">
        <v>131</v>
      </c>
    </row>
    <row r="89" ht="13.65" customHeight="1">
      <c r="A89" t="s" s="15">
        <v>80</v>
      </c>
      <c r="B89" s="3"/>
      <c r="C89" s="3"/>
      <c r="D89" s="3"/>
      <c r="E89" s="3"/>
      <c r="F89" s="3"/>
      <c r="G89" s="3"/>
      <c r="H89" s="3"/>
      <c r="I89" s="3">
        <f>H89/L89</f>
      </c>
      <c r="J89" s="3"/>
      <c r="K89" s="3">
        <f>J89/L89</f>
      </c>
      <c r="L89" s="3"/>
      <c r="M89" s="3"/>
      <c r="N89" s="3"/>
      <c r="O89" s="3"/>
      <c r="P89" s="3"/>
      <c r="Q89" s="3"/>
      <c r="R89" t="s" s="15">
        <v>27</v>
      </c>
      <c r="S89" s="3">
        <v>129</v>
      </c>
    </row>
    <row r="90" ht="13.65" customHeight="1">
      <c r="A90" t="s" s="15">
        <v>81</v>
      </c>
      <c r="B90" s="3"/>
      <c r="C90" s="3"/>
      <c r="D90" s="3"/>
      <c r="E90" s="3"/>
      <c r="F90" s="3"/>
      <c r="G90" s="3"/>
      <c r="H90" s="3"/>
      <c r="I90" s="3">
        <f>H90/L90</f>
      </c>
      <c r="J90" s="3"/>
      <c r="K90" s="3">
        <f>J90/L90</f>
      </c>
      <c r="L90" s="3"/>
      <c r="M90" s="3"/>
      <c r="N90" s="3"/>
      <c r="O90" s="3"/>
      <c r="P90" s="3"/>
      <c r="Q90" s="3"/>
      <c r="R90" t="s" s="15">
        <v>27</v>
      </c>
      <c r="S90" s="3">
        <v>126</v>
      </c>
    </row>
    <row r="91" ht="13.65" customHeight="1">
      <c r="A91" t="s" s="15">
        <v>82</v>
      </c>
      <c r="B91" s="3"/>
      <c r="C91" s="3"/>
      <c r="D91" s="3"/>
      <c r="E91" s="3"/>
      <c r="F91" s="3"/>
      <c r="G91" s="3"/>
      <c r="H91" s="3"/>
      <c r="I91" s="3">
        <f>H91/L91</f>
      </c>
      <c r="J91" s="3"/>
      <c r="K91" s="3">
        <f>J91/L91</f>
      </c>
      <c r="L91" s="3"/>
      <c r="M91" s="3"/>
      <c r="N91" s="3"/>
      <c r="O91" s="3"/>
      <c r="P91" s="3"/>
      <c r="Q91" s="3"/>
      <c r="R91" t="s" s="15">
        <v>27</v>
      </c>
      <c r="S91" s="3">
        <v>126</v>
      </c>
    </row>
    <row r="92" ht="13.65" customHeight="1">
      <c r="A92" t="s" s="15">
        <v>83</v>
      </c>
      <c r="B92" s="3"/>
      <c r="C92" s="3"/>
      <c r="D92" s="3"/>
      <c r="E92" s="3"/>
      <c r="F92" s="3"/>
      <c r="G92" s="3"/>
      <c r="H92" s="3"/>
      <c r="I92" s="3">
        <f>H92/L92</f>
      </c>
      <c r="J92" s="3"/>
      <c r="K92" s="3">
        <f>J92/L92</f>
      </c>
      <c r="L92" s="3"/>
      <c r="M92" s="3"/>
      <c r="N92" s="3"/>
      <c r="O92" s="3"/>
      <c r="P92" s="3"/>
      <c r="Q92" s="3"/>
      <c r="R92" t="s" s="15">
        <v>27</v>
      </c>
      <c r="S92" s="3">
        <v>125</v>
      </c>
    </row>
    <row r="93" ht="13.65" customHeight="1">
      <c r="A93" t="s" s="15">
        <v>84</v>
      </c>
      <c r="B93" s="3"/>
      <c r="C93" s="3"/>
      <c r="D93" s="3"/>
      <c r="E93" s="3"/>
      <c r="F93" s="3"/>
      <c r="G93" s="3"/>
      <c r="H93" s="3"/>
      <c r="I93" s="3">
        <f>H93/L93</f>
      </c>
      <c r="J93" s="3"/>
      <c r="K93" s="3">
        <f>J93/L93</f>
      </c>
      <c r="L93" s="3"/>
      <c r="M93" s="3"/>
      <c r="N93" s="3"/>
      <c r="O93" s="3"/>
      <c r="P93" s="3"/>
      <c r="Q93" s="3"/>
      <c r="R93" t="s" s="15">
        <v>27</v>
      </c>
      <c r="S93" s="3">
        <v>125</v>
      </c>
    </row>
    <row r="94" ht="13.65" customHeight="1">
      <c r="A94" t="s" s="15">
        <v>85</v>
      </c>
      <c r="B94" s="3"/>
      <c r="C94" s="3"/>
      <c r="D94" s="3"/>
      <c r="E94" s="3"/>
      <c r="F94" s="3"/>
      <c r="G94" s="3"/>
      <c r="H94" s="3"/>
      <c r="I94" s="3">
        <f>H94/L94</f>
      </c>
      <c r="J94" s="3"/>
      <c r="K94" s="3">
        <f>J94/L94</f>
      </c>
      <c r="L94" s="3"/>
      <c r="M94" s="3"/>
      <c r="N94" s="3"/>
      <c r="O94" s="3"/>
      <c r="P94" s="3"/>
      <c r="Q94" s="3"/>
      <c r="R94" t="s" s="15">
        <v>27</v>
      </c>
      <c r="S94" s="3">
        <v>124</v>
      </c>
    </row>
    <row r="95" ht="13.65" customHeight="1">
      <c r="A95" t="s" s="15">
        <v>86</v>
      </c>
      <c r="B95" s="3"/>
      <c r="C95" s="3"/>
      <c r="D95" s="3"/>
      <c r="E95" s="3"/>
      <c r="F95" s="3"/>
      <c r="G95" s="3"/>
      <c r="H95" s="3"/>
      <c r="I95" s="3">
        <f>H95/L95</f>
      </c>
      <c r="J95" s="3"/>
      <c r="K95" s="3">
        <f>J95/L95</f>
      </c>
      <c r="L95" s="3"/>
      <c r="M95" s="3"/>
      <c r="N95" s="3"/>
      <c r="O95" s="3"/>
      <c r="P95" s="3"/>
      <c r="Q95" s="3"/>
      <c r="R95" t="s" s="15">
        <v>27</v>
      </c>
      <c r="S95" s="3">
        <v>124</v>
      </c>
    </row>
    <row r="96" ht="13.65" customHeight="1">
      <c r="A96" t="s" s="15">
        <v>87</v>
      </c>
      <c r="B96" s="3"/>
      <c r="C96" s="3"/>
      <c r="D96" s="3"/>
      <c r="E96" s="3"/>
      <c r="F96" s="3"/>
      <c r="G96" s="3"/>
      <c r="H96" s="3"/>
      <c r="I96" s="3">
        <f>H96/L96</f>
      </c>
      <c r="J96" s="3"/>
      <c r="K96" s="3">
        <f>J96/L96</f>
      </c>
      <c r="L96" s="3"/>
      <c r="M96" s="3"/>
      <c r="N96" s="3"/>
      <c r="O96" s="3"/>
      <c r="P96" s="3"/>
      <c r="Q96" s="3"/>
      <c r="R96" t="s" s="15">
        <v>27</v>
      </c>
      <c r="S96" s="3">
        <v>124</v>
      </c>
    </row>
    <row r="97" ht="13.65" customHeight="1">
      <c r="A97" t="s" s="15">
        <v>88</v>
      </c>
      <c r="B97" s="3"/>
      <c r="C97" s="3"/>
      <c r="D97" s="3"/>
      <c r="E97" s="3"/>
      <c r="F97" s="3"/>
      <c r="G97" s="3"/>
      <c r="H97" s="3"/>
      <c r="I97" s="3">
        <f>H97/L97</f>
      </c>
      <c r="J97" s="3"/>
      <c r="K97" s="3">
        <f>J97/L97</f>
      </c>
      <c r="L97" s="3"/>
      <c r="M97" s="3"/>
      <c r="N97" s="3"/>
      <c r="O97" s="3"/>
      <c r="P97" s="3"/>
      <c r="Q97" s="3"/>
      <c r="R97" t="s" s="15">
        <v>27</v>
      </c>
      <c r="S97" s="3">
        <v>124</v>
      </c>
    </row>
    <row r="98" ht="13.65" customHeight="1">
      <c r="A98" t="s" s="15">
        <v>89</v>
      </c>
      <c r="B98" s="3"/>
      <c r="C98" s="3"/>
      <c r="D98" s="3"/>
      <c r="E98" s="3"/>
      <c r="F98" s="3"/>
      <c r="G98" s="3"/>
      <c r="H98" s="3"/>
      <c r="I98" s="3">
        <f>H98/L98</f>
      </c>
      <c r="J98" s="3"/>
      <c r="K98" s="3">
        <f>J98/L98</f>
      </c>
      <c r="L98" s="3"/>
      <c r="M98" s="3"/>
      <c r="N98" s="3"/>
      <c r="O98" s="3"/>
      <c r="P98" s="3"/>
      <c r="Q98" s="3"/>
      <c r="R98" t="s" s="15">
        <v>27</v>
      </c>
      <c r="S98" s="3">
        <v>124</v>
      </c>
    </row>
    <row r="99" ht="13.65" customHeight="1">
      <c r="A99" t="s" s="15">
        <v>90</v>
      </c>
      <c r="B99" s="3"/>
      <c r="C99" s="3"/>
      <c r="D99" s="3"/>
      <c r="E99" s="3"/>
      <c r="F99" s="3"/>
      <c r="G99" s="3"/>
      <c r="H99" s="3"/>
      <c r="I99" s="3">
        <f>H99/L99</f>
      </c>
      <c r="J99" s="3"/>
      <c r="K99" s="3">
        <f>J99/L99</f>
      </c>
      <c r="L99" s="3"/>
      <c r="M99" s="3"/>
      <c r="N99" s="3"/>
      <c r="O99" s="3"/>
      <c r="P99" s="3"/>
      <c r="Q99" s="3"/>
      <c r="R99" t="s" s="15">
        <v>27</v>
      </c>
      <c r="S99" s="3">
        <v>124</v>
      </c>
    </row>
    <row r="100" ht="13.65" customHeight="1">
      <c r="A100" s="3"/>
      <c r="B100" s="3"/>
      <c r="C100" s="3"/>
      <c r="D100" s="3"/>
      <c r="E100" s="3"/>
      <c r="F100" s="3"/>
      <c r="G100" s="3"/>
      <c r="H100" s="3"/>
      <c r="I100" s="3">
        <f>H100/L100</f>
      </c>
      <c r="J100" s="3"/>
      <c r="K100" s="3">
        <f>J100/L100</f>
      </c>
      <c r="L100" s="3"/>
      <c r="M100" s="3"/>
      <c r="N100" s="3"/>
      <c r="O100" s="3"/>
      <c r="P100" s="3"/>
      <c r="Q100" s="3"/>
      <c r="R100" s="3"/>
      <c r="S100" s="3"/>
    </row>
    <row r="101" ht="13.65" customHeight="1">
      <c r="A101" t="s" s="15">
        <v>91</v>
      </c>
      <c r="B101" s="3"/>
      <c r="C101" s="3"/>
      <c r="D101" s="3"/>
      <c r="E101" s="3"/>
      <c r="F101" s="3"/>
      <c r="G101" s="3"/>
      <c r="H101" s="3"/>
      <c r="I101" s="3">
        <f>H101/L101</f>
      </c>
      <c r="J101" s="3"/>
      <c r="K101" s="3">
        <f>J101/L101</f>
      </c>
      <c r="L101" s="3"/>
      <c r="M101" s="3"/>
      <c r="N101" s="3"/>
      <c r="O101" s="3"/>
      <c r="P101" s="3"/>
      <c r="Q101" s="3"/>
      <c r="R101" t="s" s="15">
        <v>44</v>
      </c>
      <c r="S101" s="3">
        <v>124</v>
      </c>
    </row>
    <row r="102" ht="13.65" customHeight="1">
      <c r="A102" t="s" s="15">
        <v>91</v>
      </c>
      <c r="B102" s="3"/>
      <c r="C102" s="3"/>
      <c r="D102" s="3"/>
      <c r="E102" s="3"/>
      <c r="F102" s="3"/>
      <c r="G102" s="3"/>
      <c r="H102" s="3"/>
      <c r="I102" s="3">
        <f>H102/L102</f>
      </c>
      <c r="J102" s="3"/>
      <c r="K102" s="3">
        <f>J102/L102</f>
      </c>
      <c r="L102" s="3"/>
      <c r="M102" s="3"/>
      <c r="N102" s="3"/>
      <c r="O102" s="3"/>
      <c r="P102" s="3"/>
      <c r="Q102" s="3"/>
      <c r="R102" t="s" s="15">
        <v>44</v>
      </c>
      <c r="S102" s="3">
        <v>121</v>
      </c>
    </row>
    <row r="103" ht="13.65" customHeight="1">
      <c r="A103" t="s" s="15">
        <v>92</v>
      </c>
      <c r="B103" s="3"/>
      <c r="C103" s="3"/>
      <c r="D103" s="3"/>
      <c r="E103" s="3"/>
      <c r="F103" s="3"/>
      <c r="G103" s="3"/>
      <c r="H103" s="3"/>
      <c r="I103" s="3">
        <f>H103/L103</f>
      </c>
      <c r="J103" s="3"/>
      <c r="K103" s="3">
        <f>J103/L103</f>
      </c>
      <c r="L103" s="3"/>
      <c r="M103" s="3"/>
      <c r="N103" s="3"/>
      <c r="O103" s="3"/>
      <c r="P103" s="3"/>
      <c r="Q103" s="3"/>
      <c r="R103" t="s" s="15">
        <v>44</v>
      </c>
      <c r="S103" s="3">
        <v>121</v>
      </c>
    </row>
    <row r="104" ht="13.65" customHeight="1">
      <c r="A104" t="s" s="15">
        <v>93</v>
      </c>
      <c r="B104" s="3"/>
      <c r="C104" s="3"/>
      <c r="D104" s="3"/>
      <c r="E104" s="3"/>
      <c r="F104" s="3"/>
      <c r="G104" s="3"/>
      <c r="H104" s="3"/>
      <c r="I104" s="3">
        <f>H104/L104</f>
      </c>
      <c r="J104" s="3"/>
      <c r="K104" s="3">
        <f>J104/L104</f>
      </c>
      <c r="L104" s="3"/>
      <c r="M104" s="3"/>
      <c r="N104" s="3"/>
      <c r="O104" s="3"/>
      <c r="P104" s="3"/>
      <c r="Q104" s="3"/>
      <c r="R104" t="s" s="15">
        <v>44</v>
      </c>
      <c r="S104" s="3">
        <v>120</v>
      </c>
    </row>
    <row r="105" ht="13.65" customHeight="1">
      <c r="A105" t="s" s="15">
        <v>94</v>
      </c>
      <c r="B105" s="3"/>
      <c r="C105" s="3"/>
      <c r="D105" s="3"/>
      <c r="E105" s="3"/>
      <c r="F105" s="3"/>
      <c r="G105" s="3"/>
      <c r="H105" s="3"/>
      <c r="I105" s="3">
        <f>H105/L105</f>
      </c>
      <c r="J105" s="3"/>
      <c r="K105" s="3">
        <f>J105/L105</f>
      </c>
      <c r="L105" s="3"/>
      <c r="M105" s="3"/>
      <c r="N105" s="3"/>
      <c r="O105" s="3"/>
      <c r="P105" s="3"/>
      <c r="Q105" s="3"/>
      <c r="R105" t="s" s="15">
        <v>44</v>
      </c>
      <c r="S105" s="3">
        <v>120</v>
      </c>
    </row>
    <row r="106" ht="13.65" customHeight="1">
      <c r="A106" t="s" s="15">
        <v>95</v>
      </c>
      <c r="B106" s="3"/>
      <c r="C106" s="3"/>
      <c r="D106" s="3"/>
      <c r="E106" s="3"/>
      <c r="F106" s="3"/>
      <c r="G106" s="3"/>
      <c r="H106" s="3"/>
      <c r="I106" s="3">
        <f>H106/L106</f>
      </c>
      <c r="J106" s="3"/>
      <c r="K106" s="3">
        <f>J106/L106</f>
      </c>
      <c r="L106" s="3"/>
      <c r="M106" s="3"/>
      <c r="N106" s="3"/>
      <c r="O106" s="3"/>
      <c r="P106" s="3"/>
      <c r="Q106" s="3"/>
      <c r="R106" t="s" s="15">
        <v>44</v>
      </c>
      <c r="S106" s="3">
        <v>119</v>
      </c>
    </row>
    <row r="107" ht="13.65" customHeight="1">
      <c r="A107" t="s" s="15">
        <v>96</v>
      </c>
      <c r="B107" s="3"/>
      <c r="C107" s="3"/>
      <c r="D107" s="3"/>
      <c r="E107" s="3"/>
      <c r="F107" s="3"/>
      <c r="G107" s="3"/>
      <c r="H107" s="3"/>
      <c r="I107" s="3">
        <f>H107/L107</f>
      </c>
      <c r="J107" s="3"/>
      <c r="K107" s="3">
        <f>J107/L107</f>
      </c>
      <c r="L107" s="3"/>
      <c r="M107" s="3"/>
      <c r="N107" s="3"/>
      <c r="O107" s="3"/>
      <c r="P107" s="3"/>
      <c r="Q107" s="3"/>
      <c r="R107" t="s" s="15">
        <v>44</v>
      </c>
      <c r="S107" s="3">
        <v>119</v>
      </c>
    </row>
    <row r="108" ht="13.65" customHeight="1">
      <c r="A108" t="s" s="15">
        <v>97</v>
      </c>
      <c r="B108" s="3"/>
      <c r="C108" s="3"/>
      <c r="D108" s="3"/>
      <c r="E108" s="3"/>
      <c r="F108" s="3"/>
      <c r="G108" s="3"/>
      <c r="H108" s="3"/>
      <c r="I108" s="3">
        <f>H108/L108</f>
      </c>
      <c r="J108" s="3"/>
      <c r="K108" s="3">
        <f>J108/L108</f>
      </c>
      <c r="L108" s="3"/>
      <c r="M108" s="3"/>
      <c r="N108" s="3"/>
      <c r="O108" s="3"/>
      <c r="P108" s="3"/>
      <c r="Q108" s="3"/>
      <c r="R108" t="s" s="15">
        <v>44</v>
      </c>
      <c r="S108" s="3">
        <v>119</v>
      </c>
    </row>
    <row r="109" ht="13.65" customHeight="1">
      <c r="A109" t="s" s="15">
        <v>98</v>
      </c>
      <c r="B109" s="3"/>
      <c r="C109" s="3"/>
      <c r="D109" s="3"/>
      <c r="E109" s="3"/>
      <c r="F109" s="3"/>
      <c r="G109" s="3"/>
      <c r="H109" s="3"/>
      <c r="I109" s="3">
        <f>H109/L109</f>
      </c>
      <c r="J109" s="3"/>
      <c r="K109" s="3">
        <f>J109/L109</f>
      </c>
      <c r="L109" s="3"/>
      <c r="M109" s="3"/>
      <c r="N109" s="3"/>
      <c r="O109" s="3"/>
      <c r="P109" s="3"/>
      <c r="Q109" s="3"/>
      <c r="R109" t="s" s="15">
        <v>44</v>
      </c>
      <c r="S109" s="3">
        <v>118</v>
      </c>
    </row>
    <row r="110" ht="13.65" customHeight="1">
      <c r="A110" t="s" s="15">
        <v>99</v>
      </c>
      <c r="B110" s="3"/>
      <c r="C110" s="3"/>
      <c r="D110" s="3"/>
      <c r="E110" s="3"/>
      <c r="F110" s="3"/>
      <c r="G110" s="3"/>
      <c r="H110" s="3"/>
      <c r="I110" s="3">
        <f>H110/L110</f>
      </c>
      <c r="J110" s="3"/>
      <c r="K110" s="3">
        <f>J110/L110</f>
      </c>
      <c r="L110" s="3"/>
      <c r="M110" s="3"/>
      <c r="N110" s="3"/>
      <c r="O110" s="3"/>
      <c r="P110" s="3"/>
      <c r="Q110" s="3"/>
      <c r="R110" t="s" s="15">
        <v>44</v>
      </c>
      <c r="S110" s="3">
        <v>118</v>
      </c>
    </row>
    <row r="111" ht="13.65" customHeight="1">
      <c r="A111" s="3"/>
      <c r="B111" s="3"/>
      <c r="C111" s="3"/>
      <c r="D111" s="3"/>
      <c r="E111" s="3"/>
      <c r="F111" s="3"/>
      <c r="G111" s="3"/>
      <c r="H111" s="3"/>
      <c r="I111" s="3">
        <f>H111/L111</f>
      </c>
      <c r="J111" s="3"/>
      <c r="K111" s="3">
        <f>J111/L111</f>
      </c>
      <c r="L111" s="3"/>
      <c r="M111" s="3"/>
      <c r="N111" s="3"/>
      <c r="O111" s="3"/>
      <c r="P111" s="3"/>
      <c r="Q111" s="3"/>
      <c r="R111" s="3"/>
      <c r="S111" s="3"/>
    </row>
    <row r="112" ht="13.65" customHeight="1">
      <c r="A112" t="s" s="15">
        <v>100</v>
      </c>
      <c r="B112" s="3">
        <v>6</v>
      </c>
      <c r="C112" t="s" s="15">
        <v>24</v>
      </c>
      <c r="D112" t="s" s="15">
        <v>35</v>
      </c>
      <c r="E112" t="s" s="15">
        <v>101</v>
      </c>
      <c r="F112" s="3">
        <v>125</v>
      </c>
      <c r="G112" s="3">
        <v>0.6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39273</v>
      </c>
      <c r="N112" s="3">
        <f>12/40</f>
        <v>0.3</v>
      </c>
      <c r="O112" s="3">
        <f>5/40</f>
        <v>0.125</v>
      </c>
      <c r="P112" s="3">
        <f>4/40</f>
        <v>0.1</v>
      </c>
      <c r="Q112" s="3">
        <v>5</v>
      </c>
      <c r="R112" t="s" s="15">
        <v>27</v>
      </c>
      <c r="S112" s="3">
        <v>123</v>
      </c>
    </row>
    <row r="113" ht="13.65" customHeight="1">
      <c r="A113" t="s" s="15">
        <v>102</v>
      </c>
      <c r="B113" s="3">
        <v>7</v>
      </c>
      <c r="C113" t="s" s="15">
        <v>24</v>
      </c>
      <c r="D113" t="s" s="15">
        <v>25</v>
      </c>
      <c r="E113" t="s" s="15">
        <v>38</v>
      </c>
      <c r="F113" s="3">
        <v>119</v>
      </c>
      <c r="G113" s="3">
        <v>1.1</v>
      </c>
      <c r="H113" s="3">
        <f>60.4+47.6+36.2+58.6+85+72.2</f>
        <v>359.9999999999999</v>
      </c>
      <c r="I113" s="3">
        <f>H113/L113</f>
        <v>59.99999999999999</v>
      </c>
      <c r="J113" s="3">
        <f>5+4+3+5+7+6</f>
        <v>30</v>
      </c>
      <c r="K113" s="3">
        <f>J113/L113</f>
        <v>5</v>
      </c>
      <c r="L113" s="3">
        <v>6</v>
      </c>
      <c r="M113" s="3">
        <v>59427</v>
      </c>
      <c r="N113" s="3">
        <f t="shared" si="102"/>
        <v>0.6153846153846154</v>
      </c>
      <c r="O113" s="3">
        <f t="shared" si="103"/>
        <v>0.1538461538461539</v>
      </c>
      <c r="P113" s="3">
        <v>0</v>
      </c>
      <c r="Q113" s="3">
        <v>5</v>
      </c>
      <c r="R113" t="s" s="15">
        <v>27</v>
      </c>
      <c r="S113" s="3">
        <v>122</v>
      </c>
    </row>
    <row r="114" ht="13.65" customHeight="1">
      <c r="A114" t="s" s="15">
        <v>103</v>
      </c>
      <c r="B114" s="3">
        <v>6</v>
      </c>
      <c r="C114" t="s" s="15">
        <v>24</v>
      </c>
      <c r="D114" t="s" s="15">
        <v>25</v>
      </c>
      <c r="E114" t="s" s="15">
        <v>38</v>
      </c>
      <c r="F114" s="3">
        <v>119</v>
      </c>
      <c r="G114" s="3">
        <v>0.3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79530</v>
      </c>
      <c r="N114" s="3">
        <f>13/19</f>
        <v>0.6842105263157895</v>
      </c>
      <c r="O114" s="3">
        <f>4/19</f>
        <v>0.2105263157894737</v>
      </c>
      <c r="P114" s="3">
        <f>1/19</f>
        <v>0.05263157894736842</v>
      </c>
      <c r="Q114" s="3">
        <v>6</v>
      </c>
      <c r="R114" t="s" s="15">
        <v>27</v>
      </c>
      <c r="S114" s="3">
        <v>121</v>
      </c>
    </row>
    <row r="115" ht="13.65" customHeight="1">
      <c r="A115" t="s" s="15">
        <v>59</v>
      </c>
      <c r="B115" s="3">
        <v>7</v>
      </c>
      <c r="C115" t="s" s="15">
        <v>24</v>
      </c>
      <c r="D115" t="s" s="15">
        <v>35</v>
      </c>
      <c r="E115" t="s" s="15">
        <v>38</v>
      </c>
      <c r="F115" s="3">
        <v>117</v>
      </c>
      <c r="G115" s="3">
        <v>11.3</v>
      </c>
      <c r="H115" s="3">
        <f>46+74.4+84.6+58+34.8</f>
        <v>297.8</v>
      </c>
      <c r="I115" s="3">
        <f>H115/L115</f>
        <v>59.56</v>
      </c>
      <c r="J115" s="3">
        <f t="shared" si="305" ref="J115:J119">4+6+7+5+3</f>
        <v>25</v>
      </c>
      <c r="K115" s="3">
        <f>J115/L115</f>
        <v>5</v>
      </c>
      <c r="L115" s="3">
        <v>5</v>
      </c>
      <c r="M115" s="3">
        <v>165139</v>
      </c>
      <c r="N115" s="3">
        <f t="shared" si="86"/>
        <v>0.7777777777777778</v>
      </c>
      <c r="O115" s="3">
        <v>0</v>
      </c>
      <c r="P115" s="3">
        <v>0</v>
      </c>
      <c r="Q115" s="3">
        <v>3</v>
      </c>
      <c r="R115" t="s" s="15">
        <v>27</v>
      </c>
      <c r="S115" s="3">
        <v>121</v>
      </c>
    </row>
    <row r="116" ht="13.65" customHeight="1">
      <c r="A116" t="s" s="15">
        <v>60</v>
      </c>
      <c r="B116" s="3">
        <v>6</v>
      </c>
      <c r="C116" t="s" s="15">
        <v>24</v>
      </c>
      <c r="D116" t="s" s="15">
        <v>25</v>
      </c>
      <c r="E116" t="s" s="15">
        <v>38</v>
      </c>
      <c r="F116" s="3">
        <v>114</v>
      </c>
      <c r="G116" s="3">
        <v>2</v>
      </c>
      <c r="H116" s="3">
        <f>47.4+73+59+59+1+47.6+38.8</f>
        <v>325.8</v>
      </c>
      <c r="I116" s="3">
        <f>H116/L116</f>
        <v>46.54285714285714</v>
      </c>
      <c r="J116" s="3">
        <f>4+6+5+5+5+4+3</f>
        <v>32</v>
      </c>
      <c r="K116" s="3">
        <f>J116/L116</f>
        <v>4.571428571428571</v>
      </c>
      <c r="L116" s="3">
        <v>7</v>
      </c>
      <c r="M116" s="3">
        <v>48510</v>
      </c>
      <c r="N116" s="3">
        <f t="shared" si="89"/>
        <v>0.375</v>
      </c>
      <c r="O116" s="3">
        <f t="shared" si="89"/>
        <v>0.375</v>
      </c>
      <c r="P116" s="3">
        <f t="shared" si="91"/>
        <v>0.0625</v>
      </c>
      <c r="Q116" s="3">
        <v>3</v>
      </c>
      <c r="R116" t="s" s="15">
        <v>27</v>
      </c>
      <c r="S116" s="3">
        <v>121</v>
      </c>
    </row>
    <row r="117" ht="13.65" customHeight="1">
      <c r="A117" t="s" s="15">
        <v>104</v>
      </c>
      <c r="B117" s="3">
        <v>5</v>
      </c>
      <c r="C117" t="s" s="15">
        <v>30</v>
      </c>
      <c r="D117" t="s" s="15">
        <v>35</v>
      </c>
      <c r="E117" t="s" s="15">
        <v>36</v>
      </c>
      <c r="F117" s="3">
        <v>118</v>
      </c>
      <c r="G117" s="3">
        <v>5.3</v>
      </c>
      <c r="H117" s="3">
        <f>60.8+60.2+61.4+49.8</f>
        <v>232.2</v>
      </c>
      <c r="I117" s="3">
        <f>H117/L117</f>
        <v>58.05</v>
      </c>
      <c r="J117" s="3">
        <f>5*3+4</f>
        <v>19</v>
      </c>
      <c r="K117" s="3">
        <f>J117/L117</f>
        <v>4.75</v>
      </c>
      <c r="L117" s="3">
        <v>4</v>
      </c>
      <c r="M117" s="3">
        <v>18790</v>
      </c>
      <c r="N117" s="3">
        <f t="shared" si="319" ref="N117:O117">6/27</f>
        <v>0.2222222222222222</v>
      </c>
      <c r="O117" s="3">
        <f t="shared" si="319"/>
        <v>0.2222222222222222</v>
      </c>
      <c r="P117" s="3">
        <f>3/27</f>
        <v>0.1111111111111111</v>
      </c>
      <c r="Q117" s="3">
        <v>5</v>
      </c>
      <c r="R117" t="s" s="15">
        <v>27</v>
      </c>
      <c r="S117" s="3">
        <v>120</v>
      </c>
    </row>
    <row r="118" ht="13.65" customHeight="1">
      <c r="A118" t="s" s="15">
        <v>105</v>
      </c>
      <c r="B118" s="3">
        <v>7</v>
      </c>
      <c r="C118" t="s" s="15">
        <v>24</v>
      </c>
      <c r="D118" t="s" s="15">
        <v>35</v>
      </c>
      <c r="E118" t="s" s="15">
        <v>38</v>
      </c>
      <c r="F118" s="3">
        <v>117</v>
      </c>
      <c r="G118" s="3">
        <v>4.3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25199</v>
      </c>
      <c r="N118" s="3">
        <f>5/13</f>
        <v>0.3846153846153846</v>
      </c>
      <c r="O118" s="3">
        <v>0</v>
      </c>
      <c r="P118" s="3">
        <f t="shared" si="103"/>
        <v>0.1538461538461539</v>
      </c>
      <c r="Q118" s="3">
        <v>5</v>
      </c>
      <c r="R118" t="s" s="15">
        <v>27</v>
      </c>
      <c r="S118" s="3">
        <v>120</v>
      </c>
    </row>
    <row r="119" ht="13.65" customHeight="1">
      <c r="A119" t="s" s="15">
        <v>59</v>
      </c>
      <c r="B119" s="3">
        <v>6</v>
      </c>
      <c r="C119" t="s" s="15">
        <v>24</v>
      </c>
      <c r="D119" t="s" s="15">
        <v>25</v>
      </c>
      <c r="E119" t="s" s="15">
        <v>38</v>
      </c>
      <c r="F119" s="3">
        <v>124</v>
      </c>
      <c r="G119" s="3">
        <v>1.6</v>
      </c>
      <c r="H119" s="3">
        <f>46+64.4+84.6+58+34.8</f>
        <v>287.8</v>
      </c>
      <c r="I119" s="3">
        <f>H119/L119</f>
        <v>57.56</v>
      </c>
      <c r="J119" s="3">
        <f t="shared" si="305"/>
        <v>25</v>
      </c>
      <c r="K119" s="3">
        <f>J119/L119</f>
        <v>5</v>
      </c>
      <c r="L119" s="3">
        <v>5</v>
      </c>
      <c r="M119" s="3">
        <v>165139</v>
      </c>
      <c r="N119" s="3">
        <f t="shared" si="86"/>
        <v>0.7777777777777778</v>
      </c>
      <c r="O119" s="3">
        <v>0</v>
      </c>
      <c r="P119" s="3">
        <v>0</v>
      </c>
      <c r="Q119" s="3">
        <v>3</v>
      </c>
      <c r="R119" t="s" s="15">
        <v>27</v>
      </c>
      <c r="S119" s="3">
        <v>120</v>
      </c>
    </row>
    <row r="120" ht="13.65" customHeight="1">
      <c r="A120" t="s" s="15">
        <v>106</v>
      </c>
      <c r="B120" s="3">
        <v>6.5</v>
      </c>
      <c r="C120" t="s" s="15">
        <v>24</v>
      </c>
      <c r="D120" t="s" s="15">
        <v>58</v>
      </c>
      <c r="E120" t="s" s="15">
        <v>107</v>
      </c>
      <c r="F120" s="3">
        <v>123</v>
      </c>
      <c r="G120" s="3">
        <v>0.6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22983</v>
      </c>
      <c r="N120" s="3">
        <f>8/21</f>
        <v>0.3809523809523809</v>
      </c>
      <c r="O120" s="3">
        <f>2/21</f>
        <v>0.09523809523809523</v>
      </c>
      <c r="P120" s="3">
        <f t="shared" si="99"/>
        <v>0.1904761904761905</v>
      </c>
      <c r="Q120" s="3">
        <v>5</v>
      </c>
      <c r="R120" t="s" s="15">
        <v>27</v>
      </c>
      <c r="S120" s="3">
        <v>119</v>
      </c>
    </row>
    <row r="121" ht="13.65" customHeight="1">
      <c r="A121" t="s" s="15">
        <v>108</v>
      </c>
      <c r="B121" s="3">
        <v>6</v>
      </c>
      <c r="C121" t="s" s="15">
        <v>24</v>
      </c>
      <c r="D121" t="s" s="15">
        <v>35</v>
      </c>
      <c r="E121" t="s" s="15">
        <v>38</v>
      </c>
      <c r="F121" s="3">
        <v>115</v>
      </c>
      <c r="G121" s="3">
        <v>5.1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35354</v>
      </c>
      <c r="N121" s="3">
        <f>7/21</f>
        <v>0.3333333333333333</v>
      </c>
      <c r="O121" s="3">
        <f>0</f>
        <v>0</v>
      </c>
      <c r="P121" s="3">
        <f t="shared" si="99"/>
        <v>0.1904761904761905</v>
      </c>
      <c r="Q121" s="3">
        <v>6</v>
      </c>
      <c r="R121" t="s" s="15">
        <v>27</v>
      </c>
      <c r="S121" s="3">
        <v>119</v>
      </c>
    </row>
    <row r="122" ht="13.65" customHeight="1">
      <c r="A122" t="s" s="15">
        <v>109</v>
      </c>
      <c r="B122" s="3">
        <v>6</v>
      </c>
      <c r="C122" t="s" s="15">
        <v>24</v>
      </c>
      <c r="D122" t="s" s="15">
        <v>25</v>
      </c>
      <c r="E122" t="s" s="15">
        <v>38</v>
      </c>
      <c r="F122" s="3">
        <v>117</v>
      </c>
      <c r="G122" s="3">
        <v>2.2</v>
      </c>
      <c r="H122" s="3">
        <f>48.6+60.8+61.8+49.2+60.6</f>
        <v>281</v>
      </c>
      <c r="I122" s="3">
        <f>H122/L122</f>
        <v>56.2</v>
      </c>
      <c r="J122" s="3">
        <f>4+5+5+4+5</f>
        <v>23</v>
      </c>
      <c r="K122" s="3">
        <f>J122/L122</f>
        <v>4.6</v>
      </c>
      <c r="L122" s="3">
        <v>5</v>
      </c>
      <c r="M122" s="3">
        <v>69527</v>
      </c>
      <c r="N122" s="3">
        <f>10/16</f>
        <v>0.625</v>
      </c>
      <c r="O122" s="3">
        <f t="shared" si="179"/>
        <v>0.25</v>
      </c>
      <c r="P122" s="3">
        <v>0</v>
      </c>
      <c r="Q122" s="3">
        <v>5</v>
      </c>
      <c r="R122" t="s" s="15">
        <v>27</v>
      </c>
      <c r="S122" s="3">
        <v>119</v>
      </c>
    </row>
    <row r="123" ht="13.65" customHeight="1">
      <c r="A123" t="s" s="15">
        <v>110</v>
      </c>
      <c r="B123" s="3">
        <v>6</v>
      </c>
      <c r="C123" t="s" s="15">
        <v>30</v>
      </c>
      <c r="D123" t="s" s="15">
        <v>25</v>
      </c>
      <c r="E123" t="s" s="15">
        <v>65</v>
      </c>
      <c r="F123" s="3">
        <v>116</v>
      </c>
      <c r="G123" s="3">
        <v>10.8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19542</v>
      </c>
      <c r="N123" s="3">
        <f>4/19</f>
        <v>0.2105263157894737</v>
      </c>
      <c r="O123" s="3">
        <f>5/19</f>
        <v>0.2631578947368421</v>
      </c>
      <c r="P123" s="3">
        <f t="shared" si="133"/>
        <v>0.1052631578947368</v>
      </c>
      <c r="Q123" s="3">
        <v>6</v>
      </c>
      <c r="R123" t="s" s="15">
        <v>27</v>
      </c>
      <c r="S123" s="3">
        <v>119</v>
      </c>
    </row>
    <row r="124" ht="13.6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13.6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13.6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13.6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13.6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13.6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13.6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13.6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13.6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13.6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