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166925"/>
  <mc:AlternateContent xmlns:mc="http://schemas.openxmlformats.org/markup-compatibility/2006">
    <mc:Choice Requires="x15">
      <x15ac:absPath xmlns:x15ac="http://schemas.microsoft.com/office/spreadsheetml/2010/11/ac" url="https://d.docs.live.net/6ed80abf064dbd20/Desktop/"/>
    </mc:Choice>
  </mc:AlternateContent>
  <xr:revisionPtr revIDLastSave="0" documentId="8_{D00B4182-633D-4F56-B6B4-E36A409315AD}" xr6:coauthVersionLast="47" xr6:coauthVersionMax="47" xr10:uidLastSave="{00000000-0000-0000-0000-000000000000}"/>
  <bookViews>
    <workbookView xWindow="-38385" yWindow="-21720" windowWidth="38640" windowHeight="21120" xr2:uid="{7772BBBE-59E3-426B-B137-86082B8E044C}"/>
  </bookViews>
  <sheets>
    <sheet name="goodreads_library_export_with_g" sheetId="1" r:id="rId1"/>
  </sheets>
  <calcPr calcId="0"/>
</workbook>
</file>

<file path=xl/calcChain.xml><?xml version="1.0" encoding="utf-8"?>
<calcChain xmlns="http://schemas.openxmlformats.org/spreadsheetml/2006/main">
  <c r="F2" i="1" l="1"/>
  <c r="G2" i="1"/>
  <c r="F3" i="1"/>
  <c r="G3" i="1"/>
  <c r="F4" i="1"/>
  <c r="G4" i="1"/>
  <c r="F5" i="1"/>
  <c r="G5" i="1"/>
  <c r="F6" i="1"/>
  <c r="G6" i="1"/>
  <c r="F7" i="1"/>
  <c r="G7" i="1"/>
  <c r="F8" i="1"/>
  <c r="G8" i="1"/>
  <c r="F9" i="1"/>
  <c r="G9" i="1"/>
  <c r="F10" i="1"/>
  <c r="G10" i="1"/>
  <c r="F11" i="1"/>
  <c r="G11" i="1"/>
  <c r="F12" i="1"/>
  <c r="G12" i="1"/>
  <c r="F13" i="1"/>
  <c r="G13" i="1"/>
  <c r="F14" i="1"/>
  <c r="G14" i="1"/>
  <c r="F15" i="1"/>
  <c r="G15" i="1"/>
  <c r="F16" i="1"/>
  <c r="G16" i="1"/>
  <c r="F17" i="1"/>
  <c r="G17" i="1"/>
  <c r="F18" i="1"/>
  <c r="G18" i="1"/>
  <c r="F19" i="1"/>
  <c r="G19" i="1"/>
  <c r="F20" i="1"/>
  <c r="G20" i="1"/>
  <c r="F21" i="1"/>
  <c r="G21" i="1"/>
  <c r="F22" i="1"/>
  <c r="G22" i="1"/>
  <c r="F23" i="1"/>
  <c r="G23" i="1"/>
  <c r="F24" i="1"/>
  <c r="G24" i="1"/>
  <c r="F25" i="1"/>
  <c r="G25" i="1"/>
  <c r="F26" i="1"/>
  <c r="G26" i="1"/>
  <c r="F27" i="1"/>
  <c r="G27" i="1"/>
  <c r="F28" i="1"/>
  <c r="G28" i="1"/>
  <c r="F29" i="1"/>
  <c r="G29" i="1"/>
  <c r="F30" i="1"/>
  <c r="G30" i="1"/>
  <c r="F31" i="1"/>
  <c r="G31" i="1"/>
  <c r="F32" i="1"/>
  <c r="G32" i="1"/>
  <c r="F33" i="1"/>
  <c r="G33" i="1"/>
  <c r="F34" i="1"/>
  <c r="G34" i="1"/>
  <c r="F35" i="1"/>
  <c r="G35" i="1"/>
  <c r="F36" i="1"/>
  <c r="G36" i="1"/>
  <c r="F37" i="1"/>
  <c r="G37" i="1"/>
  <c r="F38" i="1"/>
  <c r="G38" i="1"/>
  <c r="F39" i="1"/>
  <c r="G39" i="1"/>
  <c r="F40" i="1"/>
  <c r="G40" i="1"/>
  <c r="F41" i="1"/>
  <c r="G41" i="1"/>
  <c r="F42" i="1"/>
  <c r="G42" i="1"/>
  <c r="F43" i="1"/>
  <c r="G43" i="1"/>
  <c r="F44" i="1"/>
  <c r="G44" i="1"/>
  <c r="F45" i="1"/>
  <c r="G45" i="1"/>
  <c r="F46" i="1"/>
  <c r="G46" i="1"/>
  <c r="F47" i="1"/>
  <c r="G47" i="1"/>
  <c r="F48" i="1"/>
  <c r="G48" i="1"/>
  <c r="F49" i="1"/>
  <c r="G49" i="1"/>
  <c r="F50" i="1"/>
  <c r="G50" i="1"/>
  <c r="F51" i="1"/>
  <c r="G51" i="1"/>
  <c r="F52" i="1"/>
  <c r="G52" i="1"/>
  <c r="F53" i="1"/>
  <c r="G53" i="1"/>
  <c r="F54" i="1"/>
  <c r="G54" i="1"/>
  <c r="F55" i="1"/>
  <c r="G55" i="1"/>
  <c r="F56" i="1"/>
  <c r="G56" i="1"/>
  <c r="F57" i="1"/>
  <c r="G57" i="1"/>
  <c r="F58" i="1"/>
  <c r="G58" i="1"/>
  <c r="F59" i="1"/>
  <c r="G59" i="1"/>
  <c r="F60" i="1"/>
  <c r="G60" i="1"/>
  <c r="F61" i="1"/>
  <c r="G61" i="1"/>
  <c r="F62" i="1"/>
  <c r="G62" i="1"/>
  <c r="F63" i="1"/>
  <c r="G63" i="1"/>
  <c r="F64" i="1"/>
  <c r="G64" i="1"/>
  <c r="F65" i="1"/>
  <c r="G65" i="1"/>
  <c r="F66" i="1"/>
  <c r="G66" i="1"/>
  <c r="F67" i="1"/>
  <c r="G67" i="1"/>
  <c r="F68" i="1"/>
  <c r="G68" i="1"/>
  <c r="F69" i="1"/>
  <c r="G69" i="1"/>
  <c r="F70" i="1"/>
  <c r="G70" i="1"/>
  <c r="F71" i="1"/>
  <c r="G71" i="1"/>
  <c r="F72" i="1"/>
  <c r="G72" i="1"/>
  <c r="F73" i="1"/>
  <c r="G73" i="1"/>
  <c r="F74" i="1"/>
  <c r="G74" i="1"/>
  <c r="F75" i="1"/>
  <c r="G75" i="1"/>
  <c r="F76" i="1"/>
  <c r="G76" i="1"/>
  <c r="F77" i="1"/>
  <c r="G77" i="1"/>
  <c r="F78" i="1"/>
  <c r="G78" i="1"/>
  <c r="F79" i="1"/>
  <c r="G79" i="1"/>
  <c r="F80" i="1"/>
  <c r="G80" i="1"/>
  <c r="F81" i="1"/>
  <c r="G81" i="1"/>
  <c r="F82" i="1"/>
  <c r="G82" i="1"/>
  <c r="F83" i="1"/>
  <c r="G83" i="1"/>
  <c r="F84" i="1"/>
  <c r="G84" i="1"/>
  <c r="F85" i="1"/>
  <c r="G85" i="1"/>
  <c r="F86" i="1"/>
  <c r="G86" i="1"/>
  <c r="F87" i="1"/>
  <c r="G87" i="1"/>
  <c r="F88" i="1"/>
  <c r="G88" i="1"/>
  <c r="F89" i="1"/>
  <c r="G89" i="1"/>
  <c r="F90" i="1"/>
  <c r="G90" i="1"/>
  <c r="F91" i="1"/>
  <c r="G91" i="1"/>
  <c r="F92" i="1"/>
  <c r="G92" i="1"/>
  <c r="F93" i="1"/>
  <c r="G93" i="1"/>
  <c r="F94" i="1"/>
  <c r="G94" i="1"/>
  <c r="F95" i="1"/>
  <c r="G95" i="1"/>
  <c r="F96" i="1"/>
  <c r="G96" i="1"/>
  <c r="F97" i="1"/>
  <c r="G97" i="1"/>
  <c r="F98" i="1"/>
  <c r="G98" i="1"/>
  <c r="F99" i="1"/>
  <c r="G99" i="1"/>
  <c r="F100" i="1"/>
  <c r="G100" i="1"/>
  <c r="F101" i="1"/>
  <c r="G101" i="1"/>
  <c r="F102" i="1"/>
  <c r="G102" i="1"/>
  <c r="F103" i="1"/>
  <c r="G103" i="1"/>
  <c r="F104" i="1"/>
  <c r="G104" i="1"/>
  <c r="F105" i="1"/>
  <c r="G105" i="1"/>
  <c r="F106" i="1"/>
  <c r="G106" i="1"/>
  <c r="F107" i="1"/>
  <c r="G107" i="1"/>
  <c r="F108" i="1"/>
  <c r="G108" i="1"/>
  <c r="F109" i="1"/>
  <c r="G109" i="1"/>
  <c r="F110" i="1"/>
  <c r="G110" i="1"/>
  <c r="F111" i="1"/>
  <c r="G111" i="1"/>
  <c r="F112" i="1"/>
  <c r="G112" i="1"/>
  <c r="F113" i="1"/>
  <c r="G113" i="1"/>
  <c r="F114" i="1"/>
  <c r="G114" i="1"/>
  <c r="F115" i="1"/>
  <c r="G115" i="1"/>
  <c r="F116" i="1"/>
  <c r="G116" i="1"/>
  <c r="F117" i="1"/>
  <c r="G117" i="1"/>
  <c r="F118" i="1"/>
  <c r="G118" i="1"/>
  <c r="F119" i="1"/>
  <c r="G119" i="1"/>
  <c r="F120" i="1"/>
  <c r="G120" i="1"/>
  <c r="F121" i="1"/>
  <c r="G121" i="1"/>
  <c r="F122" i="1"/>
  <c r="G122" i="1"/>
  <c r="F123" i="1"/>
  <c r="G123" i="1"/>
  <c r="F124" i="1"/>
  <c r="G124" i="1"/>
  <c r="F125" i="1"/>
  <c r="G125" i="1"/>
  <c r="F126" i="1"/>
  <c r="G126" i="1"/>
  <c r="F127" i="1"/>
  <c r="G127" i="1"/>
  <c r="F128" i="1"/>
  <c r="G128" i="1"/>
  <c r="F129" i="1"/>
  <c r="G129" i="1"/>
  <c r="F130" i="1"/>
  <c r="G130" i="1"/>
  <c r="F131" i="1"/>
  <c r="G131" i="1"/>
  <c r="F132" i="1"/>
  <c r="G132" i="1"/>
  <c r="F133" i="1"/>
  <c r="G133" i="1"/>
  <c r="F134" i="1"/>
  <c r="G134" i="1"/>
  <c r="F135" i="1"/>
  <c r="G135" i="1"/>
  <c r="F136" i="1"/>
  <c r="G136" i="1"/>
  <c r="F137" i="1"/>
  <c r="G137" i="1"/>
  <c r="F138" i="1"/>
  <c r="G138" i="1"/>
  <c r="F139" i="1"/>
  <c r="G139" i="1"/>
  <c r="F140" i="1"/>
  <c r="G140" i="1"/>
  <c r="F141" i="1"/>
  <c r="G141" i="1"/>
  <c r="F142" i="1"/>
  <c r="G142" i="1"/>
  <c r="F143" i="1"/>
  <c r="G143" i="1"/>
  <c r="F144" i="1"/>
  <c r="G144" i="1"/>
  <c r="F145" i="1"/>
  <c r="G145" i="1"/>
  <c r="F146" i="1"/>
  <c r="G146" i="1"/>
  <c r="F147" i="1"/>
  <c r="G147" i="1"/>
  <c r="F148" i="1"/>
  <c r="G148" i="1"/>
  <c r="F149" i="1"/>
  <c r="G149" i="1"/>
  <c r="F150" i="1"/>
  <c r="G150" i="1"/>
  <c r="F151" i="1"/>
  <c r="G151" i="1"/>
  <c r="F152" i="1"/>
  <c r="G152" i="1"/>
  <c r="F153" i="1"/>
  <c r="G153" i="1"/>
  <c r="F154" i="1"/>
  <c r="G154" i="1"/>
  <c r="F155" i="1"/>
  <c r="G155" i="1"/>
  <c r="F156" i="1"/>
  <c r="G156" i="1"/>
  <c r="F157" i="1"/>
  <c r="G157" i="1"/>
  <c r="F158" i="1"/>
  <c r="G158" i="1"/>
  <c r="F159" i="1"/>
  <c r="G159" i="1"/>
  <c r="F160" i="1"/>
  <c r="G160" i="1"/>
  <c r="F161" i="1"/>
  <c r="G161" i="1"/>
  <c r="F162" i="1"/>
  <c r="G162" i="1"/>
  <c r="F163" i="1"/>
  <c r="G163" i="1"/>
  <c r="F164" i="1"/>
  <c r="G164" i="1"/>
  <c r="F165" i="1"/>
  <c r="G165" i="1"/>
  <c r="F166" i="1"/>
  <c r="G166" i="1"/>
  <c r="F167" i="1"/>
  <c r="G167" i="1"/>
  <c r="F168" i="1"/>
  <c r="G168" i="1"/>
  <c r="F169" i="1"/>
  <c r="G169" i="1"/>
  <c r="F170" i="1"/>
  <c r="G170" i="1"/>
  <c r="F171" i="1"/>
  <c r="G171" i="1"/>
  <c r="F172" i="1"/>
  <c r="G172" i="1"/>
  <c r="F173" i="1"/>
  <c r="G173" i="1"/>
  <c r="F174" i="1"/>
  <c r="G174" i="1"/>
  <c r="F175" i="1"/>
  <c r="G175" i="1"/>
  <c r="F176" i="1"/>
  <c r="G176" i="1"/>
  <c r="F177" i="1"/>
  <c r="G177" i="1"/>
  <c r="F178" i="1"/>
  <c r="G178" i="1"/>
  <c r="F179" i="1"/>
  <c r="G179" i="1"/>
  <c r="F180" i="1"/>
  <c r="G180" i="1"/>
  <c r="F181" i="1"/>
  <c r="G181" i="1"/>
  <c r="F182" i="1"/>
  <c r="G182" i="1"/>
  <c r="F183" i="1"/>
  <c r="G183" i="1"/>
  <c r="F184" i="1"/>
  <c r="G184" i="1"/>
  <c r="F185" i="1"/>
  <c r="G185" i="1"/>
  <c r="F186" i="1"/>
  <c r="G186" i="1"/>
  <c r="F187" i="1"/>
  <c r="G187" i="1"/>
  <c r="F188" i="1"/>
  <c r="G188" i="1"/>
  <c r="F189" i="1"/>
  <c r="G189" i="1"/>
  <c r="F190" i="1"/>
  <c r="G190" i="1"/>
  <c r="F191" i="1"/>
  <c r="G191" i="1"/>
  <c r="F192" i="1"/>
  <c r="G192" i="1"/>
  <c r="F193" i="1"/>
  <c r="G193" i="1"/>
  <c r="F194" i="1"/>
  <c r="G194" i="1"/>
  <c r="F195" i="1"/>
  <c r="G195" i="1"/>
  <c r="F196" i="1"/>
  <c r="G196" i="1"/>
  <c r="F197" i="1"/>
  <c r="G197" i="1"/>
  <c r="F198" i="1"/>
  <c r="G198" i="1"/>
  <c r="F199" i="1"/>
  <c r="G199" i="1"/>
  <c r="F200" i="1"/>
  <c r="G200" i="1"/>
  <c r="F201" i="1"/>
  <c r="G201" i="1"/>
  <c r="F202" i="1"/>
  <c r="G202" i="1"/>
  <c r="F203" i="1"/>
  <c r="G203" i="1"/>
  <c r="F204" i="1"/>
  <c r="G204" i="1"/>
  <c r="F205" i="1"/>
  <c r="G205" i="1"/>
  <c r="F206" i="1"/>
  <c r="G206" i="1"/>
  <c r="F207" i="1"/>
  <c r="G207" i="1"/>
  <c r="F208" i="1"/>
  <c r="G208" i="1"/>
  <c r="F209" i="1"/>
  <c r="G209" i="1"/>
  <c r="F210" i="1"/>
  <c r="G210" i="1"/>
  <c r="F211" i="1"/>
  <c r="G211" i="1"/>
  <c r="F212" i="1"/>
  <c r="G212" i="1"/>
  <c r="F213" i="1"/>
  <c r="G213" i="1"/>
  <c r="F214" i="1"/>
  <c r="G214" i="1"/>
  <c r="F215" i="1"/>
  <c r="G215" i="1"/>
  <c r="F216" i="1"/>
  <c r="G216" i="1"/>
  <c r="F217" i="1"/>
  <c r="G217" i="1"/>
  <c r="F218" i="1"/>
  <c r="G218" i="1"/>
  <c r="F219" i="1"/>
  <c r="G219" i="1"/>
  <c r="F220" i="1"/>
  <c r="G220" i="1"/>
  <c r="F221" i="1"/>
  <c r="G221" i="1"/>
  <c r="F222" i="1"/>
  <c r="G222" i="1"/>
  <c r="F223" i="1"/>
  <c r="G223" i="1"/>
  <c r="F224" i="1"/>
  <c r="G224" i="1"/>
  <c r="F225" i="1"/>
  <c r="G225" i="1"/>
  <c r="F226" i="1"/>
  <c r="G226" i="1"/>
  <c r="F227" i="1"/>
  <c r="G227" i="1"/>
  <c r="F228" i="1"/>
  <c r="G228" i="1"/>
  <c r="F229" i="1"/>
  <c r="G229" i="1"/>
  <c r="F230" i="1"/>
  <c r="G230" i="1"/>
  <c r="F231" i="1"/>
  <c r="G231" i="1"/>
  <c r="F232" i="1"/>
  <c r="G232" i="1"/>
  <c r="F233" i="1"/>
  <c r="G233" i="1"/>
  <c r="F234" i="1"/>
  <c r="G234" i="1"/>
  <c r="F235" i="1"/>
  <c r="G235" i="1"/>
  <c r="F236" i="1"/>
  <c r="G236" i="1"/>
  <c r="F237" i="1"/>
  <c r="G237" i="1"/>
  <c r="F238" i="1"/>
  <c r="G238" i="1"/>
  <c r="F239" i="1"/>
  <c r="G239" i="1"/>
  <c r="F240" i="1"/>
  <c r="G240" i="1"/>
  <c r="F241" i="1"/>
  <c r="G241" i="1"/>
  <c r="F242" i="1"/>
  <c r="G242" i="1"/>
  <c r="F243" i="1"/>
  <c r="G243" i="1"/>
  <c r="F244" i="1"/>
  <c r="G244" i="1"/>
  <c r="F245" i="1"/>
  <c r="G245" i="1"/>
  <c r="F246" i="1"/>
  <c r="G246" i="1"/>
  <c r="F247" i="1"/>
  <c r="G247" i="1"/>
  <c r="F248" i="1"/>
  <c r="G248" i="1"/>
  <c r="F249" i="1"/>
  <c r="G249" i="1"/>
  <c r="F250" i="1"/>
  <c r="G250" i="1"/>
  <c r="F251" i="1"/>
  <c r="G251" i="1"/>
  <c r="F252" i="1"/>
  <c r="G252" i="1"/>
  <c r="F253" i="1"/>
  <c r="G253" i="1"/>
  <c r="F254" i="1"/>
  <c r="G254" i="1"/>
  <c r="F255" i="1"/>
  <c r="G255" i="1"/>
  <c r="F256" i="1"/>
  <c r="G256" i="1"/>
  <c r="F257" i="1"/>
  <c r="G257" i="1"/>
  <c r="F258" i="1"/>
  <c r="G258" i="1"/>
  <c r="F259" i="1"/>
  <c r="G259" i="1"/>
  <c r="F260" i="1"/>
  <c r="G260" i="1"/>
  <c r="F261" i="1"/>
  <c r="G261" i="1"/>
  <c r="F262" i="1"/>
  <c r="G262" i="1"/>
  <c r="F263" i="1"/>
  <c r="G263" i="1"/>
  <c r="F264" i="1"/>
  <c r="G264" i="1"/>
  <c r="F265" i="1"/>
  <c r="G265" i="1"/>
  <c r="F266" i="1"/>
  <c r="G266" i="1"/>
  <c r="F267" i="1"/>
  <c r="G267" i="1"/>
  <c r="F268" i="1"/>
  <c r="G268" i="1"/>
  <c r="F269" i="1"/>
  <c r="G269" i="1"/>
  <c r="F270" i="1"/>
  <c r="G270" i="1"/>
  <c r="F271" i="1"/>
  <c r="G271" i="1"/>
  <c r="F272" i="1"/>
  <c r="G272" i="1"/>
  <c r="F273" i="1"/>
  <c r="G273" i="1"/>
  <c r="F274" i="1"/>
  <c r="G274" i="1"/>
  <c r="F275" i="1"/>
  <c r="G275" i="1"/>
  <c r="F276" i="1"/>
  <c r="G276" i="1"/>
  <c r="F277" i="1"/>
  <c r="G277" i="1"/>
  <c r="F278" i="1"/>
  <c r="G278" i="1"/>
  <c r="F279" i="1"/>
  <c r="G279" i="1"/>
  <c r="F280" i="1"/>
  <c r="G280" i="1"/>
  <c r="F281" i="1"/>
  <c r="G281" i="1"/>
  <c r="F282" i="1"/>
  <c r="G282" i="1"/>
  <c r="F283" i="1"/>
  <c r="G283" i="1"/>
  <c r="F284" i="1"/>
  <c r="G284" i="1"/>
  <c r="F285" i="1"/>
  <c r="G285" i="1"/>
  <c r="F286" i="1"/>
  <c r="G286" i="1"/>
  <c r="F287" i="1"/>
  <c r="G287" i="1"/>
  <c r="F288" i="1"/>
  <c r="G288" i="1"/>
  <c r="F289" i="1"/>
  <c r="G289" i="1"/>
  <c r="F290" i="1"/>
  <c r="G290" i="1"/>
  <c r="F291" i="1"/>
  <c r="G291" i="1"/>
  <c r="F292" i="1"/>
  <c r="G292" i="1"/>
  <c r="F293" i="1"/>
  <c r="G293" i="1"/>
  <c r="F294" i="1"/>
  <c r="G294" i="1"/>
  <c r="F295" i="1"/>
  <c r="G295" i="1"/>
  <c r="F296" i="1"/>
  <c r="G296" i="1"/>
  <c r="F297" i="1"/>
  <c r="G297" i="1"/>
  <c r="F298" i="1"/>
  <c r="G298" i="1"/>
  <c r="F299" i="1"/>
  <c r="G299" i="1"/>
  <c r="F300" i="1"/>
  <c r="G300" i="1"/>
  <c r="F301" i="1"/>
  <c r="G301" i="1"/>
  <c r="F302" i="1"/>
  <c r="G302" i="1"/>
  <c r="F303" i="1"/>
  <c r="G303" i="1"/>
  <c r="F304" i="1"/>
  <c r="G304" i="1"/>
  <c r="F305" i="1"/>
  <c r="G305" i="1"/>
  <c r="F306" i="1"/>
  <c r="G306" i="1"/>
  <c r="F307" i="1"/>
  <c r="G307" i="1"/>
  <c r="F308" i="1"/>
  <c r="G308" i="1"/>
  <c r="F309" i="1"/>
  <c r="G309" i="1"/>
  <c r="F310" i="1"/>
  <c r="G310" i="1"/>
  <c r="F311" i="1"/>
  <c r="G311" i="1"/>
  <c r="F312" i="1"/>
  <c r="G312" i="1"/>
  <c r="F313" i="1"/>
  <c r="G313" i="1"/>
  <c r="F314" i="1"/>
  <c r="G314" i="1"/>
  <c r="F315" i="1"/>
  <c r="G315" i="1"/>
  <c r="F316" i="1"/>
  <c r="G316" i="1"/>
  <c r="F317" i="1"/>
  <c r="G317" i="1"/>
  <c r="F318" i="1"/>
  <c r="G318" i="1"/>
  <c r="F319" i="1"/>
  <c r="G319" i="1"/>
  <c r="F320" i="1"/>
  <c r="G320" i="1"/>
  <c r="F321" i="1"/>
  <c r="G321" i="1"/>
  <c r="F322" i="1"/>
  <c r="G322" i="1"/>
  <c r="F323" i="1"/>
  <c r="G323" i="1"/>
  <c r="F324" i="1"/>
  <c r="G324" i="1"/>
  <c r="F325" i="1"/>
  <c r="G325" i="1"/>
  <c r="F326" i="1"/>
  <c r="G326" i="1"/>
  <c r="F327" i="1"/>
  <c r="G327" i="1"/>
  <c r="F328" i="1"/>
  <c r="G328" i="1"/>
  <c r="F329" i="1"/>
  <c r="G329" i="1"/>
  <c r="F330" i="1"/>
  <c r="G330" i="1"/>
  <c r="F331" i="1"/>
  <c r="G331" i="1"/>
  <c r="F332" i="1"/>
  <c r="G332" i="1"/>
  <c r="F333" i="1"/>
  <c r="G333" i="1"/>
  <c r="F334" i="1"/>
  <c r="G334" i="1"/>
  <c r="F335" i="1"/>
  <c r="G335" i="1"/>
  <c r="F336" i="1"/>
  <c r="G336" i="1"/>
  <c r="F337" i="1"/>
  <c r="G337" i="1"/>
  <c r="F338" i="1"/>
  <c r="G338" i="1"/>
  <c r="F339" i="1"/>
  <c r="G339" i="1"/>
  <c r="F340" i="1"/>
  <c r="G340" i="1"/>
  <c r="F341" i="1"/>
  <c r="G341" i="1"/>
  <c r="F342" i="1"/>
  <c r="G342" i="1"/>
  <c r="F343" i="1"/>
  <c r="G343" i="1"/>
  <c r="F344" i="1"/>
  <c r="G344" i="1"/>
  <c r="F345" i="1"/>
  <c r="G345" i="1"/>
  <c r="F346" i="1"/>
  <c r="G346" i="1"/>
  <c r="F347" i="1"/>
  <c r="G347" i="1"/>
  <c r="F348" i="1"/>
  <c r="G348" i="1"/>
  <c r="F349" i="1"/>
  <c r="G349" i="1"/>
  <c r="F350" i="1"/>
  <c r="G350" i="1"/>
  <c r="F351" i="1"/>
  <c r="G351" i="1"/>
  <c r="F352" i="1"/>
  <c r="G352" i="1"/>
  <c r="F353" i="1"/>
  <c r="G353" i="1"/>
  <c r="F354" i="1"/>
  <c r="G354" i="1"/>
  <c r="F355" i="1"/>
  <c r="G355" i="1"/>
  <c r="F356" i="1"/>
  <c r="G356" i="1"/>
  <c r="F357" i="1"/>
  <c r="G357" i="1"/>
  <c r="F358" i="1"/>
  <c r="G358" i="1"/>
  <c r="F359" i="1"/>
  <c r="G359" i="1"/>
  <c r="F360" i="1"/>
  <c r="G360" i="1"/>
  <c r="F361" i="1"/>
  <c r="G361" i="1"/>
  <c r="F362" i="1"/>
  <c r="G362" i="1"/>
  <c r="F363" i="1"/>
  <c r="G363" i="1"/>
  <c r="F364" i="1"/>
  <c r="G364" i="1"/>
  <c r="F365" i="1"/>
  <c r="G365" i="1"/>
  <c r="F366" i="1"/>
  <c r="G366" i="1"/>
  <c r="F367" i="1"/>
  <c r="G367" i="1"/>
  <c r="F368" i="1"/>
  <c r="G368" i="1"/>
  <c r="F369" i="1"/>
  <c r="G369" i="1"/>
  <c r="F370" i="1"/>
  <c r="G370" i="1"/>
  <c r="F371" i="1"/>
  <c r="G371" i="1"/>
  <c r="F372" i="1"/>
  <c r="G372" i="1"/>
  <c r="F373" i="1"/>
  <c r="G373" i="1"/>
  <c r="F374" i="1"/>
  <c r="G374" i="1"/>
  <c r="F375" i="1"/>
  <c r="G375" i="1"/>
  <c r="F376" i="1"/>
  <c r="G376" i="1"/>
  <c r="F377" i="1"/>
  <c r="G377" i="1"/>
  <c r="F378" i="1"/>
  <c r="G378" i="1"/>
  <c r="F379" i="1"/>
  <c r="G379" i="1"/>
  <c r="F380" i="1"/>
  <c r="G380" i="1"/>
  <c r="F381" i="1"/>
  <c r="G381" i="1"/>
  <c r="F382" i="1"/>
  <c r="G382" i="1"/>
  <c r="F383" i="1"/>
  <c r="G383" i="1"/>
  <c r="F384" i="1"/>
  <c r="G384" i="1"/>
  <c r="F385" i="1"/>
  <c r="G385" i="1"/>
  <c r="F386" i="1"/>
  <c r="G386" i="1"/>
  <c r="F387" i="1"/>
  <c r="G387" i="1"/>
  <c r="F388" i="1"/>
  <c r="G388" i="1"/>
  <c r="F389" i="1"/>
  <c r="G389" i="1"/>
  <c r="F390" i="1"/>
  <c r="G390" i="1"/>
  <c r="F391" i="1"/>
  <c r="G391" i="1"/>
  <c r="F392" i="1"/>
  <c r="G392" i="1"/>
  <c r="F393" i="1"/>
  <c r="G393" i="1"/>
  <c r="F394" i="1"/>
  <c r="G394" i="1"/>
  <c r="F395" i="1"/>
  <c r="G395" i="1"/>
  <c r="F396" i="1"/>
  <c r="G396" i="1"/>
  <c r="F397" i="1"/>
  <c r="G397" i="1"/>
  <c r="F398" i="1"/>
  <c r="G398" i="1"/>
  <c r="F399" i="1"/>
  <c r="G399" i="1"/>
  <c r="F400" i="1"/>
  <c r="G400" i="1"/>
  <c r="F401" i="1"/>
  <c r="G401" i="1"/>
  <c r="F402" i="1"/>
  <c r="G402" i="1"/>
  <c r="F403" i="1"/>
  <c r="G403" i="1"/>
  <c r="F404" i="1"/>
  <c r="G404" i="1"/>
  <c r="F405" i="1"/>
  <c r="G405" i="1"/>
  <c r="F406" i="1"/>
  <c r="G406" i="1"/>
  <c r="F407" i="1"/>
  <c r="G407" i="1"/>
  <c r="F408" i="1"/>
  <c r="G408" i="1"/>
  <c r="F409" i="1"/>
  <c r="G409" i="1"/>
  <c r="F410" i="1"/>
  <c r="G410" i="1"/>
  <c r="F411" i="1"/>
  <c r="G411" i="1"/>
  <c r="F412" i="1"/>
  <c r="G412" i="1"/>
  <c r="F413" i="1"/>
  <c r="G413" i="1"/>
  <c r="F414" i="1"/>
  <c r="G414" i="1"/>
  <c r="F415" i="1"/>
  <c r="G415" i="1"/>
  <c r="F416" i="1"/>
  <c r="G416" i="1"/>
  <c r="F417" i="1"/>
  <c r="G417" i="1"/>
  <c r="F418" i="1"/>
  <c r="G418" i="1"/>
  <c r="F419" i="1"/>
  <c r="G419" i="1"/>
  <c r="F420" i="1"/>
  <c r="G420" i="1"/>
  <c r="F421" i="1"/>
  <c r="G421" i="1"/>
  <c r="F422" i="1"/>
  <c r="G422" i="1"/>
  <c r="F423" i="1"/>
  <c r="G423" i="1"/>
  <c r="F424" i="1"/>
  <c r="G424" i="1"/>
  <c r="F425" i="1"/>
  <c r="G425" i="1"/>
  <c r="F426" i="1"/>
  <c r="G426" i="1"/>
  <c r="F427" i="1"/>
  <c r="G427" i="1"/>
  <c r="F428" i="1"/>
  <c r="G428" i="1"/>
  <c r="F429" i="1"/>
  <c r="G429" i="1"/>
  <c r="F430" i="1"/>
  <c r="G430" i="1"/>
  <c r="F431" i="1"/>
  <c r="G431" i="1"/>
  <c r="F432" i="1"/>
  <c r="G432" i="1"/>
  <c r="F433" i="1"/>
  <c r="G433" i="1"/>
  <c r="F434" i="1"/>
  <c r="G434" i="1"/>
  <c r="F435" i="1"/>
  <c r="G435" i="1"/>
  <c r="F436" i="1"/>
  <c r="G436" i="1"/>
  <c r="F437" i="1"/>
  <c r="G437" i="1"/>
  <c r="F438" i="1"/>
  <c r="G438" i="1"/>
  <c r="F439" i="1"/>
  <c r="G439" i="1"/>
  <c r="F440" i="1"/>
  <c r="G440" i="1"/>
  <c r="F441" i="1"/>
  <c r="G441" i="1"/>
  <c r="F442" i="1"/>
  <c r="G442" i="1"/>
  <c r="F443" i="1"/>
  <c r="G443" i="1"/>
  <c r="F444" i="1"/>
  <c r="G444" i="1"/>
  <c r="F445" i="1"/>
  <c r="G445" i="1"/>
  <c r="F446" i="1"/>
  <c r="G446" i="1"/>
  <c r="F447" i="1"/>
  <c r="G447" i="1"/>
  <c r="F448" i="1"/>
  <c r="G448" i="1"/>
  <c r="F449" i="1"/>
  <c r="G449" i="1"/>
  <c r="F450" i="1"/>
  <c r="G450" i="1"/>
  <c r="F451" i="1"/>
  <c r="G451" i="1"/>
  <c r="F452" i="1"/>
  <c r="G452" i="1"/>
  <c r="F453" i="1"/>
  <c r="G453" i="1"/>
  <c r="F454" i="1"/>
  <c r="G454" i="1"/>
  <c r="F455" i="1"/>
  <c r="G455" i="1"/>
  <c r="F456" i="1"/>
  <c r="G456" i="1"/>
  <c r="F457" i="1"/>
  <c r="G457" i="1"/>
  <c r="F458" i="1"/>
  <c r="G458" i="1"/>
  <c r="F459" i="1"/>
  <c r="G459" i="1"/>
  <c r="F460" i="1"/>
  <c r="G460" i="1"/>
  <c r="F461" i="1"/>
  <c r="G461" i="1"/>
  <c r="F462" i="1"/>
  <c r="G462" i="1"/>
  <c r="F463" i="1"/>
  <c r="G463" i="1"/>
  <c r="F464" i="1"/>
  <c r="G464" i="1"/>
  <c r="F465" i="1"/>
  <c r="G465" i="1"/>
  <c r="F466" i="1"/>
  <c r="G466" i="1"/>
  <c r="F467" i="1"/>
  <c r="G467" i="1"/>
  <c r="F468" i="1"/>
  <c r="G468" i="1"/>
  <c r="F469" i="1"/>
  <c r="G469" i="1"/>
  <c r="F470" i="1"/>
  <c r="G470" i="1"/>
  <c r="F471" i="1"/>
  <c r="G471" i="1"/>
  <c r="F472" i="1"/>
  <c r="G472" i="1"/>
  <c r="F473" i="1"/>
  <c r="G473" i="1"/>
  <c r="F474" i="1"/>
  <c r="G474" i="1"/>
  <c r="F475" i="1"/>
  <c r="G475" i="1"/>
  <c r="F476" i="1"/>
  <c r="G476" i="1"/>
  <c r="F477" i="1"/>
  <c r="G477" i="1"/>
  <c r="F478" i="1"/>
  <c r="G478" i="1"/>
  <c r="F479" i="1"/>
  <c r="G479" i="1"/>
  <c r="F480" i="1"/>
  <c r="G480" i="1"/>
  <c r="F481" i="1"/>
  <c r="G481" i="1"/>
  <c r="F482" i="1"/>
  <c r="G482" i="1"/>
  <c r="F483" i="1"/>
  <c r="G483" i="1"/>
  <c r="F484" i="1"/>
  <c r="G484" i="1"/>
  <c r="F485" i="1"/>
  <c r="G485" i="1"/>
  <c r="F486" i="1"/>
  <c r="G486" i="1"/>
  <c r="F487" i="1"/>
  <c r="G487" i="1"/>
  <c r="F488" i="1"/>
  <c r="G488" i="1"/>
  <c r="F489" i="1"/>
  <c r="G489" i="1"/>
  <c r="F490" i="1"/>
  <c r="G490" i="1"/>
  <c r="F491" i="1"/>
  <c r="G491" i="1"/>
  <c r="F492" i="1"/>
  <c r="G492" i="1"/>
  <c r="F493" i="1"/>
  <c r="G493" i="1"/>
  <c r="F494" i="1"/>
  <c r="G494" i="1"/>
  <c r="F495" i="1"/>
  <c r="G495" i="1"/>
  <c r="F496" i="1"/>
  <c r="G496" i="1"/>
  <c r="F497" i="1"/>
  <c r="G497" i="1"/>
  <c r="F498" i="1"/>
  <c r="G498" i="1"/>
  <c r="F499" i="1"/>
  <c r="G499" i="1"/>
  <c r="F500" i="1"/>
  <c r="G500" i="1"/>
  <c r="F501" i="1"/>
  <c r="G501" i="1"/>
  <c r="F502" i="1"/>
  <c r="G502" i="1"/>
  <c r="F503" i="1"/>
  <c r="G503" i="1"/>
  <c r="F504" i="1"/>
  <c r="G504" i="1"/>
  <c r="F505" i="1"/>
  <c r="G505" i="1"/>
  <c r="F506" i="1"/>
  <c r="G506" i="1"/>
  <c r="F507" i="1"/>
  <c r="G507" i="1"/>
  <c r="F508" i="1"/>
  <c r="G508" i="1"/>
  <c r="F509" i="1"/>
  <c r="G509" i="1"/>
  <c r="F510" i="1"/>
  <c r="G510" i="1"/>
  <c r="F511" i="1"/>
  <c r="G511" i="1"/>
  <c r="F512" i="1"/>
  <c r="G512" i="1"/>
  <c r="F513" i="1"/>
  <c r="G513" i="1"/>
  <c r="F514" i="1"/>
  <c r="G514" i="1"/>
  <c r="F515" i="1"/>
  <c r="G515" i="1"/>
  <c r="F516" i="1"/>
  <c r="G516" i="1"/>
  <c r="F517" i="1"/>
  <c r="G517" i="1"/>
  <c r="F518" i="1"/>
  <c r="G518" i="1"/>
  <c r="F519" i="1"/>
  <c r="G519" i="1"/>
  <c r="F520" i="1"/>
  <c r="G520" i="1"/>
  <c r="F521" i="1"/>
  <c r="G521" i="1"/>
  <c r="F522" i="1"/>
  <c r="G522" i="1"/>
  <c r="F523" i="1"/>
  <c r="G523" i="1"/>
  <c r="F524" i="1"/>
  <c r="G524" i="1"/>
  <c r="F525" i="1"/>
  <c r="G525" i="1"/>
  <c r="F526" i="1"/>
  <c r="G526" i="1"/>
  <c r="F527" i="1"/>
  <c r="G527" i="1"/>
  <c r="F528" i="1"/>
  <c r="G528" i="1"/>
  <c r="F529" i="1"/>
  <c r="G529" i="1"/>
  <c r="F530" i="1"/>
  <c r="G530" i="1"/>
  <c r="F531" i="1"/>
  <c r="G531" i="1"/>
  <c r="F532" i="1"/>
  <c r="G532" i="1"/>
  <c r="F533" i="1"/>
  <c r="G533" i="1"/>
  <c r="F534" i="1"/>
  <c r="G534" i="1"/>
  <c r="F535" i="1"/>
  <c r="G535" i="1"/>
  <c r="F536" i="1"/>
  <c r="G536" i="1"/>
  <c r="F537" i="1"/>
  <c r="G537" i="1"/>
  <c r="F538" i="1"/>
  <c r="G538" i="1"/>
  <c r="F539" i="1"/>
  <c r="G539" i="1"/>
  <c r="F540" i="1"/>
  <c r="G540" i="1"/>
  <c r="F541" i="1"/>
  <c r="G541" i="1"/>
  <c r="F542" i="1"/>
  <c r="G542" i="1"/>
  <c r="F543" i="1"/>
  <c r="G543" i="1"/>
  <c r="F544" i="1"/>
  <c r="G544" i="1"/>
  <c r="F545" i="1"/>
  <c r="G545" i="1"/>
  <c r="F546" i="1"/>
  <c r="G546" i="1"/>
  <c r="F547" i="1"/>
  <c r="G547" i="1"/>
  <c r="F548" i="1"/>
  <c r="G548" i="1"/>
  <c r="F549" i="1"/>
  <c r="G549" i="1"/>
  <c r="F550" i="1"/>
  <c r="G550" i="1"/>
  <c r="F551" i="1"/>
  <c r="G551" i="1"/>
  <c r="F552" i="1"/>
  <c r="G552" i="1"/>
  <c r="F553" i="1"/>
  <c r="G553" i="1"/>
  <c r="F554" i="1"/>
  <c r="G554" i="1"/>
  <c r="F555" i="1"/>
  <c r="G555" i="1"/>
  <c r="F556" i="1"/>
  <c r="G556" i="1"/>
  <c r="F557" i="1"/>
  <c r="G557" i="1"/>
  <c r="F558" i="1"/>
  <c r="G558" i="1"/>
  <c r="F559" i="1"/>
  <c r="G559" i="1"/>
  <c r="F560" i="1"/>
  <c r="G560" i="1"/>
  <c r="F561" i="1"/>
  <c r="G561" i="1"/>
  <c r="F562" i="1"/>
  <c r="G562" i="1"/>
  <c r="F563" i="1"/>
  <c r="G563" i="1"/>
  <c r="F564" i="1"/>
  <c r="G564" i="1"/>
  <c r="F565" i="1"/>
  <c r="G565" i="1"/>
  <c r="F566" i="1"/>
  <c r="G566" i="1"/>
  <c r="F567" i="1"/>
  <c r="G567" i="1"/>
  <c r="F568" i="1"/>
  <c r="G568" i="1"/>
  <c r="F569" i="1"/>
  <c r="G569" i="1"/>
  <c r="F570" i="1"/>
  <c r="G570" i="1"/>
  <c r="F571" i="1"/>
  <c r="G571" i="1"/>
  <c r="F572" i="1"/>
  <c r="G572" i="1"/>
  <c r="F573" i="1"/>
  <c r="G573" i="1"/>
  <c r="F574" i="1"/>
  <c r="G574" i="1"/>
  <c r="F575" i="1"/>
  <c r="G575" i="1"/>
  <c r="F576" i="1"/>
  <c r="G576" i="1"/>
  <c r="F577" i="1"/>
  <c r="G577" i="1"/>
  <c r="F578" i="1"/>
  <c r="G578" i="1"/>
  <c r="F579" i="1"/>
  <c r="G579" i="1"/>
  <c r="F580" i="1"/>
  <c r="G580" i="1"/>
  <c r="F581" i="1"/>
  <c r="G581" i="1"/>
  <c r="F582" i="1"/>
  <c r="G582" i="1"/>
  <c r="F583" i="1"/>
  <c r="G583" i="1"/>
  <c r="F584" i="1"/>
  <c r="G584" i="1"/>
  <c r="F585" i="1"/>
  <c r="G585" i="1"/>
  <c r="F586" i="1"/>
  <c r="G586" i="1"/>
  <c r="F587" i="1"/>
  <c r="G587" i="1"/>
  <c r="F588" i="1"/>
  <c r="G588" i="1"/>
  <c r="F589" i="1"/>
  <c r="G589" i="1"/>
  <c r="F590" i="1"/>
  <c r="G590" i="1"/>
  <c r="F591" i="1"/>
  <c r="G591" i="1"/>
  <c r="F592" i="1"/>
  <c r="G592" i="1"/>
  <c r="F593" i="1"/>
  <c r="G593" i="1"/>
  <c r="F594" i="1"/>
  <c r="G594" i="1"/>
  <c r="F595" i="1"/>
  <c r="G595" i="1"/>
  <c r="F596" i="1"/>
  <c r="G596" i="1"/>
  <c r="F597" i="1"/>
  <c r="G597" i="1"/>
  <c r="F598" i="1"/>
  <c r="G598" i="1"/>
  <c r="F599" i="1"/>
  <c r="G599" i="1"/>
  <c r="F600" i="1"/>
  <c r="G600" i="1"/>
  <c r="F601" i="1"/>
  <c r="G601" i="1"/>
  <c r="F602" i="1"/>
  <c r="G602" i="1"/>
  <c r="F603" i="1"/>
  <c r="G603" i="1"/>
  <c r="F604" i="1"/>
  <c r="G604" i="1"/>
  <c r="F605" i="1"/>
  <c r="G605" i="1"/>
  <c r="F606" i="1"/>
  <c r="G606" i="1"/>
  <c r="F607" i="1"/>
  <c r="G607" i="1"/>
  <c r="F608" i="1"/>
  <c r="G608" i="1"/>
  <c r="F609" i="1"/>
  <c r="G609" i="1"/>
  <c r="F610" i="1"/>
  <c r="G610" i="1"/>
  <c r="F611" i="1"/>
  <c r="G611" i="1"/>
  <c r="F612" i="1"/>
  <c r="G612" i="1"/>
  <c r="F613" i="1"/>
  <c r="G613" i="1"/>
  <c r="F614" i="1"/>
  <c r="G614" i="1"/>
  <c r="F615" i="1"/>
  <c r="G615" i="1"/>
  <c r="F616" i="1"/>
  <c r="G616" i="1"/>
  <c r="F617" i="1"/>
  <c r="G617" i="1"/>
  <c r="F618" i="1"/>
  <c r="G618" i="1"/>
  <c r="F619" i="1"/>
  <c r="G619" i="1"/>
  <c r="F620" i="1"/>
  <c r="G620" i="1"/>
  <c r="F621" i="1"/>
  <c r="G621" i="1"/>
  <c r="F622" i="1"/>
  <c r="G622" i="1"/>
  <c r="F623" i="1"/>
  <c r="G623" i="1"/>
  <c r="F624" i="1"/>
  <c r="G624" i="1"/>
  <c r="F625" i="1"/>
  <c r="G625" i="1"/>
  <c r="F626" i="1"/>
  <c r="G626" i="1"/>
  <c r="F627" i="1"/>
  <c r="G627" i="1"/>
  <c r="F628" i="1"/>
  <c r="G628" i="1"/>
  <c r="F629" i="1"/>
  <c r="G629" i="1"/>
  <c r="F630" i="1"/>
  <c r="G630" i="1"/>
  <c r="F631" i="1"/>
  <c r="G631" i="1"/>
  <c r="F632" i="1"/>
  <c r="G632" i="1"/>
  <c r="F633" i="1"/>
  <c r="G633" i="1"/>
  <c r="F634" i="1"/>
  <c r="G634" i="1"/>
  <c r="F635" i="1"/>
  <c r="G635" i="1"/>
  <c r="F636" i="1"/>
  <c r="G636" i="1"/>
  <c r="F637" i="1"/>
  <c r="G637" i="1"/>
  <c r="F638" i="1"/>
  <c r="G638" i="1"/>
  <c r="F639" i="1"/>
  <c r="G639" i="1"/>
  <c r="F640" i="1"/>
  <c r="G640" i="1"/>
  <c r="F641" i="1"/>
  <c r="G641" i="1"/>
  <c r="F642" i="1"/>
  <c r="G642" i="1"/>
  <c r="F643" i="1"/>
  <c r="G643" i="1"/>
  <c r="F644" i="1"/>
  <c r="G644" i="1"/>
  <c r="F645" i="1"/>
  <c r="G645" i="1"/>
  <c r="F646" i="1"/>
  <c r="G646" i="1"/>
  <c r="F647" i="1"/>
  <c r="G647" i="1"/>
  <c r="F648" i="1"/>
  <c r="G648" i="1"/>
  <c r="F649" i="1"/>
  <c r="G649" i="1"/>
  <c r="F650" i="1"/>
  <c r="G650" i="1"/>
  <c r="F651" i="1"/>
  <c r="G651" i="1"/>
  <c r="F652" i="1"/>
  <c r="G652" i="1"/>
  <c r="F653" i="1"/>
  <c r="G653" i="1"/>
  <c r="F654" i="1"/>
  <c r="G654" i="1"/>
  <c r="F655" i="1"/>
  <c r="G655" i="1"/>
  <c r="F656" i="1"/>
  <c r="G656" i="1"/>
  <c r="F657" i="1"/>
  <c r="G657" i="1"/>
  <c r="F658" i="1"/>
  <c r="G658" i="1"/>
  <c r="F659" i="1"/>
  <c r="G659" i="1"/>
  <c r="F660" i="1"/>
  <c r="G660" i="1"/>
  <c r="F661" i="1"/>
  <c r="G661" i="1"/>
  <c r="F662" i="1"/>
  <c r="G662" i="1"/>
  <c r="F663" i="1"/>
  <c r="G663" i="1"/>
  <c r="F664" i="1"/>
  <c r="G664" i="1"/>
  <c r="F665" i="1"/>
  <c r="G665" i="1"/>
  <c r="F666" i="1"/>
  <c r="G666" i="1"/>
  <c r="F667" i="1"/>
  <c r="G667" i="1"/>
  <c r="F668" i="1"/>
  <c r="G668" i="1"/>
  <c r="F669" i="1"/>
  <c r="G669" i="1"/>
  <c r="F670" i="1"/>
  <c r="G670" i="1"/>
  <c r="F671" i="1"/>
  <c r="G671" i="1"/>
  <c r="F672" i="1"/>
  <c r="G672" i="1"/>
  <c r="F673" i="1"/>
  <c r="G673" i="1"/>
  <c r="F674" i="1"/>
  <c r="G674" i="1"/>
  <c r="F675" i="1"/>
  <c r="G675" i="1"/>
  <c r="F676" i="1"/>
  <c r="G676" i="1"/>
  <c r="F677" i="1"/>
  <c r="G677" i="1"/>
  <c r="F678" i="1"/>
  <c r="G678" i="1"/>
  <c r="F679" i="1"/>
  <c r="G679" i="1"/>
  <c r="F680" i="1"/>
  <c r="G680" i="1"/>
  <c r="F681" i="1"/>
  <c r="G681" i="1"/>
  <c r="F682" i="1"/>
  <c r="G682" i="1"/>
  <c r="F683" i="1"/>
  <c r="G683" i="1"/>
  <c r="F684" i="1"/>
  <c r="G684" i="1"/>
  <c r="F685" i="1"/>
  <c r="G685" i="1"/>
  <c r="F686" i="1"/>
  <c r="G686" i="1"/>
  <c r="F687" i="1"/>
  <c r="G687" i="1"/>
  <c r="F688" i="1"/>
  <c r="G688" i="1"/>
  <c r="F689" i="1"/>
  <c r="G689" i="1"/>
  <c r="F690" i="1"/>
  <c r="G690" i="1"/>
  <c r="F691" i="1"/>
  <c r="G691" i="1"/>
  <c r="F692" i="1"/>
  <c r="G692" i="1"/>
  <c r="F693" i="1"/>
  <c r="G693" i="1"/>
  <c r="F694" i="1"/>
  <c r="G694" i="1"/>
  <c r="F695" i="1"/>
  <c r="G695" i="1"/>
  <c r="F696" i="1"/>
  <c r="G696" i="1"/>
  <c r="F697" i="1"/>
  <c r="G697" i="1"/>
  <c r="F698" i="1"/>
  <c r="G698" i="1"/>
  <c r="F699" i="1"/>
  <c r="G699" i="1"/>
  <c r="F700" i="1"/>
  <c r="G700" i="1"/>
  <c r="F701" i="1"/>
  <c r="G701" i="1"/>
  <c r="F702" i="1"/>
  <c r="G702" i="1"/>
  <c r="F703" i="1"/>
  <c r="G703" i="1"/>
  <c r="F704" i="1"/>
  <c r="G704" i="1"/>
  <c r="F705" i="1"/>
  <c r="G705" i="1"/>
  <c r="F706" i="1"/>
  <c r="G706" i="1"/>
  <c r="F707" i="1"/>
  <c r="G707" i="1"/>
  <c r="F708" i="1"/>
  <c r="G708" i="1"/>
  <c r="F709" i="1"/>
  <c r="G709" i="1"/>
  <c r="F710" i="1"/>
  <c r="G710" i="1"/>
  <c r="F711" i="1"/>
  <c r="G711" i="1"/>
  <c r="F712" i="1"/>
  <c r="G712" i="1"/>
  <c r="F713" i="1"/>
  <c r="G713" i="1"/>
  <c r="F714" i="1"/>
  <c r="G714" i="1"/>
  <c r="F715" i="1"/>
  <c r="G715" i="1"/>
  <c r="F716" i="1"/>
  <c r="G716" i="1"/>
  <c r="F717" i="1"/>
  <c r="G717" i="1"/>
  <c r="F718" i="1"/>
  <c r="G718" i="1"/>
  <c r="F719" i="1"/>
  <c r="G719" i="1"/>
  <c r="F720" i="1"/>
  <c r="G720" i="1"/>
  <c r="F721" i="1"/>
  <c r="G721" i="1"/>
  <c r="F722" i="1"/>
  <c r="G722" i="1"/>
  <c r="F723" i="1"/>
  <c r="G723" i="1"/>
  <c r="F724" i="1"/>
  <c r="G724" i="1"/>
  <c r="F725" i="1"/>
  <c r="G725" i="1"/>
  <c r="F726" i="1"/>
  <c r="G726" i="1"/>
  <c r="F727" i="1"/>
  <c r="G727" i="1"/>
  <c r="F728" i="1"/>
  <c r="G728" i="1"/>
  <c r="F729" i="1"/>
  <c r="G729" i="1"/>
  <c r="F730" i="1"/>
  <c r="G730" i="1"/>
  <c r="F731" i="1"/>
  <c r="G731" i="1"/>
  <c r="F732" i="1"/>
  <c r="G732" i="1"/>
  <c r="F733" i="1"/>
  <c r="G733" i="1"/>
  <c r="F734" i="1"/>
  <c r="G734" i="1"/>
  <c r="F735" i="1"/>
  <c r="G735" i="1"/>
  <c r="F736" i="1"/>
  <c r="G736" i="1"/>
  <c r="F737" i="1"/>
  <c r="G737" i="1"/>
  <c r="F738" i="1"/>
  <c r="G738" i="1"/>
  <c r="F739" i="1"/>
  <c r="G739" i="1"/>
  <c r="F740" i="1"/>
  <c r="G740" i="1"/>
  <c r="F741" i="1"/>
  <c r="G741" i="1"/>
  <c r="F742" i="1"/>
  <c r="G742" i="1"/>
  <c r="F743" i="1"/>
  <c r="G743" i="1"/>
  <c r="F744" i="1"/>
  <c r="G744" i="1"/>
  <c r="F745" i="1"/>
  <c r="G745" i="1"/>
  <c r="F746" i="1"/>
  <c r="G746" i="1"/>
  <c r="F747" i="1"/>
  <c r="G747" i="1"/>
  <c r="F748" i="1"/>
  <c r="G748" i="1"/>
  <c r="F749" i="1"/>
  <c r="G749" i="1"/>
  <c r="F750" i="1"/>
  <c r="G750" i="1"/>
  <c r="F751" i="1"/>
  <c r="G751" i="1"/>
  <c r="F752" i="1"/>
  <c r="G752" i="1"/>
  <c r="F753" i="1"/>
  <c r="G753" i="1"/>
  <c r="F754" i="1"/>
  <c r="G754" i="1"/>
  <c r="F755" i="1"/>
  <c r="G755" i="1"/>
  <c r="F756" i="1"/>
  <c r="G756" i="1"/>
  <c r="F757" i="1"/>
  <c r="G757" i="1"/>
  <c r="F758" i="1"/>
  <c r="G758" i="1"/>
  <c r="F759" i="1"/>
  <c r="G759" i="1"/>
  <c r="F760" i="1"/>
  <c r="G760" i="1"/>
  <c r="F761" i="1"/>
  <c r="G761" i="1"/>
  <c r="F762" i="1"/>
  <c r="G762" i="1"/>
  <c r="F763" i="1"/>
  <c r="G763" i="1"/>
  <c r="F764" i="1"/>
  <c r="G764" i="1"/>
  <c r="F765" i="1"/>
  <c r="G765" i="1"/>
  <c r="F766" i="1"/>
  <c r="G766" i="1"/>
  <c r="F767" i="1"/>
  <c r="G767" i="1"/>
  <c r="F768" i="1"/>
  <c r="G768" i="1"/>
  <c r="F769" i="1"/>
  <c r="G769" i="1"/>
  <c r="F770" i="1"/>
  <c r="G770" i="1"/>
  <c r="F771" i="1"/>
  <c r="G771" i="1"/>
  <c r="F772" i="1"/>
  <c r="G772" i="1"/>
  <c r="F773" i="1"/>
  <c r="G773" i="1"/>
  <c r="F774" i="1"/>
  <c r="G774" i="1"/>
  <c r="F775" i="1"/>
  <c r="G775" i="1"/>
  <c r="F776" i="1"/>
  <c r="G776" i="1"/>
  <c r="F777" i="1"/>
  <c r="G777" i="1"/>
  <c r="F778" i="1"/>
  <c r="G778" i="1"/>
  <c r="F779" i="1"/>
  <c r="G779" i="1"/>
  <c r="F780" i="1"/>
  <c r="G780" i="1"/>
  <c r="F781" i="1"/>
  <c r="G781" i="1"/>
  <c r="F782" i="1"/>
  <c r="G782" i="1"/>
  <c r="F783" i="1"/>
  <c r="G783" i="1"/>
  <c r="F784" i="1"/>
  <c r="G784" i="1"/>
  <c r="F785" i="1"/>
  <c r="G785" i="1"/>
  <c r="F786" i="1"/>
  <c r="G786" i="1"/>
  <c r="F787" i="1"/>
  <c r="G787" i="1"/>
  <c r="F788" i="1"/>
  <c r="G788" i="1"/>
  <c r="F789" i="1"/>
  <c r="G789" i="1"/>
  <c r="F790" i="1"/>
  <c r="G790" i="1"/>
  <c r="F791" i="1"/>
  <c r="G791" i="1"/>
  <c r="F792" i="1"/>
  <c r="G792" i="1"/>
  <c r="F793" i="1"/>
  <c r="G793" i="1"/>
  <c r="F794" i="1"/>
  <c r="G794" i="1"/>
  <c r="F795" i="1"/>
  <c r="G795" i="1"/>
  <c r="F796" i="1"/>
  <c r="G796" i="1"/>
  <c r="F797" i="1"/>
  <c r="G797" i="1"/>
  <c r="F798" i="1"/>
  <c r="G798" i="1"/>
  <c r="F799" i="1"/>
  <c r="G799" i="1"/>
  <c r="F800" i="1"/>
  <c r="G800" i="1"/>
  <c r="F801" i="1"/>
  <c r="G801" i="1"/>
  <c r="F802" i="1"/>
  <c r="G802" i="1"/>
  <c r="F803" i="1"/>
  <c r="G803" i="1"/>
  <c r="F804" i="1"/>
  <c r="G804" i="1"/>
  <c r="F805" i="1"/>
  <c r="G805" i="1"/>
  <c r="F806" i="1"/>
  <c r="G806" i="1"/>
  <c r="F807" i="1"/>
  <c r="G807" i="1"/>
  <c r="F808" i="1"/>
  <c r="G808" i="1"/>
  <c r="F809" i="1"/>
  <c r="G809" i="1"/>
  <c r="F810" i="1"/>
  <c r="G810" i="1"/>
  <c r="F811" i="1"/>
  <c r="G811" i="1"/>
  <c r="F812" i="1"/>
  <c r="G812" i="1"/>
  <c r="F813" i="1"/>
  <c r="G813" i="1"/>
  <c r="F814" i="1"/>
  <c r="G814" i="1"/>
  <c r="F815" i="1"/>
  <c r="G815" i="1"/>
  <c r="F816" i="1"/>
  <c r="G816" i="1"/>
  <c r="F817" i="1"/>
  <c r="G817" i="1"/>
  <c r="F818" i="1"/>
  <c r="G818" i="1"/>
  <c r="F819" i="1"/>
  <c r="G819" i="1"/>
  <c r="F820" i="1"/>
  <c r="G820" i="1"/>
  <c r="F821" i="1"/>
  <c r="G821" i="1"/>
  <c r="F822" i="1"/>
  <c r="G822" i="1"/>
  <c r="F823" i="1"/>
  <c r="G823" i="1"/>
  <c r="F824" i="1"/>
  <c r="G824" i="1"/>
  <c r="F825" i="1"/>
  <c r="G825" i="1"/>
  <c r="F826" i="1"/>
  <c r="G826" i="1"/>
  <c r="F827" i="1"/>
  <c r="G827" i="1"/>
  <c r="F828" i="1"/>
  <c r="G828" i="1"/>
  <c r="F829" i="1"/>
  <c r="G829" i="1"/>
  <c r="F830" i="1"/>
  <c r="G830" i="1"/>
  <c r="F831" i="1"/>
  <c r="G831" i="1"/>
  <c r="F832" i="1"/>
  <c r="G832" i="1"/>
  <c r="F833" i="1"/>
  <c r="G833" i="1"/>
  <c r="F834" i="1"/>
  <c r="G834" i="1"/>
  <c r="F835" i="1"/>
  <c r="G835" i="1"/>
  <c r="F836" i="1"/>
  <c r="G836" i="1"/>
  <c r="F837" i="1"/>
  <c r="G837" i="1"/>
  <c r="F838" i="1"/>
  <c r="G838" i="1"/>
  <c r="F839" i="1"/>
  <c r="G839" i="1"/>
  <c r="F840" i="1"/>
  <c r="G840" i="1"/>
  <c r="F841" i="1"/>
  <c r="G841" i="1"/>
  <c r="F842" i="1"/>
  <c r="G842" i="1"/>
  <c r="F843" i="1"/>
  <c r="G843" i="1"/>
  <c r="F844" i="1"/>
  <c r="G844" i="1"/>
  <c r="F845" i="1"/>
  <c r="G845" i="1"/>
  <c r="F846" i="1"/>
  <c r="G846" i="1"/>
  <c r="F847" i="1"/>
  <c r="G847" i="1"/>
  <c r="F848" i="1"/>
  <c r="G848" i="1"/>
  <c r="F849" i="1"/>
  <c r="G849" i="1"/>
  <c r="F850" i="1"/>
  <c r="G850" i="1"/>
  <c r="F851" i="1"/>
  <c r="G851" i="1"/>
  <c r="F852" i="1"/>
  <c r="G852" i="1"/>
  <c r="F853" i="1"/>
  <c r="G853" i="1"/>
  <c r="F854" i="1"/>
  <c r="G854" i="1"/>
  <c r="F855" i="1"/>
  <c r="G855" i="1"/>
  <c r="F856" i="1"/>
  <c r="G856" i="1"/>
  <c r="F857" i="1"/>
  <c r="G857" i="1"/>
  <c r="F858" i="1"/>
  <c r="G858" i="1"/>
  <c r="F859" i="1"/>
  <c r="G859" i="1"/>
  <c r="F860" i="1"/>
  <c r="G860" i="1"/>
  <c r="F861" i="1"/>
  <c r="G861" i="1"/>
  <c r="F862" i="1"/>
  <c r="G862" i="1"/>
  <c r="F863" i="1"/>
  <c r="G863" i="1"/>
  <c r="F864" i="1"/>
  <c r="G864" i="1"/>
  <c r="F865" i="1"/>
  <c r="G865" i="1"/>
  <c r="F866" i="1"/>
  <c r="G866" i="1"/>
  <c r="F867" i="1"/>
  <c r="G867" i="1"/>
  <c r="F868" i="1"/>
  <c r="G868" i="1"/>
  <c r="F869" i="1"/>
  <c r="G869" i="1"/>
  <c r="F870" i="1"/>
  <c r="G870" i="1"/>
  <c r="F871" i="1"/>
  <c r="G871" i="1"/>
  <c r="F872" i="1"/>
  <c r="G872" i="1"/>
  <c r="F873" i="1"/>
  <c r="G873" i="1"/>
  <c r="F874" i="1"/>
  <c r="G874" i="1"/>
  <c r="F875" i="1"/>
  <c r="G875" i="1"/>
  <c r="F876" i="1"/>
  <c r="G876" i="1"/>
  <c r="F877" i="1"/>
  <c r="G877" i="1"/>
  <c r="F878" i="1"/>
  <c r="G878" i="1"/>
  <c r="F879" i="1"/>
  <c r="G879" i="1"/>
  <c r="F880" i="1"/>
  <c r="G880" i="1"/>
  <c r="F881" i="1"/>
  <c r="G881" i="1"/>
  <c r="F882" i="1"/>
  <c r="G882" i="1"/>
  <c r="F883" i="1"/>
  <c r="G883" i="1"/>
  <c r="F884" i="1"/>
  <c r="G884" i="1"/>
  <c r="F885" i="1"/>
  <c r="G885" i="1"/>
  <c r="F886" i="1"/>
  <c r="G886" i="1"/>
  <c r="F887" i="1"/>
  <c r="G887" i="1"/>
  <c r="F888" i="1"/>
  <c r="G888" i="1"/>
  <c r="F889" i="1"/>
  <c r="G889" i="1"/>
  <c r="F890" i="1"/>
  <c r="G890" i="1"/>
  <c r="F891" i="1"/>
  <c r="G891" i="1"/>
  <c r="F892" i="1"/>
  <c r="G892" i="1"/>
  <c r="F893" i="1"/>
  <c r="G893" i="1"/>
  <c r="F894" i="1"/>
  <c r="G894" i="1"/>
  <c r="F895" i="1"/>
  <c r="G895" i="1"/>
  <c r="F896" i="1"/>
  <c r="G896" i="1"/>
  <c r="F897" i="1"/>
  <c r="G897" i="1"/>
  <c r="F898" i="1"/>
  <c r="G898" i="1"/>
  <c r="F899" i="1"/>
  <c r="G899" i="1"/>
  <c r="F900" i="1"/>
  <c r="G900" i="1"/>
  <c r="F901" i="1"/>
  <c r="G901" i="1"/>
  <c r="F902" i="1"/>
  <c r="G902" i="1"/>
  <c r="F903" i="1"/>
  <c r="G903" i="1"/>
  <c r="F904" i="1"/>
  <c r="G904" i="1"/>
  <c r="F905" i="1"/>
  <c r="G905" i="1"/>
  <c r="F906" i="1"/>
  <c r="G906" i="1"/>
  <c r="F907" i="1"/>
  <c r="G907" i="1"/>
  <c r="F908" i="1"/>
  <c r="G908" i="1"/>
  <c r="F909" i="1"/>
  <c r="G909" i="1"/>
  <c r="F910" i="1"/>
  <c r="G910" i="1"/>
  <c r="F911" i="1"/>
  <c r="G911" i="1"/>
  <c r="F912" i="1"/>
  <c r="G912" i="1"/>
  <c r="F913" i="1"/>
  <c r="G913" i="1"/>
  <c r="F914" i="1"/>
  <c r="G914" i="1"/>
  <c r="F915" i="1"/>
  <c r="G915" i="1"/>
  <c r="F916" i="1"/>
  <c r="G916" i="1"/>
  <c r="F917" i="1"/>
  <c r="G917" i="1"/>
  <c r="F918" i="1"/>
  <c r="G918" i="1"/>
  <c r="F919" i="1"/>
  <c r="G919" i="1"/>
  <c r="F920" i="1"/>
  <c r="G920" i="1"/>
  <c r="F921" i="1"/>
  <c r="G921" i="1"/>
  <c r="F922" i="1"/>
  <c r="G922" i="1"/>
  <c r="F923" i="1"/>
  <c r="G923" i="1"/>
  <c r="F924" i="1"/>
  <c r="G924" i="1"/>
</calcChain>
</file>

<file path=xl/sharedStrings.xml><?xml version="1.0" encoding="utf-8"?>
<sst xmlns="http://schemas.openxmlformats.org/spreadsheetml/2006/main" count="8368" uniqueCount="3636">
  <si>
    <t>Book Id</t>
  </si>
  <si>
    <t>Title</t>
  </si>
  <si>
    <t>Author</t>
  </si>
  <si>
    <t>Author l-f</t>
  </si>
  <si>
    <t>Additional Authors</t>
  </si>
  <si>
    <t>ISBN</t>
  </si>
  <si>
    <t>ISBN13</t>
  </si>
  <si>
    <t>My Rating</t>
  </si>
  <si>
    <t>Average Rating</t>
  </si>
  <si>
    <t>Publisher</t>
  </si>
  <si>
    <t>Binding</t>
  </si>
  <si>
    <t>Number of Pages</t>
  </si>
  <si>
    <t>Year Published</t>
  </si>
  <si>
    <t>Original Publication Year</t>
  </si>
  <si>
    <t>Date Read</t>
  </si>
  <si>
    <t>Date Added</t>
  </si>
  <si>
    <t>Bookshelves</t>
  </si>
  <si>
    <t>Bookshelves with positions</t>
  </si>
  <si>
    <t>Exclusive Shelf</t>
  </si>
  <si>
    <t>My Review</t>
  </si>
  <si>
    <t>Spoiler</t>
  </si>
  <si>
    <t>Private Notes</t>
  </si>
  <si>
    <t>Read Count</t>
  </si>
  <si>
    <t>Owned Copies</t>
  </si>
  <si>
    <t>Genre</t>
  </si>
  <si>
    <t>The Governess of Highland Hall (Edwardian Brides, #1)</t>
  </si>
  <si>
    <t>Carrie Turansky</t>
  </si>
  <si>
    <t>Turansky, Carrie</t>
  </si>
  <si>
    <t>Multnomah</t>
  </si>
  <si>
    <t>Paperback</t>
  </si>
  <si>
    <t>to-read</t>
  </si>
  <si>
    <t>to-read (#808)</t>
  </si>
  <si>
    <t>Historical Fiction</t>
  </si>
  <si>
    <t>Before the King (Women of the Way, #2)</t>
  </si>
  <si>
    <t>Heather Kaufman</t>
  </si>
  <si>
    <t>Kaufman, Heather</t>
  </si>
  <si>
    <t>Bethany House Publishers</t>
  </si>
  <si>
    <t>to-read (#807)</t>
  </si>
  <si>
    <t>Fiction</t>
  </si>
  <si>
    <t>The Dress Shop on King Street (Heirloom Secrets, #1)</t>
  </si>
  <si>
    <t>Ashley       Clark</t>
  </si>
  <si>
    <t>Clark, Ashley</t>
  </si>
  <si>
    <t>to-read (#806)</t>
  </si>
  <si>
    <t>Magnolia Flower</t>
  </si>
  <si>
    <t>Zora Neale Hurston</t>
  </si>
  <si>
    <t>Hurston, Zora Neale</t>
  </si>
  <si>
    <t>Ibram X. Kendi, Loveis Wise</t>
  </si>
  <si>
    <t>Amistad Books for Young Readers</t>
  </si>
  <si>
    <t>Hardcover</t>
  </si>
  <si>
    <t>2025, children</t>
  </si>
  <si>
    <t>2025 (#12), children (#9)</t>
  </si>
  <si>
    <t>read</t>
  </si>
  <si>
    <t>"I always felt that the River knew all about you and me."</t>
  </si>
  <si>
    <t>I, Saul</t>
  </si>
  <si>
    <t>Jerry B. Jenkins</t>
  </si>
  <si>
    <t>Jenkins, Jerry B.</t>
  </si>
  <si>
    <t>James S. MacDonald</t>
  </si>
  <si>
    <t>Worthy Books</t>
  </si>
  <si>
    <t>to-read (#805)</t>
  </si>
  <si>
    <t>Blended</t>
  </si>
  <si>
    <t>Sharon M. Draper</t>
  </si>
  <si>
    <t>Draper, Sharon M.</t>
  </si>
  <si>
    <t>Atheneum/Caitlyn Dlouhy Books</t>
  </si>
  <si>
    <t>2025, middle-grade</t>
  </si>
  <si>
    <t>2025 (#11), middle-grade (#16)</t>
  </si>
  <si>
    <t xml:space="preserve">Calling all mixed kids!! This is an incredibly relatable story! Especially with the parents being divorced. We follow Isabella, an eleven-year-old girl, who loves both her mom and dad but feels caught between two worlds </t>
  </si>
  <si>
    <t>Roll of Thunder, Hear My Cry (Logans, #4)</t>
  </si>
  <si>
    <t>Mildred D. Taylor</t>
  </si>
  <si>
    <t>Taylor, Mildred D.</t>
  </si>
  <si>
    <t>Puffin Books</t>
  </si>
  <si>
    <t>to-read (#804)</t>
  </si>
  <si>
    <t>The Known World</t>
  </si>
  <si>
    <t>Edward P. Jones</t>
  </si>
  <si>
    <t>Jones, Edward P.</t>
  </si>
  <si>
    <t>Amistad</t>
  </si>
  <si>
    <t>currently-reading</t>
  </si>
  <si>
    <t>currently-reading (#2)</t>
  </si>
  <si>
    <t>The PLAN: Manage Your Time Like a Lazy Genius</t>
  </si>
  <si>
    <t>Kendra Adachi</t>
  </si>
  <si>
    <t>Adachi, Kendra</t>
  </si>
  <si>
    <t>Convergent Books</t>
  </si>
  <si>
    <t>to-read (#803)</t>
  </si>
  <si>
    <t>Wicked Pursuit (Black Rose Auction, #1)</t>
  </si>
  <si>
    <t>Katee Robert</t>
  </si>
  <si>
    <t>Robert, Katee</t>
  </si>
  <si>
    <t>Kindle Edition</t>
  </si>
  <si>
    <t>to-read (#802)</t>
  </si>
  <si>
    <t>From Below</t>
  </si>
  <si>
    <t>Darcy Coates</t>
  </si>
  <si>
    <t>Coates, Darcy</t>
  </si>
  <si>
    <t>Poisoned Pen Press</t>
  </si>
  <si>
    <t>to-read (#801)</t>
  </si>
  <si>
    <t>Moongarden (Plotting the Stars, #1)</t>
  </si>
  <si>
    <t>Michelle A. Barry</t>
  </si>
  <si>
    <t>Barry, Michelle A.</t>
  </si>
  <si>
    <t>Pixel+Ink Books</t>
  </si>
  <si>
    <t>to-read (#800)</t>
  </si>
  <si>
    <t>When the Day Comes (Timeless, #1)</t>
  </si>
  <si>
    <t>Gabrielle Meyer</t>
  </si>
  <si>
    <t>Meyer, Gabrielle</t>
  </si>
  <si>
    <t>currently-reading (#1)</t>
  </si>
  <si>
    <t>The Mark of the King</t>
  </si>
  <si>
    <t>Jocelyn Green</t>
  </si>
  <si>
    <t>Green, Jocelyn</t>
  </si>
  <si>
    <t>to-read (#799)</t>
  </si>
  <si>
    <t>The Fall Risk</t>
  </si>
  <si>
    <t>Abby Jimenez</t>
  </si>
  <si>
    <t>Jimenez, Abby</t>
  </si>
  <si>
    <t>Amazon Original Stories</t>
  </si>
  <si>
    <t>to-read (#798)</t>
  </si>
  <si>
    <t>The Unraveling of Emlyn DuLaine (The Rivenlea Sphere #1)</t>
  </si>
  <si>
    <t>Lindsay A. Franklin</t>
  </si>
  <si>
    <t>Franklin, Lindsay A.</t>
  </si>
  <si>
    <t>Enclave Escape</t>
  </si>
  <si>
    <t>to-read (#797)</t>
  </si>
  <si>
    <t>Daughter of the Moon Goddess (The Celestial Kingdom, #1)</t>
  </si>
  <si>
    <t>Sue Lynn Tan</t>
  </si>
  <si>
    <t>Tan, Sue Lynn</t>
  </si>
  <si>
    <t>Kuri Huang</t>
  </si>
  <si>
    <t>Harper Voyager</t>
  </si>
  <si>
    <t>2025, fantasy</t>
  </si>
  <si>
    <t>2025 (#10), fantasy (#6)</t>
  </si>
  <si>
    <t>Christian/Religious</t>
  </si>
  <si>
    <t>Regency &amp; Regicide</t>
  </si>
  <si>
    <t>J.J. Fischer</t>
  </si>
  <si>
    <t>Fischer, J.J.</t>
  </si>
  <si>
    <t>to-read (#796)</t>
  </si>
  <si>
    <t>The Soul Mark (The Soul Mark Duology, #1)</t>
  </si>
  <si>
    <t>Mountain Brook Ink</t>
  </si>
  <si>
    <t>to-read (#795)</t>
  </si>
  <si>
    <t>The Story Peddler (The Weaver Trilogy, #1)</t>
  </si>
  <si>
    <t>Enclave Publishing</t>
  </si>
  <si>
    <t>to-read (#794)</t>
  </si>
  <si>
    <t>Five Chimneys: A Woman Survivor's True Story of Auschwitz</t>
  </si>
  <si>
    <t>Olga Lengyel</t>
  </si>
  <si>
    <t>Lengyel, Olga</t>
  </si>
  <si>
    <t>Academy Chicago Publishers</t>
  </si>
  <si>
    <t>to-read (#793)</t>
  </si>
  <si>
    <t>Non-Fiction</t>
  </si>
  <si>
    <t>Her Darling Mr. Day (American Royalty, #2)</t>
  </si>
  <si>
    <t>Grace Hitchcock</t>
  </si>
  <si>
    <t>Hitchcock, Grace</t>
  </si>
  <si>
    <t>to-read (#792)</t>
  </si>
  <si>
    <t>Beyond These Walls - Books 1-6 Boxset (Beyond These Walls #1-6)</t>
  </si>
  <si>
    <t>Michael    Robertson</t>
  </si>
  <si>
    <t>Robertson, Michael</t>
  </si>
  <si>
    <t>to-read (#791)</t>
  </si>
  <si>
    <t>The Beasts We Bury (The Broken Citadel, #1)</t>
  </si>
  <si>
    <t>D.L. Taylor</t>
  </si>
  <si>
    <t>Taylor, D.L.</t>
  </si>
  <si>
    <t>Henry Holt and Co. (BYR)</t>
  </si>
  <si>
    <t>to-read (#790)</t>
  </si>
  <si>
    <t>On the Edge of the Dark Sea of Darkness (The Wingfeather Saga, #1)</t>
  </si>
  <si>
    <t>Andrew       Peterson</t>
  </si>
  <si>
    <t>Peterson, Andrew</t>
  </si>
  <si>
    <t>WaterBrook</t>
  </si>
  <si>
    <t>part-of-a-series, fantasy, middle-grade, 2025</t>
  </si>
  <si>
    <t>part-of-a-series (#3), fantasy (#1), middle-grade (#5), 2025 (#1)</t>
  </si>
  <si>
    <t>Wow, what an adventure! Iâ€™m so glad I finally picked up The Wingfeather Saga! This is an action-packed middle-grade fantasy filled with whimsy, danger, and heart.&lt;br/&gt;&lt;br/&gt;From the very first page, I was drawn into the rich and imaginative world of Aerwiar, where the sinister Fangs of Dang rule with an iron grip, and whispers of the lost Jewels of Anniera still linger. The land is as wild as its legendsâ€”filled with toothy cows, quill diggles, and a grumpy, one-legged ex-pirate who knows more than he lets on.&lt;br/&gt;&lt;br/&gt;At the heart of it all are the Igiby siblingsâ€”Janner, Tink, and Leeliâ€”who find themselves swept up in a race for their lives. Whether theyâ€™re outwitting a ridiculous but dangerous Fang (who canâ€™t seem to get their names rightâ€”Jumper? Jamber? Jibby?), sneaking through the forest, or uncovering shocking secrets about their past, every chapter is filled with high-stakes adventure.&lt;br/&gt;&lt;br/&gt;And then thereâ€™s the Black Carriage. A whispered nightmare, a rolling shadow in the night that steals children away. When Peet the Sock Manâ€”Aerwiarâ€™s most bizarre but surprisingly brave lunaticâ€”rescues the Igiby children from its path, he shrieks warnings that make no senseâ€¦ or maybe too much sense. â€œFangs in the carriage, black carriage in the night! The Black Carriage only takes what itâ€™s given!â€ Just what does that mean? And why is Peet so determined to protect them?&lt;br/&gt;&lt;br/&gt;This book has it allâ€”action, humor, heart, and a world so rich it feels like stepping into a forgotten legend. I canâ€™t wait to continue the journey and see whatâ€™s in store for the Igiby family!</t>
  </si>
  <si>
    <t>The White Girl</t>
  </si>
  <si>
    <t>Tony Birch</t>
  </si>
  <si>
    <t>Birch, Tony</t>
  </si>
  <si>
    <t>University of Queensland Press</t>
  </si>
  <si>
    <t>historical-fiction, 2025</t>
  </si>
  <si>
    <t>historical-fiction (#1), 2025 (#6)</t>
  </si>
  <si>
    <t xml:space="preserve">Goodreads Review:&lt;br/&gt;â­â­â­â­ A powerful and necessary read&lt;br/&gt;&lt;br/&gt;Set in 1960s Australia, The White Girl follows Sissy, a light-skinned mixed Aboriginal girl, who becomes a target for removal under the governmentâ€™s racist policies that tore Indigenous children from their families. At the heart of the story is her grandmother, Odette (may God bless this woman </t>
  </si>
  <si>
    <t>The Witch of Blackbird Pond</t>
  </si>
  <si>
    <t>Elizabeth George Speare</t>
  </si>
  <si>
    <t>Speare, Elizabeth George</t>
  </si>
  <si>
    <t>Laurel Leaf</t>
  </si>
  <si>
    <t>newbery-award, 2025</t>
  </si>
  <si>
    <t>newbery-award (#1), 2025 (#7)</t>
  </si>
  <si>
    <t>â­â­â­â­â­ Lovely read!&lt;br/&gt;&lt;br/&gt;Kit Tyler is one of the sweetest characters Iâ€™ve encountered. The drastic change from her carefree life in the lush, sun-soaked island of Barbados to the strict, gray world of Puritan Connecticut is a culture shock beyond her comprehension. As Kit struggles to adapt to the rigid expectations and harsh judgment of her new home, one thing remains constantâ€”her kind heart.&lt;br/&gt;&lt;br/&gt;Through every predicament, Kit stays true to her belief that compassion matters more than conformity. Her friendships with Hannah Tupper and young Prudence defy societal expectations, proving that love and loyalty transcend fear and superstition. Kitâ€™s willingness to stand up for whatâ€™s right, even when it puts her at risk, is both inspiring and endearing. We could all take a note from her!&lt;br/&gt;&lt;br/&gt;Beyond Kitâ€™s journey, the book features several sweet love stories, including one moment that had me cheeringâ€”when a certain man finally grew a backbone and stood up to his overbearing wife. I WAS SO HERE FOR IT!&lt;br/&gt;&lt;br/&gt;This was such a heartfelt and enjoyable read. Definitely one Iâ€™ll be keeping around for the future!</t>
  </si>
  <si>
    <t>Fantasy</t>
  </si>
  <si>
    <t>Emily's Fortune</t>
  </si>
  <si>
    <t>Phyllis Reynolds Naylor</t>
  </si>
  <si>
    <t>Naylor, Phyllis Reynolds</t>
  </si>
  <si>
    <t>Delacorte Books for Young Readers</t>
  </si>
  <si>
    <t>middle-grade, 2025</t>
  </si>
  <si>
    <t>middle-grade (#3), 2025 (#3)</t>
  </si>
  <si>
    <t>What in the honky monkey! â­â­â­â­&lt;br/&gt;</t>
  </si>
  <si>
    <t>Nevermoor: The Trials of Morrigan Crow (Nevermoor, #1)</t>
  </si>
  <si>
    <t>Jessica Townsend</t>
  </si>
  <si>
    <t>Townsend, Jessica</t>
  </si>
  <si>
    <t>Jim Madsen</t>
  </si>
  <si>
    <t>Little, Brown Books for Young Readers</t>
  </si>
  <si>
    <t>middle-grade, part-of-a-series, 2025</t>
  </si>
  <si>
    <t>middle-grade (#1), part-of-a-series (#1), 2025 (#8)</t>
  </si>
  <si>
    <t>â­â­â­â­4.5 Stars Fantastical world! Morrigan thought she was having her last meal with a family who could not be rid of her fast enough but then...Jupiter strolls in and throws Morrigan into new world that is a mad tapestry of wonder. &lt;br/&gt;&lt;br/&gt;</t>
  </si>
  <si>
    <t>Wundersmith: The Calling of Morrigan Crow (Nevermoor, #2)</t>
  </si>
  <si>
    <t>middle-grade (#2), part-of-a-series (#2), 2025 (#5)</t>
  </si>
  <si>
    <t xml:space="preserve">â­â­â­â­â­ Absolutely wondrous, magical, fantasticalâ€”an adventure that kept me turning pages with excitement! Jessica Townsend has crafted an intricate world with jaw-dropping twists and turns, making this my most entertaining middle-grade read yetâ€”and my first â­â­â­â­â­ book of the year!&lt;br/&gt;&lt;br/&gt;But what truly sets this book apart is its depth. Thereâ€™s a moment that lingers in my mind:&lt;br/&gt;&lt;br/&gt;â€œBecause itâ€™s transient. Because Israfel canâ€™t keep singing forever. And when he stops, eventually that feeling of perfect happiness will fade away. And youâ€™ll be left here in the real world, with all its hardness and imperfection and muck. It will be so unbearable, and you will be so empty, itâ€™ll feel as if your life has stopped. As if you are trapped in a bubble, while the rest of the world carries on living imperfectly around you.â€&lt;br/&gt;&lt;br/&gt;This moment hitâ€”because isnâ€™t that life? The highs donâ€™t last forever. The magic, the wonder, the euphoriaâ€¦ they fade. And yet, we carry on. Morriganâ€™s journey isnâ€™t just about escaping darkness but learning to live in the in-betweenâ€”where beauty and hardship coexist.&lt;br/&gt;&lt;br/&gt;Thatâ€™s what makes Wundersmith stand out. Itâ€™s not just fun; itâ€™s thoughtful. And I felt it.&lt;br/&gt;&lt;br/&gt;I also adored Morriganâ€™s inner dialogueâ€”it makes her feel so real, like youâ€™re right there in the loop with her. And of course, Fenestra and her spicy spirit? Chefâ€™s kiss! </t>
  </si>
  <si>
    <t>The Slave Dancer</t>
  </si>
  <si>
    <t>Paula Fox</t>
  </si>
  <si>
    <t>Fox, Paula</t>
  </si>
  <si>
    <t>Dell Publishing Company</t>
  </si>
  <si>
    <t>2025, newbery-award</t>
  </si>
  <si>
    <t>2025 (#9), newbery-award (#4)</t>
  </si>
  <si>
    <t>The Lily Gate: A Retelling of The Frog Prince (Faerie Tale Romances)</t>
  </si>
  <si>
    <t>Hanna Sandvig</t>
  </si>
  <si>
    <t>Sandvig, Hanna</t>
  </si>
  <si>
    <t>Phouka Publishing</t>
  </si>
  <si>
    <t>to-read (#789)</t>
  </si>
  <si>
    <t>Romance</t>
  </si>
  <si>
    <t>Spring of Sparkling Song (Seasons of Music and Magic)</t>
  </si>
  <si>
    <t>Sarah Beran</t>
  </si>
  <si>
    <t>Beran, Sarah</t>
  </si>
  <si>
    <t>to-read (#788)</t>
  </si>
  <si>
    <t>My Dear Miss DuprÃ© (American Royalty, #1)</t>
  </si>
  <si>
    <t>to-read (#787)</t>
  </si>
  <si>
    <t>The Evolution of Calpurnia Tate (Calpurnia Tate, #1)</t>
  </si>
  <si>
    <t>Jacqueline Kelly</t>
  </si>
  <si>
    <t>Kelly, Jacqueline</t>
  </si>
  <si>
    <t>Henry Holt and Company</t>
  </si>
  <si>
    <t>to-read (#786)</t>
  </si>
  <si>
    <t>The Door to Tamba: A Short Story</t>
  </si>
  <si>
    <t>Ishmael Beah</t>
  </si>
  <si>
    <t>Beah, Ishmael</t>
  </si>
  <si>
    <t>Maduka Steady</t>
  </si>
  <si>
    <t>Audible Originals</t>
  </si>
  <si>
    <t>Audible Audio</t>
  </si>
  <si>
    <t>2024, historical-fiction</t>
  </si>
  <si>
    <t>2024 (#55), historical-fiction (#13)</t>
  </si>
  <si>
    <t>What a sweet little story around, passing on a legacy and knowledge to our youth I absolutely love the dynamic between the old man and the young children. He teaches them respect. He teaches them how to take care of what they do have, and to be resourceful by copying books to distribute wider to the other people in their region it truly is so much wonderfulness and such a small short one hour audible book absolutely loved it! There are also quite a few funny moments little bit of sarcasm that I absolutely loved. You do have to truly listen and look for it, but it is there.</t>
  </si>
  <si>
    <t>Left Behind (Left Behind, #1)</t>
  </si>
  <si>
    <t>Tim LaHaye</t>
  </si>
  <si>
    <t>LaHaye, Tim</t>
  </si>
  <si>
    <t>Tyndale House Publishers</t>
  </si>
  <si>
    <t>Mass Market Paperback</t>
  </si>
  <si>
    <t>2024, christian-fiction, part-of-a-series</t>
  </si>
  <si>
    <t>2024 (#54), christian-fiction (#9), part-of-a-series (#24)</t>
  </si>
  <si>
    <t xml:space="preserve">Wow!!! Love the audio version and the Biblical accuracy! The multiple characters and their journey to finding Christ is a beautiful but very real and serious matter when discovering the truth of prophecy and Jesus coming back for His flock. I would have loved a bit more detail and depth around each characters conversation but overall excited to continue this series!!! </t>
  </si>
  <si>
    <t>Generous Justice: How God's Grace Makes Us Just</t>
  </si>
  <si>
    <t>Timothy J. Keller</t>
  </si>
  <si>
    <t>Keller, Timothy J.</t>
  </si>
  <si>
    <t>Viking</t>
  </si>
  <si>
    <t>2024, christian-non-fiction</t>
  </si>
  <si>
    <t>2024 (#53), christian-non-fiction (#1)</t>
  </si>
  <si>
    <t>The Lost Library</t>
  </si>
  <si>
    <t>Rebecca Stead</t>
  </si>
  <si>
    <t>Stead, Rebecca</t>
  </si>
  <si>
    <t>Wendy Mass</t>
  </si>
  <si>
    <t>Feiwel &amp; Friends</t>
  </si>
  <si>
    <t>2024, middle-grade</t>
  </si>
  <si>
    <t>2024 (#52), middle-grade (#15)</t>
  </si>
  <si>
    <t xml:space="preserve">What a cute heart warming story with so much depth considering itâ€™s a middle grade book! There are multiple mysteries centered around the library of Martinville and every character is so well described that I could clearly picture them and the town. There are so many elements that any reader could relate with: guilt, grief, loneliness, humbleness, being a good friend, even some sibling love depicted through cats and mice!!! Absolutely a 5 â­ï¸ for me and will keeping for life to share with my kiddosâ€¦when they are old enough to read </t>
  </si>
  <si>
    <t>Into the Shadows (Agenda 21, #2)</t>
  </si>
  <si>
    <t>Glenn Beck</t>
  </si>
  <si>
    <t>Beck, Glenn</t>
  </si>
  <si>
    <t>Threshold Editions</t>
  </si>
  <si>
    <t>2024, dystopian, part-of-a-series</t>
  </si>
  <si>
    <t>2024 (#51), dystopian (#1), part-of-a-series (#23)</t>
  </si>
  <si>
    <t xml:space="preserve">Great part 2 to Agenda 21! Couldnâ€™t put it down!! I love how we see humanity come back through our natural God give nature. The only reason for 3 stars is I feel the ending was a bit rushed too many questions and loose ends. If there will part 3 I would definitely up day to 5 star. </t>
  </si>
  <si>
    <t>Nicolae (Left Behind, #3)</t>
  </si>
  <si>
    <t>Thorndike Pr</t>
  </si>
  <si>
    <t>2024 (#50), christian-fiction (#8), part-of-a-series (#22)</t>
  </si>
  <si>
    <t>Dangerous Beauty</t>
  </si>
  <si>
    <t>Melissa Koslin</t>
  </si>
  <si>
    <t>Koslin, Melissa</t>
  </si>
  <si>
    <t>Revell</t>
  </si>
  <si>
    <t>2024, christian-fiction, suspense</t>
  </si>
  <si>
    <t>2024 (#49), christian-fiction (#7), suspense (#5)</t>
  </si>
  <si>
    <t xml:space="preserve">WHAT?!!! Ten stars </t>
  </si>
  <si>
    <t>Something in the Heir</t>
  </si>
  <si>
    <t>Suzanne Enoch</t>
  </si>
  <si>
    <t>Enoch, Suzanne</t>
  </si>
  <si>
    <t>Griffin</t>
  </si>
  <si>
    <t>2024, humor, romance, regency</t>
  </si>
  <si>
    <t>2024 (#48), humor (#3), romance (#3), regency (#7)</t>
  </si>
  <si>
    <t xml:space="preserve">THATS IT! I fell in love with book and the rushed ending just snatched out my heat! If there is a Christmas novel as a part two this would be â­ï¸â­ï¸â­ï¸â­ï¸â­ï¸ I was laughing out loud for 60% of this book and was absolutely delighted with the Characters, marriage of convenience, instant family, and the progression of the story. I could have used 3 additional chapters to satisfy me. Overall, a great laugh and heartfelt story with a great lesson in telling the truth and the things we have are nothing without the people we love. </t>
  </si>
  <si>
    <t>The Wind in the Willows</t>
  </si>
  <si>
    <t>Kenneth Grahame</t>
  </si>
  <si>
    <t>Grahame, Kenneth</t>
  </si>
  <si>
    <t>Gillian Avery</t>
  </si>
  <si>
    <t>Penguin Books</t>
  </si>
  <si>
    <t>2024 (#47), middle-grade (#14)</t>
  </si>
  <si>
    <t>The Little Engine That Could</t>
  </si>
  <si>
    <t>Watty Piper</t>
  </si>
  <si>
    <t>Piper, Watty</t>
  </si>
  <si>
    <t>George Hauman, Doris Hauman</t>
  </si>
  <si>
    <t>Platt &amp; Munk</t>
  </si>
  <si>
    <t>2024, children, read-with-andre</t>
  </si>
  <si>
    <t>2024 (#46), children (#8), read-with-andre (#6)</t>
  </si>
  <si>
    <t>I read this sweet little book at the library with my little one Andre while he was playing with the train set, although he is only two and may not have necessarily understood the full concept of the story. I cannot wait till he gets older to share it with him again it is a beautiful story, those are bigger or stronger should help the week and the sweet little clown that just continuously keeps asking and itâ€™s so positive despite the rejections of others is absolutely heartwarming. Itâ€™s a beautiful story that everyone should read with their children and as adults it reminds us that at some point in life will all need, a little push or a little bit of help and even though you may not be the biggest person in the room, you can still come alongside someone and help them when they need a good push</t>
  </si>
  <si>
    <t>The Mysterious Benedict Society (The Mysterious Benedict Society, #1)</t>
  </si>
  <si>
    <t>Trenton Lee Stewart</t>
  </si>
  <si>
    <t>Stewart, Trenton Lee</t>
  </si>
  <si>
    <t>2024, middle-grade, part-of-a-series</t>
  </si>
  <si>
    <t>2024 (#45), middle-grade (#13), part-of-a-series (#21)</t>
  </si>
  <si>
    <t>Bridge to Terabithia</t>
  </si>
  <si>
    <t>Katherine Paterson</t>
  </si>
  <si>
    <t>Paterson, Katherine</t>
  </si>
  <si>
    <t>HarperCollins</t>
  </si>
  <si>
    <t>2024, middle-grade, newbery-award</t>
  </si>
  <si>
    <t>2024 (#44), middle-grade (#12), newbery-award (#3)</t>
  </si>
  <si>
    <t>What a beautiful story of integrity And friendship I really enjoyed the sweet relationship that formed between Jess and Leslie. You can definitely tell that there was a stigma against Leslie for being well traveled and a lively young lady. I love the relationship that they formed, and I enjoyed the sweet moments with the puppy also there was great content around the siblings and responsibilities of children in the household. There was some faith content, but it wasnâ€™t clear which was a little worrisome. I feel that Jessie should have had a firmer foundation and Christ. It wouldâ€™ve been nice to see him minister, or at least share the true revelation of the gospel with Leslie, but I also like the notes to Narnia that was a good fact to you I did not care for the noticing of the teacher. I feel that dynamic couldâ€™ve went somewhere else. It was quite obvious that she was to be sort of an ally for Jessie to help him feel comfortable being an artist and enjoying drawing, but I just didnâ€™t care for that relationship and the worst part was that before Leslie died. I was so mad that it seemed as if him going on that inappropriate field trip with his teacher was when she died that Apter made me so mad. I felt this couldâ€™ve other direction except that direction, but I do like how the story ended. I like the healing and I liked, the bond between the siblings growing closer it was a bit sad that Leslie died. It was very sad that Leslie died, but the ending was great and so overall, I enjoyed the book it strange that I did not remember very much of it as I read this book many many years ago in middle school, but it is absolutely beautiful.</t>
  </si>
  <si>
    <t>Caps for Sale: A Tale of a Peddler, Some Monkeys and Their Monkey Business</t>
  </si>
  <si>
    <t>Esphyr Slobodkina</t>
  </si>
  <si>
    <t>Slobodkina, Esphyr</t>
  </si>
  <si>
    <t>2024 (#43), children (#7), read-with-andre (#5)</t>
  </si>
  <si>
    <t>Business &amp; Finance</t>
  </si>
  <si>
    <t>Soul Harvest: The World Takes Sides (Left Behind, #4)</t>
  </si>
  <si>
    <t>Tyndale House</t>
  </si>
  <si>
    <t>2024 (#42), christian-fiction (#6), part-of-a-series (#20)</t>
  </si>
  <si>
    <t>Straight Shooter: A Memoir of Second Chances and First Takes</t>
  </si>
  <si>
    <t>Stephen A. Smith</t>
  </si>
  <si>
    <t>Smith, Stephen A.</t>
  </si>
  <si>
    <t>Gallery/13A</t>
  </si>
  <si>
    <t>2024, book-club, memoir</t>
  </si>
  <si>
    <t>2024 (#41), book-club (#2), memoir (#2)</t>
  </si>
  <si>
    <t>Wow, I donâ€™t think itâ€™s proper to write a memoir or someoneâ€™s personal account of their life, but for Mr. Smith, I will give 1 million stars for the way that he developed his book the richness of the content lessons that can be applied into every day, professional and personal life, and just the overall authenticity as we see him on the screen, he did the same thing in his book and it had an amazing impact. I laughed. I cried as a person of race. I was very proud to see him progress through his journey and understand that we can unintentionally alienate people that are not within our demographic and how he took on the challenge of building his brand and understanding that when you work for a company itâ€™s not just your image that you need to throw out, but you have to abide by their image until you are ready to go out and make your own, and that is exactly what he has done most inspiring and heavily annotated and in my heart God bless</t>
  </si>
  <si>
    <t>Biography/Memoir</t>
  </si>
  <si>
    <t>The Penderwicks: A Summer Tale of Four Sisters, Two Rabbits, and a Very Interesting Boy (The Penderwicks, #1)</t>
  </si>
  <si>
    <t>Jeanne Birdsall</t>
  </si>
  <si>
    <t>Birdsall, Jeanne</t>
  </si>
  <si>
    <t>Yearling</t>
  </si>
  <si>
    <t>2024 (#40), middle-grade (#11)</t>
  </si>
  <si>
    <t xml:space="preserve">What a beautiful spring/summer story! I absolutely enjoyed, laughed out loud a few time and canâ€™t wait to share with my little one when he is old enough to enjoy. Keeping on the shelf forever to enjoy year after year. The love and banter between the sisters was beautiful and depicted in believable way. Only a true sibling would tell the other they are an idiot and perfect at the same time </t>
  </si>
  <si>
    <t>All Because You Matter (An All Because You Matter Book)</t>
  </si>
  <si>
    <t>Tami Charles</t>
  </si>
  <si>
    <t>Charles, Tami</t>
  </si>
  <si>
    <t>Bryan Collier</t>
  </si>
  <si>
    <t>Orchard Books</t>
  </si>
  <si>
    <t>2024, children</t>
  </si>
  <si>
    <t>2024 (#39), children (#6)</t>
  </si>
  <si>
    <t xml:space="preserve">Beautiful illustrations and overall message. Great pro-life messaging, honoring legacy, strong family unit, dealing with failure or bullying; love the book overall! The 4 star is only for the page that has the middle eastern representation and two white girls laughing. Not sure how I feel about that page. Otherwise beautiful story </t>
  </si>
  <si>
    <t>Everywhere, Wonder</t>
  </si>
  <si>
    <t>Matthew Swanson</t>
  </si>
  <si>
    <t>Swanson, Matthew</t>
  </si>
  <si>
    <t>Robbi Behr</t>
  </si>
  <si>
    <t>Imprint</t>
  </si>
  <si>
    <t>2024 (#38), children (#5), read-with-andre (#4)</t>
  </si>
  <si>
    <t xml:space="preserve">â€œThere are other wonders yet to find, not so far from where you are right now. They, too, are interesting. They, too, are beautiful. Stop to really look, and you will see them.â€ &lt;br/&gt;&lt;br/&gt;Beautifully illustrated and written! God created a beautiful universe and if we stop to look and appreciate every part of His creation, this crazy thing called life will be enjoyable filled with wonder and excitement everyday. </t>
  </si>
  <si>
    <t>God's Quiet Things</t>
  </si>
  <si>
    <t>Nancy Sweetland</t>
  </si>
  <si>
    <t>Sweetland, Nancy</t>
  </si>
  <si>
    <t>Eerdmans Pub Co</t>
  </si>
  <si>
    <t>2024 (#37), children (#4), read-with-andre (#3)</t>
  </si>
  <si>
    <t xml:space="preserve">â€œLook and listen everywhere. Godâ€™s quiet things are always there.â€ &lt;br/&gt;Beautiful reminder that we can hear and see Godâ€™s love at anytime. We just have to be still and listen </t>
  </si>
  <si>
    <t>African Town</t>
  </si>
  <si>
    <t>Irene Latham</t>
  </si>
  <si>
    <t>Latham, Irene</t>
  </si>
  <si>
    <t>Charles Waters</t>
  </si>
  <si>
    <t>G.P. Putnam's Sons Books for Young Readers</t>
  </si>
  <si>
    <t>2024, historical-fiction, middle-grade</t>
  </si>
  <si>
    <t>2024 (#36), historical-fiction (#12), middle-grade (#10)</t>
  </si>
  <si>
    <t xml:space="preserve">The overview covers what the book is about. This a great perspective to share with middle graders. I enjoyed for the most part; I did not get a full sense of African Town. I would have liked more details on the actual beginnings and structure of African Town. Overall I have new appreciation for true African American culture. </t>
  </si>
  <si>
    <t>Vera Wong's Unsolicited Advice for Murderers (Vera Wong #1)</t>
  </si>
  <si>
    <t>Jesse Q. Sutanto</t>
  </si>
  <si>
    <t>Sutanto, Jesse Q.</t>
  </si>
  <si>
    <t>Berkley</t>
  </si>
  <si>
    <t>mystery, humor, 2024, part-of-a-series</t>
  </si>
  <si>
    <t>mystery (#4), humor (#2), 2024 (#35), part-of-a-series (#19)</t>
  </si>
  <si>
    <t>Big Choo</t>
  </si>
  <si>
    <t>Stephen Shaskan</t>
  </si>
  <si>
    <t>Shaskan, Stephen</t>
  </si>
  <si>
    <t>Scholastic Press</t>
  </si>
  <si>
    <t>2024 (#34), children (#3), read-with-andre (#2)</t>
  </si>
  <si>
    <t>Great day at the library with Andre. We read while playing with trains. &lt;br/&gt;You are brave, fast, strong, and smart! Donâ€™t let a little tumble ruin your big day. FULL STEAM AHEAD!</t>
  </si>
  <si>
    <t>A Place to Hang the Moon</t>
  </si>
  <si>
    <t>Kate Albus</t>
  </si>
  <si>
    <t>Albus, Kate</t>
  </si>
  <si>
    <t>Margaret Ferguson Books</t>
  </si>
  <si>
    <t>middle-grade, 2024, historical-fiction</t>
  </si>
  <si>
    <t>middle-grade (#9), 2024 (#33), historical-fiction (#11)</t>
  </si>
  <si>
    <t xml:space="preserve">Overall beautiful found family and sibling love story. For middle grade, a bit heavy at times but in 2024, most kids, unfortunately, probably see and hear worse things. 4 stars as I was upset with endingâ€¦I need an epilogue!!! </t>
  </si>
  <si>
    <t>There Was an Old Lady Who Swallowed a Fly</t>
  </si>
  <si>
    <t>Simms Taback</t>
  </si>
  <si>
    <t>Taback, Simms</t>
  </si>
  <si>
    <t>Viking Books for Young Readers</t>
  </si>
  <si>
    <t>2024 (#32), children (#2), read-with-andre (#1)</t>
  </si>
  <si>
    <t xml:space="preserve">She died of course </t>
  </si>
  <si>
    <t>The Night Watchman</t>
  </si>
  <si>
    <t>Louise Erdrich</t>
  </si>
  <si>
    <t>Erdrich, Louise</t>
  </si>
  <si>
    <t>ebook</t>
  </si>
  <si>
    <t>book-club, historical-fiction, 2024</t>
  </si>
  <si>
    <t>book-club (#1), historical-fiction (#10), 2024 (#31)</t>
  </si>
  <si>
    <t>Beautifully written novel about the Chippewa people I absolutely enjoyed all the different stories that were compiled throughout. I did have to search for a character chart analysis to make sure I can keep up with all the different characters which turned out to make the reading experience so much more enjoyable, the reason for the three stars, there were a few risky situations and some language and it didnâ€™t all seem necessary. It didnâ€™t really add to the whole of the story however I will say all parts Vera and her journey through addiction and human trafficking was absolutely touching and I was slightly sad how the whole thing turned out. Hopefully you read it and youâ€™ll know, but I have completely tagged and highlighted and marked up my copy of this wonderful novel. I absolutely enjoyed it. Iâ€™ll probably read again in a couple years or so, it was very enlightening and definitely open my mind to, some other issues and policies regarding native Americans Iâ€™m really excited to dive into things such as the boarding homes the census was taken and even some of the political environment in general during that time great story, very impactful looking forward to reading more from this author</t>
  </si>
  <si>
    <t>The Debutante's Code (Thorndike &amp; Swann Regency Mysteries #1)</t>
  </si>
  <si>
    <t>Erica Vetsch</t>
  </si>
  <si>
    <t>Vetsch, Erica</t>
  </si>
  <si>
    <t>Kregel Publications</t>
  </si>
  <si>
    <t>2024, mystery, regency, part-of-a-series</t>
  </si>
  <si>
    <t>2024 (#30), mystery (#3), regency (#6), part-of-a-series (#18)</t>
  </si>
  <si>
    <t>The Butler</t>
  </si>
  <si>
    <t>Danielle Steel</t>
  </si>
  <si>
    <t>Steel, Danielle</t>
  </si>
  <si>
    <t xml:space="preserve">Delacorte Press </t>
  </si>
  <si>
    <t>2024, suspense, romance</t>
  </si>
  <si>
    <t>2024 (#29), suspense (#4), romance (#2)</t>
  </si>
  <si>
    <t>Considering this was a free little library book I am quite pleased and enjoyed reading The Butler. The ending just kind of fell flat for me because there was a considerable amount of buildup in the relationship between Joaquim and Olivia. I was truly invested in the story after the incident and New York, but I was much more intrigued by Joaquimâ€™s mother and her story, especially when it came to the paintings and trying to atone for the crimes of her father and the Nazis. It wouldâ€™ve been great to have a bit more on her story and less of the repetition that we already had during the first couple of chapters. I still enjoyed the book and it was not hard to get through. It was a nice read, and I may try to read some more of her novels in the future enjoy the writing style. Itâ€™s a bit different for me, but I liked the pace of the book as a busy mama. My time is pretty valuable so I did enjoy how she got from A-B, but there was so much buildup that I could feel throughout the book that I was a little upset with the ending other than that a great read</t>
  </si>
  <si>
    <t>Under the Same Sky: From Starvation in North Korea to Salvation in America</t>
  </si>
  <si>
    <t>Joseph Kim</t>
  </si>
  <si>
    <t>Kim, Joseph</t>
  </si>
  <si>
    <t>Stephan Talty</t>
  </si>
  <si>
    <t>Houghton Mifflin Harcourt</t>
  </si>
  <si>
    <t>memoir</t>
  </si>
  <si>
    <t>memoir (#1)</t>
  </si>
  <si>
    <t xml:space="preserve">This was a hard read. There were many moments while reading Joseph testimony that I had to stop. We live in such a fallen world but to hear how an entire nation forced into famine resulting in the worst parts of humanity is too much. To read how parents couldnâ€™t bare watching their children starve so they threw them to the streets or sold them is beyond comprehension of the modern day American. Reading Josephâ€™s story is humbling and will grow another layer of empathy and awareness for the less fortunate. </t>
  </si>
  <si>
    <t>Wormwood Abbey (The Secrets of Ormdale, #1)</t>
  </si>
  <si>
    <t>Christina Baehr</t>
  </si>
  <si>
    <t>Baehr, Christina</t>
  </si>
  <si>
    <t>2024, fantasy, part-of-a-series, middle-grade</t>
  </si>
  <si>
    <t>2024 (#28), fantasy (#5), part-of-a-series (#17), middle-grade (#8)</t>
  </si>
  <si>
    <t xml:space="preserve">Fantastical, full of faith, friendship, mystery, excitement, adventure all around wonderful read that I ate up in one day Christina Baher did an amazing job building this world and its creatures. Although each character and their journey is absolutely amazing and I canâ€™t wait to learn more. Iâ€™m most interested to see what happens with our favorite little dragon, Francis . Great start to the series. Canâ€™t wait to get a hold of the next book to continue the adventures into the wonderful world of Warmwood. Looking forward to getting my paper copy so that I can add all the tabs and wonderful notes for all of her faithful moments and I donâ€™t mean that she simply just threw out a scripture here and there thereâ€™s so much intention behind the words of the Lord and the calls to action That are expected of all Christians and followers of Christ and canâ€™t wait to have on my shelves to share with my children when theyâ€™re old enough to enjoy. </t>
  </si>
  <si>
    <t>Chickens, Mules and Two Old Fools: Tuck into a Slice of AndalucÃ­an Life (Old Fools, #1)</t>
  </si>
  <si>
    <t>Victoria Twead</t>
  </si>
  <si>
    <t>Twead, Victoria</t>
  </si>
  <si>
    <t>Ant Press</t>
  </si>
  <si>
    <t>2024, humor</t>
  </si>
  <si>
    <t>2024 (#27), humor (#1)</t>
  </si>
  <si>
    <t>Precious summer read full of faith Contant if you know what youâ€™re looking for when it comes to loving your neighbor as Christ has left us, this sweet Spanish community is a great display of how beautiful our world would be if everyone treated their neighbor as the folks in this town too I absolutely love the various characters and The literary descriptions of the town I would highly recommend listening to this book on audible. The story truly comes to life and Iâ€™ll just say those chickens or something else.</t>
  </si>
  <si>
    <t>Drake Hall (The Secrets of Ormdale, #2)</t>
  </si>
  <si>
    <t>2024, fantasy, middle-grade, part-of-a-series</t>
  </si>
  <si>
    <t>2024 (#26), fantasy (#4), middle-grade (#7), part-of-a-series (#16)</t>
  </si>
  <si>
    <t>A Match in the Making (The Matchmakers, #1)</t>
  </si>
  <si>
    <t>Jen Turano</t>
  </si>
  <si>
    <t>Turano, Jen</t>
  </si>
  <si>
    <t>Bethany House</t>
  </si>
  <si>
    <t>2024, romance, regency</t>
  </si>
  <si>
    <t>2024 (#25), romance (#1), regency (#5)</t>
  </si>
  <si>
    <t xml:space="preserve">LOVE LOVE LOVE </t>
  </si>
  <si>
    <t>The Hiding Place: The Triumphant True Story of Corrie Ten Boom</t>
  </si>
  <si>
    <t>Corrie ten Boom</t>
  </si>
  <si>
    <t>Boom, Corrie ten</t>
  </si>
  <si>
    <t>John Sherrill, Elizabeth Sherrill</t>
  </si>
  <si>
    <t>Bantam</t>
  </si>
  <si>
    <t>2024 (#24), historical-fiction (#9)</t>
  </si>
  <si>
    <t>The Mysterious Benedict Society and the Prisoner's Dilemma (The Mysterious Benedict Society, #3)</t>
  </si>
  <si>
    <t>Del Roy</t>
  </si>
  <si>
    <t>2024 (#23), middle-grade (#6), part-of-a-series (#15)</t>
  </si>
  <si>
    <t>The Other Einstein</t>
  </si>
  <si>
    <t>Marie Benedict</t>
  </si>
  <si>
    <t>Benedict, Marie</t>
  </si>
  <si>
    <t>Sourcebooks Landmark</t>
  </si>
  <si>
    <t>2024 (#22), historical-fiction (#8)</t>
  </si>
  <si>
    <t xml:space="preserve">This was an interesting read full of emotional roller coasters that had me crying, laughing out loud, and a lot of â€œhe better not!â€ It is a hard reality but nothing new when men continue to advance in their careers while women get lost in the shadows to raise children and take care of the home. However Mitza provides bright light in her grace as she continued to study and contribute to the scientific community. We (women) can all learn from Mitza that there are seasons in our lives that may seem like a sacrifice but itâ€™s the opposite. Every season in a womanâ€™s life is a blessing. As wives we can support and encourage our husbands leading to fulfilling and beautiful marriage. As mothers we raise our children to love the Lord and see Him through the wonder of science and the world around us. Then, at some point, there will be a time when we can return to our other passions using the gifts God gave us to continue shining a light in a sometimes dark and unfair world. </t>
  </si>
  <si>
    <t>A Lady's Guide to Mischief and Mayhem (Ladies Most Scandalous, #1)</t>
  </si>
  <si>
    <t>Manda Collins</t>
  </si>
  <si>
    <t>Collins, Manda</t>
  </si>
  <si>
    <t>Forever</t>
  </si>
  <si>
    <t>2024, historical-fiction, regency, part-of-a-series</t>
  </si>
  <si>
    <t>2024 (#20), historical-fiction (#7), regency (#4), part-of-a-series (#14)</t>
  </si>
  <si>
    <t>Guide/Reference</t>
  </si>
  <si>
    <t>A Dance of Silver and Shadow (Beyond the Four Kingdoms, #1)</t>
  </si>
  <si>
    <t>Melanie Cellier</t>
  </si>
  <si>
    <t>Cellier, Melanie</t>
  </si>
  <si>
    <t>Luminant Publications</t>
  </si>
  <si>
    <t>fantasy, 2024, part-of-a-series</t>
  </si>
  <si>
    <t>fantasy (#3), 2024 (#21), part-of-a-series (#13)</t>
  </si>
  <si>
    <t>Northanger Abbey</t>
  </si>
  <si>
    <t>Jane Austen</t>
  </si>
  <si>
    <t>Austen, Jane</t>
  </si>
  <si>
    <t>Alfred Mac Adam</t>
  </si>
  <si>
    <t>Barnes &amp; Noble Classics</t>
  </si>
  <si>
    <t>2024, historical-fiction, regency</t>
  </si>
  <si>
    <t>2024 (#19), historical-fiction (#6), regency (#3)</t>
  </si>
  <si>
    <t>The Hacienda</t>
  </si>
  <si>
    <t>Isabel CaÃ±as</t>
  </si>
  <si>
    <t>CaÃ±as, Isabel</t>
  </si>
  <si>
    <t>2024 (#18), historical-fiction (#5)</t>
  </si>
  <si>
    <t>Winterhouse (Winterhouse, #1)</t>
  </si>
  <si>
    <t>Ben Guterson</t>
  </si>
  <si>
    <t>Guterson, Ben</t>
  </si>
  <si>
    <t>Chloe Bristol</t>
  </si>
  <si>
    <t>part-of-a-series, middle-grade, 2025</t>
  </si>
  <si>
    <t>part-of-a-series (#11), middle-grade (#4), 2025 (#2)</t>
  </si>
  <si>
    <t xml:space="preserve">â­â­â­â­ Fun Middle Grade Mystery! </t>
  </si>
  <si>
    <t>The Thirteenth Child</t>
  </si>
  <si>
    <t>Erin A. Craig</t>
  </si>
  <si>
    <t>Craig, Erin A.</t>
  </si>
  <si>
    <t>Delacorte Press</t>
  </si>
  <si>
    <t>to-read (#785)</t>
  </si>
  <si>
    <t>The Night Ends with Fire (The Night Ends with Fire, #1)</t>
  </si>
  <si>
    <t>K.X. Song</t>
  </si>
  <si>
    <t>Song, K.X.</t>
  </si>
  <si>
    <t>Ace</t>
  </si>
  <si>
    <t>to-read (#784)</t>
  </si>
  <si>
    <t>Lady in Disguise</t>
  </si>
  <si>
    <t>Georgette Heyer</t>
  </si>
  <si>
    <t>Heyer, Georgette</t>
  </si>
  <si>
    <t>Noura Publishing</t>
  </si>
  <si>
    <t>to-read (#783)</t>
  </si>
  <si>
    <t>Six Crimson Cranes (Six Crimson Cranes, #1)</t>
  </si>
  <si>
    <t>Elizabeth Lim</t>
  </si>
  <si>
    <t>Lim, Elizabeth</t>
  </si>
  <si>
    <t>Knopf</t>
  </si>
  <si>
    <t>to-read (#782)</t>
  </si>
  <si>
    <t>Assassin of Fire and Sacrifice</t>
  </si>
  <si>
    <t>Mary Mecham</t>
  </si>
  <si>
    <t>Mecham, Mary</t>
  </si>
  <si>
    <t>to-read (#781)</t>
  </si>
  <si>
    <t>The World That We Knew</t>
  </si>
  <si>
    <t>Alice Hoffman</t>
  </si>
  <si>
    <t>Hoffman, Alice</t>
  </si>
  <si>
    <t>Simon &amp; Schuster</t>
  </si>
  <si>
    <t>to-read (#780)</t>
  </si>
  <si>
    <t>Ancestor Approved: Intertribal Stories for Kids</t>
  </si>
  <si>
    <t>Cynthia Leitich Smith</t>
  </si>
  <si>
    <t>Smith, Cynthia Leitich</t>
  </si>
  <si>
    <t>Joseph Bruchac, Art Coulson, Christine  Day, Eric Gansworth, Dawn Quigley, Carole Lindstrom, Rebecca Roanhorse, David Alexander Robertson, Andrea L. Rogers, Kim  Rogers, Monique Gray Smith, Traci Sorell, Tim Tingle, Erika T. Wurth, Brian Young</t>
  </si>
  <si>
    <t>Heartdrum</t>
  </si>
  <si>
    <t>to-read (#779)</t>
  </si>
  <si>
    <t>Children's Literature</t>
  </si>
  <si>
    <t>Broken Pride (Bravelands, #1)</t>
  </si>
  <si>
    <t>Erin Hunter</t>
  </si>
  <si>
    <t>Hunter, Erin</t>
  </si>
  <si>
    <t>to-read (#778)</t>
  </si>
  <si>
    <t>Turn Homeward, Hannalee</t>
  </si>
  <si>
    <t>Patricia Beatty</t>
  </si>
  <si>
    <t>Beatty, Patricia</t>
  </si>
  <si>
    <t>Various</t>
  </si>
  <si>
    <t>to-read (#777)</t>
  </si>
  <si>
    <t>Waterfall (River of Time, #1)</t>
  </si>
  <si>
    <t>Lisa Tawn Bergren</t>
  </si>
  <si>
    <t>Bergren, Lisa Tawn</t>
  </si>
  <si>
    <t>David C. Cook</t>
  </si>
  <si>
    <t>to-read (#776)</t>
  </si>
  <si>
    <t>The Rehearsals</t>
  </si>
  <si>
    <t>Annette Christie</t>
  </si>
  <si>
    <t>Christie, Annette</t>
  </si>
  <si>
    <t>Little, Brown and Company</t>
  </si>
  <si>
    <t>to-read (#775)</t>
  </si>
  <si>
    <t>A Deep Divide (Secrets of the Canyon, #1)</t>
  </si>
  <si>
    <t>Kimberley Woodhouse</t>
  </si>
  <si>
    <t>Woodhouse, Kimberley</t>
  </si>
  <si>
    <t>to-read (#774)</t>
  </si>
  <si>
    <t>The Traitor</t>
  </si>
  <si>
    <t>V.S. Alexander</t>
  </si>
  <si>
    <t>Alexander, V.S.</t>
  </si>
  <si>
    <t xml:space="preserve">Kensington </t>
  </si>
  <si>
    <t>to-read (#773)</t>
  </si>
  <si>
    <t>The Buy-In (Love Stories in Sheet Cake, Texas, #1)</t>
  </si>
  <si>
    <t>Emma St. Clair</t>
  </si>
  <si>
    <t>Clair, Emma St.</t>
  </si>
  <si>
    <t>Amazon Digital Services</t>
  </si>
  <si>
    <t>to-read (#772)</t>
  </si>
  <si>
    <t>The Buried Bones Mystery (Ziggy and the Black Dinosaurs, #1)</t>
  </si>
  <si>
    <t>Jesse Joshua Watson</t>
  </si>
  <si>
    <t>Aladdin</t>
  </si>
  <si>
    <t>to-read (#771)</t>
  </si>
  <si>
    <t>Mystery/Thriller</t>
  </si>
  <si>
    <t>Stella by Starlight</t>
  </si>
  <si>
    <t>Sarah Jane Coleman</t>
  </si>
  <si>
    <t>Atheneum Books for Young Readers</t>
  </si>
  <si>
    <t>to-read (#770)</t>
  </si>
  <si>
    <t>The House on Foster Hill</t>
  </si>
  <si>
    <t>Jaime Jo Wright</t>
  </si>
  <si>
    <t>Wright, Jaime Jo</t>
  </si>
  <si>
    <t>2024 (#17), christian-fiction (#5), suspense (#3)</t>
  </si>
  <si>
    <t xml:space="preserve">I cannot oh my goodness what a binge worthy beautiful suspenseful wonderful book that shows the importance of understanding ones pass and trusting God in all his plans through the good the bad and everything in between the tea in this book is just amazing. I could not put it down! I cannot say anything else beyond that aside from what is in the summary or it would spoil it so I will just say amazing and a must read! </t>
  </si>
  <si>
    <t>Where the Crawdads Sing</t>
  </si>
  <si>
    <t>Delia Owens</t>
  </si>
  <si>
    <t>Owens, Delia</t>
  </si>
  <si>
    <t>G.P. Putnamâ€™s Sons</t>
  </si>
  <si>
    <t>2024 (#16), historical-fiction (#4)</t>
  </si>
  <si>
    <t>I am so late to the game, but so happy I finally read Where the Crawdads Sing. They called Kya marsh trash. No matter that she was white no matter that her father served this country and it led him to alcoholism and abuse of his entire family to the point where everyone left Kya with him alone and eventually he left too. Since the age of 10 Kya raised herself in the marsh alone, but the show of love from a few people helped Kya becomes so much more. She was rejected by â€œher ownâ€ people but a sweet couple in colored town along with their church didnâ€™t think twice and helped Kya navigate life as the marsh girl. Beautiful story that tells the other side of life in segregated society.</t>
  </si>
  <si>
    <t>Tyrannosaurus Rex vs. Edna, The Very First Chicken</t>
  </si>
  <si>
    <t>Douglas Rees</t>
  </si>
  <si>
    <t>Rees, Douglas</t>
  </si>
  <si>
    <t>Jed Henry</t>
  </si>
  <si>
    <t>Henry Holt</t>
  </si>
  <si>
    <t>2024 (#15), children (#1)</t>
  </si>
  <si>
    <t xml:space="preserve">Such a fun book!! â€œget out of here you looking little whatever you areâ€ </t>
  </si>
  <si>
    <t>The Last Cuentista</t>
  </si>
  <si>
    <t>Donna Barba Higuera</t>
  </si>
  <si>
    <t>Higuera, Donna Barba</t>
  </si>
  <si>
    <t>Levine Querido</t>
  </si>
  <si>
    <t>2024, newbery-award</t>
  </si>
  <si>
    <t>2024 (#14), newbery-award (#2)</t>
  </si>
  <si>
    <t>A Curious Beginning (Veronica Speedwell, #1)</t>
  </si>
  <si>
    <t>Deanna Raybourn</t>
  </si>
  <si>
    <t>Raybourn, Deanna</t>
  </si>
  <si>
    <t>part-of-a-series, 2024, mystery</t>
  </si>
  <si>
    <t>part-of-a-series (#10), 2024 (#13), mystery (#2)</t>
  </si>
  <si>
    <t>A Perilous Undertaking (Veronica Speedwell, #2)</t>
  </si>
  <si>
    <t>part-of-a-series, 2024, historical-fiction, mystery</t>
  </si>
  <si>
    <t>part-of-a-series (#9), 2024 (#12), historical-fiction (#3), mystery (#1)</t>
  </si>
  <si>
    <t>A Fever in the Heartland: The Ku Klux Klan's Plot to Take Over America, and the Woman Who Stopped Them</t>
  </si>
  <si>
    <t>Timothy Egan</t>
  </si>
  <si>
    <t>Egan, Timothy</t>
  </si>
  <si>
    <t>to-read (#769)</t>
  </si>
  <si>
    <t>Cinder Luna (Once Upon a RomCom, #1)</t>
  </si>
  <si>
    <t>Marie  Soleil</t>
  </si>
  <si>
    <t>Soleil, Marie</t>
  </si>
  <si>
    <t>to-read (#768)</t>
  </si>
  <si>
    <t>The Curse of Misty Wayfair</t>
  </si>
  <si>
    <t>2024 (#11), christian-fiction (#4), suspense (#2)</t>
  </si>
  <si>
    <t>The Souls of Lost Lake</t>
  </si>
  <si>
    <t>2024, suspense, christian-fiction</t>
  </si>
  <si>
    <t>2024 (#7), suspense (#1), christian-fiction (#3)</t>
  </si>
  <si>
    <t>The Spellshop</t>
  </si>
  <si>
    <t>Sarah Beth Durst</t>
  </si>
  <si>
    <t>Durst, Sarah Beth</t>
  </si>
  <si>
    <t>Bramble</t>
  </si>
  <si>
    <t>2024, fantasy</t>
  </si>
  <si>
    <t>2024 (#10), fantasy (#2)</t>
  </si>
  <si>
    <t xml:space="preserve">50% in and then the story went WOKE??!! WHY!! &lt;br/&gt;I loved everything about this book. Wonderful cozy read, just the right amount of magic and I wish I my own Caz as an assistant. This should have been 4-4.5 but all of sudden the magical cactus </t>
  </si>
  <si>
    <t>A Treacherous Curse (Veronica Speedwell, #3)</t>
  </si>
  <si>
    <t>part-of-a-series, 2024</t>
  </si>
  <si>
    <t>part-of-a-series (#8), 2024 (#9)</t>
  </si>
  <si>
    <t>A Murderous Relation (Veronica Speedwell, #5)</t>
  </si>
  <si>
    <t>part-of-a-series (#7), 2024 (#8)</t>
  </si>
  <si>
    <t>You Make It Feel Like Christmas (Lewis Family #1)</t>
  </si>
  <si>
    <t>Toni Shiloh</t>
  </si>
  <si>
    <t>Shiloh, Toni</t>
  </si>
  <si>
    <t>2024, part-of-a-series, christmas</t>
  </si>
  <si>
    <t>2024 (#6), part-of-a-series (#12), christmas (#2)</t>
  </si>
  <si>
    <t>Sweet Christmas novella about childhood friends finding each at a cross roads. Will their holiday love go beyond the Christmas season?</t>
  </si>
  <si>
    <t>The Reluctant Widow</t>
  </si>
  <si>
    <t>Arrow</t>
  </si>
  <si>
    <t>2024, regency</t>
  </si>
  <si>
    <t>2024 (#5), regency (#2)</t>
  </si>
  <si>
    <t>Tales of the Celestial Kingdom (The Celestial Kingdom, #2.5)</t>
  </si>
  <si>
    <t>Kelly Chong</t>
  </si>
  <si>
    <t>to-read (#767)</t>
  </si>
  <si>
    <t>Castle of the Winds (The Secrets of Ormdale, #3)</t>
  </si>
  <si>
    <t>part-of-a-series, 2024, christian-fiction</t>
  </si>
  <si>
    <t>part-of-a-series (#6), 2024 (#4), christian-fiction (#2)</t>
  </si>
  <si>
    <t>As expected another five star read as we continue the journey with our heroine Edith and I just loved this action, packed adventurous addition to her series so much fun so many twists and turns and love the additional wit and building out Edithâ€˜s character. There was also a lot more Faith content that I just adored you see how Edith keeps impressing upon others that Godâ€™s commandments are vital for a prosperous and peaceful society and it is by His will that the world is set to rights. I love her integrity and cunning to get through all the sticky situations that she finds herself in through this book of course weâ€™ve left ourselves off on another cliffhanger, and I am trying to decide whether to patiently wait for the audible addition of the next book to come out or jump in and read on Kindle!! Thank you so much for your wonderful work and giving us all an escape to a magical place with the Ormdale series absolutely in love!</t>
  </si>
  <si>
    <t>Valley of Dragons (The Secrets of Ormdale, #5)</t>
  </si>
  <si>
    <t>part-of-a-series (#5), 2024 (#3), christian-fiction (#1)</t>
  </si>
  <si>
    <t>The Wish Book Christmas</t>
  </si>
  <si>
    <t>Lynn Austin</t>
  </si>
  <si>
    <t>Austin, Lynn</t>
  </si>
  <si>
    <t>Tyndale Fiction</t>
  </si>
  <si>
    <t>2024, christmas</t>
  </si>
  <si>
    <t>2024 (#2), christmas (#1)</t>
  </si>
  <si>
    <t>BEST CHRISTMAS BOOK OF THE YEAR! I went into this book completely blind just because the cover brought a wonderful sense of classic Christmas nostalgia and that is what I got. Beautiful book full of faith, plenty of laugh out loud moments, and really hits the mark on the true meaning of Christmas while keeping it magical with the Sears wish book and Santa. The story between Audrey</t>
  </si>
  <si>
    <t>These Old Shades (Alastair-Audley, #1)</t>
  </si>
  <si>
    <t>part-of-a-series, 2024, regency</t>
  </si>
  <si>
    <t>part-of-a-series (#4), 2024 (#1), regency (#1)</t>
  </si>
  <si>
    <t xml:space="preserve">Absolutely BINGEABLE! The amount of sleep I lost while reading this book is insane. It was beautiful to see the heard heart of the Duke be softened by the same person he intended to use for revenge. No need to reinvent the wheel, the summary had me hooked but once I stared I couldnâ€™t stop. </t>
  </si>
  <si>
    <t>The Frozen River</t>
  </si>
  <si>
    <t>Ariel Lawhon</t>
  </si>
  <si>
    <t>Lawhon, Ariel</t>
  </si>
  <si>
    <t>Doubleday</t>
  </si>
  <si>
    <t>historical-fiction (#2), 2025 (#4)</t>
  </si>
  <si>
    <t xml:space="preserve">What a life well lived!!! The Frozen River is a beautiful and somewhat of a thrilling adventure as we follow Marthaâ€™s life as a midwife. I was hooked from beginning to end hanging on every word, twist, and turn. What kept me most invested was the Martha and Ephriamâ€™s marriage. It was so beautiful to see how the couple is completely synced and knows each other love language. Absolutely â­ï¸â­ï¸â­ï¸â­ï¸â­ï¸ and I will be purchasing a physical copy to annotate and keep on my shelf. &lt;br/&gt;&lt;br/&gt;â€œI cannot say why it is so important that I make this daily record. Perhaps because I have been doing so for years on end? Or maybeâ€”if I am being honestâ€”it is because these markings of ink and paper will one day be the only proof that I have existed in this world. That I lived and breathed. That I loved a man and the many children he gave me. It is not that I want to be remembered, per se. I have done nothing remarkable. Not by the standards of history, at least. But I am here.â€ Martha </t>
  </si>
  <si>
    <t>Madness: Race and Insanity in a Jim Crow Asylum</t>
  </si>
  <si>
    <t>Antonia Hylton</t>
  </si>
  <si>
    <t>Hylton, Antonia</t>
  </si>
  <si>
    <t>Legacy Lit</t>
  </si>
  <si>
    <t>to-read (#766)</t>
  </si>
  <si>
    <t>One Summer in Savannah</t>
  </si>
  <si>
    <t>Terah Shelton Harris</t>
  </si>
  <si>
    <t>Harris, Terah Shelton</t>
  </si>
  <si>
    <t>to-read (#765)</t>
  </si>
  <si>
    <t>Lone Women</t>
  </si>
  <si>
    <t>Victor LaValle</t>
  </si>
  <si>
    <t>LaValle, Victor</t>
  </si>
  <si>
    <t>One World</t>
  </si>
  <si>
    <t>to-read (#764)</t>
  </si>
  <si>
    <t>The Reformatory</t>
  </si>
  <si>
    <t>Tananarive Due</t>
  </si>
  <si>
    <t>Due, Tananarive</t>
  </si>
  <si>
    <t>S&amp;S/Saga Press</t>
  </si>
  <si>
    <t>to-read (#763)</t>
  </si>
  <si>
    <t>What You Leave Behind</t>
  </si>
  <si>
    <t>Wanda M. Morris</t>
  </si>
  <si>
    <t>Morris, Wanda M.</t>
  </si>
  <si>
    <t>William Morrow Paperbacks</t>
  </si>
  <si>
    <t>to-read (#762)</t>
  </si>
  <si>
    <t>London (Surviving The Evacuation #1)</t>
  </si>
  <si>
    <t>Frank Tayell</t>
  </si>
  <si>
    <t>Tayell, Frank</t>
  </si>
  <si>
    <t>to-read (#761)</t>
  </si>
  <si>
    <t>The Queen of the Cicadas</t>
  </si>
  <si>
    <t>V. Castro</t>
  </si>
  <si>
    <t>Castro, V.</t>
  </si>
  <si>
    <t>Flame Tree Press</t>
  </si>
  <si>
    <t>to-read (#760)</t>
  </si>
  <si>
    <t>The Haunting of Alejandra</t>
  </si>
  <si>
    <t>Del Rey</t>
  </si>
  <si>
    <t>to-read (#759)</t>
  </si>
  <si>
    <t>Island of Secrets and Sacrifice (Sacrificed Hearts #4)</t>
  </si>
  <si>
    <t>Deborah Grace White</t>
  </si>
  <si>
    <t>White, Deborah Grace</t>
  </si>
  <si>
    <t>to-read (#758)</t>
  </si>
  <si>
    <t>Work in Progress</t>
  </si>
  <si>
    <t>Kat Mackenzie</t>
  </si>
  <si>
    <t>Mackenzie, Kat</t>
  </si>
  <si>
    <t>Avon</t>
  </si>
  <si>
    <t>to-read (#757)</t>
  </si>
  <si>
    <t>Where the Mountain Meets the Moon</t>
  </si>
  <si>
    <t>Grace Lin</t>
  </si>
  <si>
    <t>Lin, Grace</t>
  </si>
  <si>
    <t>Little, Brown and Company Books for Young Readers</t>
  </si>
  <si>
    <t>to-read (#756)</t>
  </si>
  <si>
    <t>The Lady and the Lionheart</t>
  </si>
  <si>
    <t>Joanne Bischof</t>
  </si>
  <si>
    <t>Bischof, Joanne</t>
  </si>
  <si>
    <t>Mason Jar Books</t>
  </si>
  <si>
    <t>to-read (#755)</t>
  </si>
  <si>
    <t>The In-Between Bookstore</t>
  </si>
  <si>
    <t>Edward  Underhill</t>
  </si>
  <si>
    <t>Underhill, Edward</t>
  </si>
  <si>
    <t>to-read (#754)</t>
  </si>
  <si>
    <t>Letters from Father Christmas</t>
  </si>
  <si>
    <t>J.R.R. Tolkien</t>
  </si>
  <si>
    <t>Tolkien, J.R.R.</t>
  </si>
  <si>
    <t>Baillie Tolkien</t>
  </si>
  <si>
    <t>Mariner Books</t>
  </si>
  <si>
    <t>to-read (#753)</t>
  </si>
  <si>
    <t>Lost in Darkness (Of Monsters and Men, #1)</t>
  </si>
  <si>
    <t>Michelle Griep</t>
  </si>
  <si>
    <t>Griep, Michelle</t>
  </si>
  <si>
    <t>Barbour Fiction</t>
  </si>
  <si>
    <t>to-read (#752)</t>
  </si>
  <si>
    <t>The Book Club for Troublesome Women</t>
  </si>
  <si>
    <t>Marie Bostwick</t>
  </si>
  <si>
    <t>Bostwick, Marie</t>
  </si>
  <si>
    <t>Harper Muse</t>
  </si>
  <si>
    <t>to-read (#751)</t>
  </si>
  <si>
    <t>Heart of the Sun Warrior (The Celestial Kingdom, #2)</t>
  </si>
  <si>
    <t>to-read (#750)</t>
  </si>
  <si>
    <t>One Story, One Song</t>
  </si>
  <si>
    <t>Richard Wagamese</t>
  </si>
  <si>
    <t>Wagamese, Richard</t>
  </si>
  <si>
    <t>Douglas &amp; McIntyre</t>
  </si>
  <si>
    <t>to-read (#749)</t>
  </si>
  <si>
    <t>A Lady's Guide to Etiquette and Murder (Countess of Harleigh Mystery, #1)</t>
  </si>
  <si>
    <t>Dianne Freeman</t>
  </si>
  <si>
    <t>Freeman, Dianne</t>
  </si>
  <si>
    <t xml:space="preserve">Kensington Publishing Corp. </t>
  </si>
  <si>
    <t>to-read (#748)</t>
  </si>
  <si>
    <t>Gallant</t>
  </si>
  <si>
    <t>Victoria E. Schwab</t>
  </si>
  <si>
    <t>Schwab, Victoria E.</t>
  </si>
  <si>
    <t>Manuel Sumberac</t>
  </si>
  <si>
    <t>Greenwillow Books</t>
  </si>
  <si>
    <t>to-read (#747)</t>
  </si>
  <si>
    <t>The Naturalist's Daughter</t>
  </si>
  <si>
    <t>Tea Cooper</t>
  </si>
  <si>
    <t>Cooper, Tea</t>
  </si>
  <si>
    <t>to-read (#746)</t>
  </si>
  <si>
    <t>A Noble Protector (Cornerstone Series, #8)</t>
  </si>
  <si>
    <t>Madisyn Carlin</t>
  </si>
  <si>
    <t>Carlin, Madisyn</t>
  </si>
  <si>
    <t>Bellator de Lux Publishing</t>
  </si>
  <si>
    <t>to-read (#745)</t>
  </si>
  <si>
    <t>Kingdom of Faewood (Fae of Woodlands &amp; Wild, #1)</t>
  </si>
  <si>
    <t>Krista Street</t>
  </si>
  <si>
    <t>Street, Krista</t>
  </si>
  <si>
    <t>Midnight Press</t>
  </si>
  <si>
    <t>to-read (#744)</t>
  </si>
  <si>
    <t>Blood Heir (Blood Heir Trilogy, #1)</t>
  </si>
  <si>
    <t>AmÃ©lie Wen Zhao</t>
  </si>
  <si>
    <t>Zhao, AmÃ©lie Wen</t>
  </si>
  <si>
    <t>to-read (#743)</t>
  </si>
  <si>
    <t>A Useful Woman (Rosalind Thorne Mysteries, #1)</t>
  </si>
  <si>
    <t>Darcie Wilde</t>
  </si>
  <si>
    <t>Wilde, Darcie</t>
  </si>
  <si>
    <t>Penguin Publishing Group</t>
  </si>
  <si>
    <t>to-read (#742)</t>
  </si>
  <si>
    <t>The Collected Poems</t>
  </si>
  <si>
    <t>Langston Hughes</t>
  </si>
  <si>
    <t>Hughes, Langston</t>
  </si>
  <si>
    <t>Arnold Rampersad</t>
  </si>
  <si>
    <t>Vintage Books/Random House</t>
  </si>
  <si>
    <t>to-read (#741)</t>
  </si>
  <si>
    <t>Poetry</t>
  </si>
  <si>
    <t>Not Without Laughter</t>
  </si>
  <si>
    <t>Maya Angelou</t>
  </si>
  <si>
    <t>Scribner</t>
  </si>
  <si>
    <t>to-read (#740)</t>
  </si>
  <si>
    <t>One Native Life</t>
  </si>
  <si>
    <t>to-read (#739)</t>
  </si>
  <si>
    <t>Surviving Savannah</t>
  </si>
  <si>
    <t>Patti Callahan Henry</t>
  </si>
  <si>
    <t>Henry, Patti Callahan</t>
  </si>
  <si>
    <t xml:space="preserve">Berkley </t>
  </si>
  <si>
    <t>to-read (#738)</t>
  </si>
  <si>
    <t>Japanese Girl at the Siege of Changchun: How I Survived China s Wartime Atrocity</t>
  </si>
  <si>
    <t>Homare Endo</t>
  </si>
  <si>
    <t>Endo, Homare</t>
  </si>
  <si>
    <t>Michael Brase</t>
  </si>
  <si>
    <t>Stone Bridge Press</t>
  </si>
  <si>
    <t>to-read (#737)</t>
  </si>
  <si>
    <t>Taliesin (The Pendragon Cycle #1)</t>
  </si>
  <si>
    <t>Stephen R. Lawhead</t>
  </si>
  <si>
    <t>Lawhead, Stephen R.</t>
  </si>
  <si>
    <t>to-read (#736)</t>
  </si>
  <si>
    <t>Winter's Maiden (The Nordic Wars Book 1)</t>
  </si>
  <si>
    <t>Morgan L. Busse</t>
  </si>
  <si>
    <t>Busse, Morgan L.</t>
  </si>
  <si>
    <t>to-read (#713)</t>
  </si>
  <si>
    <t>Dead of Winter</t>
  </si>
  <si>
    <t>to-read (#735)</t>
  </si>
  <si>
    <t>Secrets of Rose Briar Hall</t>
  </si>
  <si>
    <t>Kelsey James</t>
  </si>
  <si>
    <t>James, Kelsey</t>
  </si>
  <si>
    <t>A John Scognamiglio Book</t>
  </si>
  <si>
    <t>to-read (#734)</t>
  </si>
  <si>
    <t>The Ballad of Jacquotte Delahaye</t>
  </si>
  <si>
    <t>Briony Cameron</t>
  </si>
  <si>
    <t>Cameron, Briony</t>
  </si>
  <si>
    <t>Atria Books</t>
  </si>
  <si>
    <t>to-read (#733)</t>
  </si>
  <si>
    <t>The Phoenix Keeper</t>
  </si>
  <si>
    <t>S.A.  MacLean</t>
  </si>
  <si>
    <t>MacLean, S.A.</t>
  </si>
  <si>
    <t>Orbit</t>
  </si>
  <si>
    <t>to-read (#732)</t>
  </si>
  <si>
    <t>The Medicine Woman of Galveston</t>
  </si>
  <si>
    <t>Amanda Skenandore</t>
  </si>
  <si>
    <t>Skenandore, Amanda</t>
  </si>
  <si>
    <t>Kensington</t>
  </si>
  <si>
    <t>to-read (#731)</t>
  </si>
  <si>
    <t>Murder in Highbury</t>
  </si>
  <si>
    <t>Vanessa Kelly</t>
  </si>
  <si>
    <t>Kelly, Vanessa</t>
  </si>
  <si>
    <t>to-read (#730)</t>
  </si>
  <si>
    <t>Of Gold and Shadows (Time's Lost Treasures #1)</t>
  </si>
  <si>
    <t>to-read (#729)</t>
  </si>
  <si>
    <t>The Thief of Blackfriars Lane (Blackfriars Lane, #1)</t>
  </si>
  <si>
    <t>Barbour Books</t>
  </si>
  <si>
    <t>to-read (#728)</t>
  </si>
  <si>
    <t>A Beautiful Disguise (The Imposters, #1)</t>
  </si>
  <si>
    <t>Roseanna M. White</t>
  </si>
  <si>
    <t>White, Roseanna M.</t>
  </si>
  <si>
    <t>to-read (#727)</t>
  </si>
  <si>
    <t>The Girl Who Drank the Moon</t>
  </si>
  <si>
    <t>Kelly Barnhill</t>
  </si>
  <si>
    <t>Barnhill, Kelly</t>
  </si>
  <si>
    <t>to-read (#726)</t>
  </si>
  <si>
    <t>The Strangeworlds Travel Agency (Strangeworlds Travel Agency, #1)</t>
  </si>
  <si>
    <t>L.D. Lapinski</t>
  </si>
  <si>
    <t>Lapinski, L.D.</t>
  </si>
  <si>
    <t>Orion Children's Books</t>
  </si>
  <si>
    <t>to-read (#725)</t>
  </si>
  <si>
    <t>All the Colors of the Dark</t>
  </si>
  <si>
    <t>Chris  Whitaker</t>
  </si>
  <si>
    <t>Whitaker, Chris</t>
  </si>
  <si>
    <t>Crown</t>
  </si>
  <si>
    <t>to-read (#724)</t>
  </si>
  <si>
    <t>Vanished (The Gwen St. James Affair #1)</t>
  </si>
  <si>
    <t>Nicole McKeon</t>
  </si>
  <si>
    <t>McKeon, Nicole</t>
  </si>
  <si>
    <t>Tower Room Publishing</t>
  </si>
  <si>
    <t>to-read (#723)</t>
  </si>
  <si>
    <t>Mortal Queens (The Fae Dynasty, #1)</t>
  </si>
  <si>
    <t>Victoria McCombs</t>
  </si>
  <si>
    <t>McCombs, Victoria</t>
  </si>
  <si>
    <t>to-read (#722)</t>
  </si>
  <si>
    <t>Recorder (Children of the Consortium, #1)</t>
  </si>
  <si>
    <t>Cathy  McCrumb</t>
  </si>
  <si>
    <t>McCrumb, Cathy</t>
  </si>
  <si>
    <t>to-read (#721)</t>
  </si>
  <si>
    <t>Simon Sort of Says</t>
  </si>
  <si>
    <t>Erin Bow</t>
  </si>
  <si>
    <t>Bow, Erin</t>
  </si>
  <si>
    <t>Disney Hyperion</t>
  </si>
  <si>
    <t>to-read (#720)</t>
  </si>
  <si>
    <t>Between Stairs and Stardust (Blue Ridge Fairytales #1)</t>
  </si>
  <si>
    <t>Pepper Basham</t>
  </si>
  <si>
    <t>Basham, Pepper</t>
  </si>
  <si>
    <t>to-read (#719)</t>
  </si>
  <si>
    <t>The Highland Heist (A Freddie and Grace Mystery #4)</t>
  </si>
  <si>
    <t>to-read (#718)</t>
  </si>
  <si>
    <t>The Juliet Code (A Freddie and Grace Mystery, #3)</t>
  </si>
  <si>
    <t>to-read (#717)</t>
  </si>
  <si>
    <t>The Cairo Curse (A Freddie and Grace Mystery, #2)</t>
  </si>
  <si>
    <t>to-read (#716)</t>
  </si>
  <si>
    <t>A Natural History of Dragons (The Memoirs of Lady Trent, #1)</t>
  </si>
  <si>
    <t>Marie Brennan</t>
  </si>
  <si>
    <t>Brennan, Marie</t>
  </si>
  <si>
    <t>Tor Books</t>
  </si>
  <si>
    <t>to-read (#715)</t>
  </si>
  <si>
    <t>A Flower Traveled in My Blood: The Incredible True Story of the Grandmothers Who Fought to Find a Stolen Generation of Children</t>
  </si>
  <si>
    <t>Haley Cohen Gilliland</t>
  </si>
  <si>
    <t>Gilliland, Haley Cohen</t>
  </si>
  <si>
    <t>Avid Reader Press / Simon &amp; Schuster</t>
  </si>
  <si>
    <t>to-read (#714)</t>
  </si>
  <si>
    <t>Austen at Sea</t>
  </si>
  <si>
    <t>Natalie Jenner</t>
  </si>
  <si>
    <t>Jenner, Natalie</t>
  </si>
  <si>
    <t>St. Martin's Press</t>
  </si>
  <si>
    <t>to-read (#712)</t>
  </si>
  <si>
    <t>If the Tide Turns</t>
  </si>
  <si>
    <t>Rachel Rueckert</t>
  </si>
  <si>
    <t>Rueckert, Rachel</t>
  </si>
  <si>
    <t>to-read (#711)</t>
  </si>
  <si>
    <t>The Sun Won't Come Out Tomorrow: The Dark History of American Orphanhood</t>
  </si>
  <si>
    <t>Kristen   Martin</t>
  </si>
  <si>
    <t>Martin, Kristen</t>
  </si>
  <si>
    <t>Bold Type Books</t>
  </si>
  <si>
    <t>to-read (#710)</t>
  </si>
  <si>
    <t>The Journal of a Thousand Years (Glass Library, #6)</t>
  </si>
  <si>
    <t>C.J. Archer</t>
  </si>
  <si>
    <t>Archer, C.J.</t>
  </si>
  <si>
    <t>to-read (#709)</t>
  </si>
  <si>
    <t>Secrets of the Lost Ledgers (The Glass Library #5)</t>
  </si>
  <si>
    <t>to-read (#708)</t>
  </si>
  <si>
    <t>The Dead Letter Delivery (Glass Library, #4)</t>
  </si>
  <si>
    <t>to-read (#707)</t>
  </si>
  <si>
    <t>The Untitled Books (Glass Library, #3)</t>
  </si>
  <si>
    <t>to-read (#706)</t>
  </si>
  <si>
    <t>The Medici Manuscript (Glass Library, #2)</t>
  </si>
  <si>
    <t>to-read (#705)</t>
  </si>
  <si>
    <t>The Librarian of Crooked Lane (Glass Library, #1)</t>
  </si>
  <si>
    <t>to-read (#704)</t>
  </si>
  <si>
    <t>Kingdom of Dance (The Kingdom Tales, #6)</t>
  </si>
  <si>
    <t>to-read (#703)</t>
  </si>
  <si>
    <t>Kingdom of Locks (The Kingdom Tales #5)</t>
  </si>
  <si>
    <t xml:space="preserve">Luminant Publications </t>
  </si>
  <si>
    <t>to-read (#702)</t>
  </si>
  <si>
    <t>Kingdom of Feathers (The Kingdom Tales #4)</t>
  </si>
  <si>
    <t>to-read (#701)</t>
  </si>
  <si>
    <t>Kingdom of Cinders (The Kingdom Tales #3)</t>
  </si>
  <si>
    <t>to-read (#700)</t>
  </si>
  <si>
    <t>Kingdom of Beauty (The Kingdom Tales, #1)</t>
  </si>
  <si>
    <t>to-read (#699)</t>
  </si>
  <si>
    <t>Kingdom of Slumber (The Kingdom Tales, #2)</t>
  </si>
  <si>
    <t>to-read (#698)</t>
  </si>
  <si>
    <t>The Wraith and the Rose</t>
  </si>
  <si>
    <t>C.J. Brightley</t>
  </si>
  <si>
    <t>Brightley, C.J.</t>
  </si>
  <si>
    <t>Spring Song Press</t>
  </si>
  <si>
    <t>to-read (#697)</t>
  </si>
  <si>
    <t>Twelve Days of (Faerie) Christmas</t>
  </si>
  <si>
    <t>to-read (#696)</t>
  </si>
  <si>
    <t>The Silent Prince</t>
  </si>
  <si>
    <t>to-read (#695)</t>
  </si>
  <si>
    <t>Bride of the Fae Prince (Bride of the Fae Prince, #1)</t>
  </si>
  <si>
    <t>Anastasis Blythe</t>
  </si>
  <si>
    <t>Blythe, Anastasis</t>
  </si>
  <si>
    <t>Kindle Vella</t>
  </si>
  <si>
    <t>to-read (#694)</t>
  </si>
  <si>
    <t>The Midnight Prince</t>
  </si>
  <si>
    <t>Angie Grigaliunas</t>
  </si>
  <si>
    <t>Grigaliunas, Angie</t>
  </si>
  <si>
    <t>Firedove Publishing</t>
  </si>
  <si>
    <t>to-read (#693)</t>
  </si>
  <si>
    <t>Traitor's Masque (Andari Chronicles #1)</t>
  </si>
  <si>
    <t>Kenley Davidson</t>
  </si>
  <si>
    <t>Davidson, Kenley</t>
  </si>
  <si>
    <t>Page Nine Press</t>
  </si>
  <si>
    <t>to-read (#692)</t>
  </si>
  <si>
    <t>The Faceless Mage (Legends of Abreia #1)</t>
  </si>
  <si>
    <t>to-read (#691)</t>
  </si>
  <si>
    <t>Her Radiant Curse</t>
  </si>
  <si>
    <t>Knopf Books for Young Readers</t>
  </si>
  <si>
    <t>to-read (#690)</t>
  </si>
  <si>
    <t>Voices in the Snow (Black Winter, #1)</t>
  </si>
  <si>
    <t>to-read (#689)</t>
  </si>
  <si>
    <t>Neverwhere (London Below, #1)</t>
  </si>
  <si>
    <t>Neil Gaiman</t>
  </si>
  <si>
    <t>Gaiman, Neil</t>
  </si>
  <si>
    <t>to-read (#688)</t>
  </si>
  <si>
    <t>A Dangerous Pursuit (Regency Spies &amp; Secrets, #1)</t>
  </si>
  <si>
    <t>Laura Beers</t>
  </si>
  <si>
    <t>Beers, Laura</t>
  </si>
  <si>
    <t>Dragonblade Publishing, Inc.</t>
  </si>
  <si>
    <t>to-read (#687)</t>
  </si>
  <si>
    <t>Faith, Hope, and Ivy June</t>
  </si>
  <si>
    <t>Library Binding</t>
  </si>
  <si>
    <t>to-read (#686)</t>
  </si>
  <si>
    <t>Emily and Jackson Hiding Out</t>
  </si>
  <si>
    <t>to-read (#685)</t>
  </si>
  <si>
    <t>The Corrections</t>
  </si>
  <si>
    <t>Jonathan Franzen</t>
  </si>
  <si>
    <t>Franzen, Jonathan</t>
  </si>
  <si>
    <t>Fourth Estate Paperbacks</t>
  </si>
  <si>
    <t>to-read (#684)</t>
  </si>
  <si>
    <t>Gilead (Gilead, #1)</t>
  </si>
  <si>
    <t>Marilynne Robinson</t>
  </si>
  <si>
    <t>Robinson, Marilynne</t>
  </si>
  <si>
    <t>Picador USA</t>
  </si>
  <si>
    <t>to-read (#683)</t>
  </si>
  <si>
    <t>The Warmth of Other Suns: The Epic Story of America's Great Migration</t>
  </si>
  <si>
    <t>Isabel Wilkerson</t>
  </si>
  <si>
    <t>Wilkerson, Isabel</t>
  </si>
  <si>
    <t>Random House</t>
  </si>
  <si>
    <t>to-read (#682)</t>
  </si>
  <si>
    <t>The New Jim Crow: Mass Incarceration in the Age of Colorblindness</t>
  </si>
  <si>
    <t>Michelle Alexander</t>
  </si>
  <si>
    <t>Alexander, Michelle</t>
  </si>
  <si>
    <t>The New Press Inc.</t>
  </si>
  <si>
    <t>to-read (#681)</t>
  </si>
  <si>
    <t>Secondhand Time: The Last of the Soviets</t>
  </si>
  <si>
    <t>Svetlana Alexievich</t>
  </si>
  <si>
    <t>Alexievich, Svetlana</t>
  </si>
  <si>
    <t>Bela Shayevich</t>
  </si>
  <si>
    <t>Text Publishing</t>
  </si>
  <si>
    <t>to-read (#680)</t>
  </si>
  <si>
    <t>When We Cease to Understand the World</t>
  </si>
  <si>
    <t>BenjamÃ­n Labatut</t>
  </si>
  <si>
    <t>Labatut, BenjamÃ­n</t>
  </si>
  <si>
    <t>Adrian Nathan West</t>
  </si>
  <si>
    <t>New York Review Books</t>
  </si>
  <si>
    <t>to-read (#679)</t>
  </si>
  <si>
    <t>Soon: The Beginning of the End (Underground Zealot, #1)</t>
  </si>
  <si>
    <t>to-read (#678)</t>
  </si>
  <si>
    <t>Blood Numbers (Blood Wars Trilogy #1)</t>
  </si>
  <si>
    <t>C.F. Kreitzer</t>
  </si>
  <si>
    <t>Kreitzer, C.F.</t>
  </si>
  <si>
    <t>Monster Ivy Publishing</t>
  </si>
  <si>
    <t>to-read (#677)</t>
  </si>
  <si>
    <t>Shadowcast (The Gateway Trilogy, #1)</t>
  </si>
  <si>
    <t>Crystal D. Grant</t>
  </si>
  <si>
    <t>Grant, Crystal D.</t>
  </si>
  <si>
    <t>Quill and Flame Publishers</t>
  </si>
  <si>
    <t>to-read (#676)</t>
  </si>
  <si>
    <t>Junie</t>
  </si>
  <si>
    <t>Erin Crosby Eckstine</t>
  </si>
  <si>
    <t>Eckstine, Erin Crosby</t>
  </si>
  <si>
    <t>Ballantine Books</t>
  </si>
  <si>
    <t>to-read (#675)</t>
  </si>
  <si>
    <t>Needy Little Things</t>
  </si>
  <si>
    <t>Channelle Desamours</t>
  </si>
  <si>
    <t>Desamours, Channelle</t>
  </si>
  <si>
    <t>Wednesday Books</t>
  </si>
  <si>
    <t>to-read (#674)</t>
  </si>
  <si>
    <t>When the Moon Hatched (Moonfall, #1)</t>
  </si>
  <si>
    <t>Sarah A. Parker</t>
  </si>
  <si>
    <t>Parker, Sarah A.</t>
  </si>
  <si>
    <t>to-read (#672)</t>
  </si>
  <si>
    <t>The Ballad of Falling Dragons (Moonfall, #2)</t>
  </si>
  <si>
    <t>HarperVoyager</t>
  </si>
  <si>
    <t>to-read (#673)</t>
  </si>
  <si>
    <t>The Knight and the Moth (The Stonewater Kingdom, #1)</t>
  </si>
  <si>
    <t>Rachel Gillig</t>
  </si>
  <si>
    <t>Gillig, Rachel</t>
  </si>
  <si>
    <t>to-read (#671)</t>
  </si>
  <si>
    <t>The Starlight Heir</t>
  </si>
  <si>
    <t>Amalie Howard</t>
  </si>
  <si>
    <t>Howard, Amalie</t>
  </si>
  <si>
    <t>to-read (#670)</t>
  </si>
  <si>
    <t>Great Big Beautiful Life</t>
  </si>
  <si>
    <t>Emily Henry</t>
  </si>
  <si>
    <t>Henry, Emily</t>
  </si>
  <si>
    <t>to-read (#669)</t>
  </si>
  <si>
    <t>Say You'll Remember Me</t>
  </si>
  <si>
    <t>to-read (#668)</t>
  </si>
  <si>
    <t>Out of the Woods</t>
  </si>
  <si>
    <t>Hannah Bonam-Young</t>
  </si>
  <si>
    <t>Bonam-Young, Hannah</t>
  </si>
  <si>
    <t>Dell</t>
  </si>
  <si>
    <t>to-read (#667)</t>
  </si>
  <si>
    <t>Immortal</t>
  </si>
  <si>
    <t>to-read (#666)</t>
  </si>
  <si>
    <t>The Queens of Crime</t>
  </si>
  <si>
    <t>to-read (#665)</t>
  </si>
  <si>
    <t>The Original Daughter</t>
  </si>
  <si>
    <t>Jemimah Wei</t>
  </si>
  <si>
    <t>Wei, Jemimah</t>
  </si>
  <si>
    <t>to-read (#664)</t>
  </si>
  <si>
    <t>The Bright Years</t>
  </si>
  <si>
    <t>Sarah Damoff</t>
  </si>
  <si>
    <t>Damoff, Sarah</t>
  </si>
  <si>
    <t>to-read (#663)</t>
  </si>
  <si>
    <t>Good Dirt</t>
  </si>
  <si>
    <t>Charmaine Wilkerson</t>
  </si>
  <si>
    <t>Wilkerson, Charmaine</t>
  </si>
  <si>
    <t>to-read (#662)</t>
  </si>
  <si>
    <t>Homeseeking</t>
  </si>
  <si>
    <t>Karissa Chen</t>
  </si>
  <si>
    <t>Chen, Karissa</t>
  </si>
  <si>
    <t>G.P. Putnam's Sons</t>
  </si>
  <si>
    <t>to-read (#661)</t>
  </si>
  <si>
    <t>Truth Cursed</t>
  </si>
  <si>
    <t>Angie  Dickinson</t>
  </si>
  <si>
    <t>Dickinson, Angie</t>
  </si>
  <si>
    <t>to-read (#660)</t>
  </si>
  <si>
    <t>A Noble Comfort: A Blue Bird Retelling</t>
  </si>
  <si>
    <t>Katja H. LabontÃ©</t>
  </si>
  <si>
    <t>LabontÃ©, Katja H.</t>
  </si>
  <si>
    <t>to-read (#659)</t>
  </si>
  <si>
    <t>A Noble Friend: A Bluebeard Retelling</t>
  </si>
  <si>
    <t>Kendra E. Ardnek</t>
  </si>
  <si>
    <t>Ardnek, Kendra E.</t>
  </si>
  <si>
    <t>to-read (#658)</t>
  </si>
  <si>
    <t>A Gracious Hope (Hope Ever After, #14): A Sleeping Beauty Retelling</t>
  </si>
  <si>
    <t>Robyn Sarty</t>
  </si>
  <si>
    <t>Sarty, Robyn</t>
  </si>
  <si>
    <t>Belwood Publishing</t>
  </si>
  <si>
    <t>to-read (#657)</t>
  </si>
  <si>
    <t>A Renewed Hope</t>
  </si>
  <si>
    <t>Scarlett Luna Strange, Selina De Luca, Leialoha Humpherys</t>
  </si>
  <si>
    <t>to-read (#656)</t>
  </si>
  <si>
    <t>Of Song and Wonder</t>
  </si>
  <si>
    <t>to-read (#655)</t>
  </si>
  <si>
    <t>Song of Vines (The Singer Tales #6)</t>
  </si>
  <si>
    <t>to-read (#654)</t>
  </si>
  <si>
    <t>Song of Trails (The Singer Tales #5)</t>
  </si>
  <si>
    <t>to-read (#653)</t>
  </si>
  <si>
    <t>Song of Moonrise (The Singer Tales #4)</t>
  </si>
  <si>
    <t>to-read (#652)</t>
  </si>
  <si>
    <t>Song of Winds (The Singer Tales #3)</t>
  </si>
  <si>
    <t>to-read (#651)</t>
  </si>
  <si>
    <t>Song of the Sea (The Singer Tales #2)</t>
  </si>
  <si>
    <t>to-read (#650)</t>
  </si>
  <si>
    <t>Fairest of Heart (Texas Ever After, #1)</t>
  </si>
  <si>
    <t>Karen Witemeyer</t>
  </si>
  <si>
    <t>Witemeyer, Karen</t>
  </si>
  <si>
    <t>to-read (#649)</t>
  </si>
  <si>
    <t>Falling Through the Black (Xerux Galaxy Saga, #2)</t>
  </si>
  <si>
    <t>E.A. Hendryx</t>
  </si>
  <si>
    <t>Hendryx, E.A.</t>
  </si>
  <si>
    <t>Pine Mountain Publishing</t>
  </si>
  <si>
    <t>to-read (#648)</t>
  </si>
  <si>
    <t>Suspended in the Stars (Xerus Galaxy Saga, #1)</t>
  </si>
  <si>
    <t>to-read (#647)</t>
  </si>
  <si>
    <t>The Voices are Real: Pulse the Void, Get a Grip, You're Already Lost</t>
  </si>
  <si>
    <t>Daniel Dillenback</t>
  </si>
  <si>
    <t>Dillenback, Daniel</t>
  </si>
  <si>
    <t>Brain Skip</t>
  </si>
  <si>
    <t>to-read (#646)</t>
  </si>
  <si>
    <t>Sword Brethren</t>
  </si>
  <si>
    <t>Jon Byrne</t>
  </si>
  <si>
    <t>Byrne, Jon</t>
  </si>
  <si>
    <t>The Book Guild</t>
  </si>
  <si>
    <t>to-read (#645)</t>
  </si>
  <si>
    <t>The Highlander's Hidden Castle (Loved by a Highlander #3)</t>
  </si>
  <si>
    <t>Debra Chapoton</t>
  </si>
  <si>
    <t>Chapoton, Debra</t>
  </si>
  <si>
    <t>Marlisa Kriscott</t>
  </si>
  <si>
    <t>to-read (#644)</t>
  </si>
  <si>
    <t>The Highlander's English Maiden (Loved by a Highlander #2)</t>
  </si>
  <si>
    <t>Independently published</t>
  </si>
  <si>
    <t>to-read (#643)</t>
  </si>
  <si>
    <t>The Highlander's Secret Princess (Loved by a Highlander #1)</t>
  </si>
  <si>
    <t>to-read (#642)</t>
  </si>
  <si>
    <t>The Well (The Living Water, #1)</t>
  </si>
  <si>
    <t>Stephanie Landsem</t>
  </si>
  <si>
    <t>Landsem, Stephanie</t>
  </si>
  <si>
    <t>Howard Books</t>
  </si>
  <si>
    <t>to-read (#640)</t>
  </si>
  <si>
    <t>The Thief (The Living Water, #2)</t>
  </si>
  <si>
    <t>to-read (#641)</t>
  </si>
  <si>
    <t>The Sky Above Us (Sunrise at Normandy, #2)</t>
  </si>
  <si>
    <t>Sarah Sundin</t>
  </si>
  <si>
    <t>Sundin, Sarah</t>
  </si>
  <si>
    <t>to-read (#639)</t>
  </si>
  <si>
    <t>The Sea Before Us (Sunrise at Normandy, #1)</t>
  </si>
  <si>
    <t>Revell / Baker Publishing Group</t>
  </si>
  <si>
    <t>to-read (#638)</t>
  </si>
  <si>
    <t>Cloaked in Beauty (Texas Ever After, #3)</t>
  </si>
  <si>
    <t>to-read (#637)</t>
  </si>
  <si>
    <t>The Book of the King (The Wormling, #1)</t>
  </si>
  <si>
    <t>Chris Fabry</t>
  </si>
  <si>
    <t>to-read (#636)</t>
  </si>
  <si>
    <t>Magic Hour</t>
  </si>
  <si>
    <t>Kristin Hannah</t>
  </si>
  <si>
    <t>Hannah, Kristin</t>
  </si>
  <si>
    <t>to-read (#635)</t>
  </si>
  <si>
    <t>Affairs of State</t>
  </si>
  <si>
    <t>C.A. James</t>
  </si>
  <si>
    <t>James, C.A.</t>
  </si>
  <si>
    <t>to-read (#634)</t>
  </si>
  <si>
    <t>Adrift in Currents Clean and Clear (Wayward Children, #10)</t>
  </si>
  <si>
    <t>Seanan McGuire</t>
  </si>
  <si>
    <t>McGuire, Seanan</t>
  </si>
  <si>
    <t>Tordotcom</t>
  </si>
  <si>
    <t>to-read (#633)</t>
  </si>
  <si>
    <t>The Mysterious Howling (The Incorrigible Children of Ashton Place, #1)</t>
  </si>
  <si>
    <t>Maryrose Wood</t>
  </si>
  <si>
    <t>Wood, Maryrose</t>
  </si>
  <si>
    <t>Jon Klassen</t>
  </si>
  <si>
    <t>Balzer &amp; Bray</t>
  </si>
  <si>
    <t>to-read (#632)</t>
  </si>
  <si>
    <t>The Girl from the Hidden Forest</t>
  </si>
  <si>
    <t>Hannah  Linder</t>
  </si>
  <si>
    <t>Linder, Hannah</t>
  </si>
  <si>
    <t>to-read (#631)</t>
  </si>
  <si>
    <t>The Mystery of the Clockwork Sparrow (The Sinclairâ€™s Mysteries #1)</t>
  </si>
  <si>
    <t>Katherine Woodfine</t>
  </si>
  <si>
    <t>Woodfine, Katherine</t>
  </si>
  <si>
    <t>Egmont</t>
  </si>
  <si>
    <t>to-read (#630)</t>
  </si>
  <si>
    <t>The Inn at Ocean's Edge (Sunset Cove, #1)</t>
  </si>
  <si>
    <t>Colleen Coble</t>
  </si>
  <si>
    <t>Coble, Colleen</t>
  </si>
  <si>
    <t>Thomas Nelson</t>
  </si>
  <si>
    <t>to-read (#629)</t>
  </si>
  <si>
    <t>A Noble Companion (Cornerstone Series, #6)</t>
  </si>
  <si>
    <t>Rachel Kovaciny</t>
  </si>
  <si>
    <t>Kovaciny, Rachel</t>
  </si>
  <si>
    <t>to-read (#628)</t>
  </si>
  <si>
    <t>A Noble Princess (Cornerstone Series #5) : A Goose Girl Retelling</t>
  </si>
  <si>
    <t>Saraina Whitney</t>
  </si>
  <si>
    <t>Whitney, Saraina</t>
  </si>
  <si>
    <t>to-read (#627)</t>
  </si>
  <si>
    <t>If the Boot Fits (Texas Ever After, #2)</t>
  </si>
  <si>
    <t>to-read (#626)</t>
  </si>
  <si>
    <t>From Mountain View to Off: The Story of Alice Madeline McMurtry Farmer</t>
  </si>
  <si>
    <t>Carol Farmer</t>
  </si>
  <si>
    <t>Farmer, Carol</t>
  </si>
  <si>
    <t>to-read (#625)</t>
  </si>
  <si>
    <t>The Nature of Love (Love in the Spotlight, #3)</t>
  </si>
  <si>
    <t>to-read (#624)</t>
  </si>
  <si>
    <t>Mothering by the Book: The Power of Reading Aloud to Overcome Fear and Recapture Joy</t>
  </si>
  <si>
    <t>Jennifer Pepito</t>
  </si>
  <si>
    <t>Pepito, Jennifer</t>
  </si>
  <si>
    <t>Sally Clarkson</t>
  </si>
  <si>
    <t>to-read (#623)</t>
  </si>
  <si>
    <t>Heart of Red, Blood of Blue</t>
  </si>
  <si>
    <t>Rebecca Belliston</t>
  </si>
  <si>
    <t>Belliston, Rebecca</t>
  </si>
  <si>
    <t>Gated Publishing</t>
  </si>
  <si>
    <t>to-read (#622)</t>
  </si>
  <si>
    <t>Five Little Indians</t>
  </si>
  <si>
    <t>Michelle Good</t>
  </si>
  <si>
    <t>Good, Michelle</t>
  </si>
  <si>
    <t>Harper Perennial</t>
  </si>
  <si>
    <t>to-read (#621)</t>
  </si>
  <si>
    <t>Indian Horse</t>
  </si>
  <si>
    <t>to-read (#620)</t>
  </si>
  <si>
    <t>A Tailor-Made Bride</t>
  </si>
  <si>
    <t>to-read (#619)</t>
  </si>
  <si>
    <t>Earl Crush</t>
  </si>
  <si>
    <t>Alexandra Vasti</t>
  </si>
  <si>
    <t>Vasti, Alexandra</t>
  </si>
  <si>
    <t>St. Martin's Griffin</t>
  </si>
  <si>
    <t>to-read (#618)</t>
  </si>
  <si>
    <t>A Game of Hearts (The Cartwells, #1)</t>
  </si>
  <si>
    <t>Joanna  Barker</t>
  </si>
  <si>
    <t>Barker, Joanna</t>
  </si>
  <si>
    <t>to-read (#617)</t>
  </si>
  <si>
    <t>Silver Dollar Duke  (Hearts of Arizona #1)</t>
  </si>
  <si>
    <t>Sally Britton</t>
  </si>
  <si>
    <t>Britton, Sally</t>
  </si>
  <si>
    <t>Pink Citrus Books</t>
  </si>
  <si>
    <t>to-read (#616)</t>
  </si>
  <si>
    <t>Mr. Gardiner and the Governess (Clairvoir Castle Romances #1)</t>
  </si>
  <si>
    <t>to-read (#615)</t>
  </si>
  <si>
    <t>A Beautiful Love  (Forever After Retellings #4)</t>
  </si>
  <si>
    <t>Megan Walker</t>
  </si>
  <si>
    <t>Walker, Megan</t>
  </si>
  <si>
    <t>Love Letter Press</t>
  </si>
  <si>
    <t>to-read (#614)</t>
  </si>
  <si>
    <t>The Chaos Grid (Volume 1)</t>
  </si>
  <si>
    <t>Lyndsey Lewellen</t>
  </si>
  <si>
    <t>Lewellen, Lyndsey</t>
  </si>
  <si>
    <t>to-read (#613)</t>
  </si>
  <si>
    <t>Miriam (Treasures of the Nile, #2)</t>
  </si>
  <si>
    <t>Mesu Andrews</t>
  </si>
  <si>
    <t>Andrews, Mesu</t>
  </si>
  <si>
    <t>to-read (#612)</t>
  </si>
  <si>
    <t>Of Fire and Lions (Prophets and Kings, #2)</t>
  </si>
  <si>
    <t>to-read (#611)</t>
  </si>
  <si>
    <t>The Fire in the Glass (The Charismatics, #1)</t>
  </si>
  <si>
    <t>Jacquelyn Benson</t>
  </si>
  <si>
    <t>Benson, Jacquelyn</t>
  </si>
  <si>
    <t>Vaughan Woods Publishing</t>
  </si>
  <si>
    <t>to-read (#610)</t>
  </si>
  <si>
    <t>Inside Out &amp; Back Again</t>
  </si>
  <si>
    <t>ThanhhÃ  Láº¡i</t>
  </si>
  <si>
    <t>Láº¡i, ThanhhÃ </t>
  </si>
  <si>
    <t>to-read (#609)</t>
  </si>
  <si>
    <t>A Language of Dragons</t>
  </si>
  <si>
    <t>S.F. Williamson</t>
  </si>
  <si>
    <t>Williamson, S.F.</t>
  </si>
  <si>
    <t>to-read (#608)</t>
  </si>
  <si>
    <t>The Words We Lost (Fog Harbor, #1)</t>
  </si>
  <si>
    <t>Nicole Deese</t>
  </si>
  <si>
    <t>Deese, Nicole</t>
  </si>
  <si>
    <t>to-read (#607)</t>
  </si>
  <si>
    <t>My Refuge (Follow in the Dark, #1)</t>
  </si>
  <si>
    <t>Ashley Al Saliby</t>
  </si>
  <si>
    <t>Saliby, Ashley Al</t>
  </si>
  <si>
    <t>to-read (#606)</t>
  </si>
  <si>
    <t>Ghost River</t>
  </si>
  <si>
    <t>to-read (#605)</t>
  </si>
  <si>
    <t>Blood</t>
  </si>
  <si>
    <t>to-read (#604)</t>
  </si>
  <si>
    <t>The Inheritance Games (The Inheritance Games, #1)</t>
  </si>
  <si>
    <t>Jennifer Lynn Barnes</t>
  </si>
  <si>
    <t>Barnes, Jennifer Lynn</t>
  </si>
  <si>
    <t>to-read (#603)</t>
  </si>
  <si>
    <t>Powerless (The Powerless Trilogy, #1)</t>
  </si>
  <si>
    <t>Lauren  Roberts</t>
  </si>
  <si>
    <t>Roberts, Lauren</t>
  </si>
  <si>
    <t>to-read (#602)</t>
  </si>
  <si>
    <t>Song of Ebony (The Singer Tales #1)</t>
  </si>
  <si>
    <t>to-read (#601)</t>
  </si>
  <si>
    <t>The Love Note</t>
  </si>
  <si>
    <t>Joanna Davidson Politano</t>
  </si>
  <si>
    <t>Politano, Joanna Davidson</t>
  </si>
  <si>
    <t>Fleming H. Revell Company</t>
  </si>
  <si>
    <t>to-read (#600)</t>
  </si>
  <si>
    <t>The Sugar Queen</t>
  </si>
  <si>
    <t>Sarah Addison Allen</t>
  </si>
  <si>
    <t>Allen, Sarah Addison</t>
  </si>
  <si>
    <t>to-read (#599)</t>
  </si>
  <si>
    <t>Silverborn</t>
  </si>
  <si>
    <t>Hachette</t>
  </si>
  <si>
    <t>to-read (#598)</t>
  </si>
  <si>
    <t>Hollowpox: The Hunt for Morrigan Crow (Nevermoor, #3)</t>
  </si>
  <si>
    <t>to-read (#597)</t>
  </si>
  <si>
    <t>The Light Pirate</t>
  </si>
  <si>
    <t>Lily Brooks-Dalton</t>
  </si>
  <si>
    <t>Brooks-Dalton, Lily</t>
  </si>
  <si>
    <t>Grand Central Publishing</t>
  </si>
  <si>
    <t>to-read (#596)</t>
  </si>
  <si>
    <t>The Wild Robot (The Wild Robot, #1)</t>
  </si>
  <si>
    <t>Peter  Brown</t>
  </si>
  <si>
    <t>Brown, Peter</t>
  </si>
  <si>
    <t>to-read (#595)</t>
  </si>
  <si>
    <t>An Infamous Army (Alastair-Audley, #4)</t>
  </si>
  <si>
    <t>to-read (#594)</t>
  </si>
  <si>
    <t>Regency Buck (Alastair-Audley, #3)</t>
  </si>
  <si>
    <t>ARROW BOOKS</t>
  </si>
  <si>
    <t>to-read (#593)</t>
  </si>
  <si>
    <t>Devil's Cub (Alastair-Audley, #2)</t>
  </si>
  <si>
    <t>to-read (#592)</t>
  </si>
  <si>
    <t>Legacy of Roses: A Beauty and the Beast Tale (Kingdoms of Legacy #1)</t>
  </si>
  <si>
    <t>to-read (#591)</t>
  </si>
  <si>
    <t>Quests for Glory (The School for Good and Evil: The Camelot Years #1)</t>
  </si>
  <si>
    <t>Soman Chainani</t>
  </si>
  <si>
    <t>Chainani, Soman</t>
  </si>
  <si>
    <t>to-read (#590)</t>
  </si>
  <si>
    <t>Palace of Stone (Princess Academy, #2)</t>
  </si>
  <si>
    <t>Shannon Hale</t>
  </si>
  <si>
    <t>Hale, Shannon</t>
  </si>
  <si>
    <t>Bloomsbury Children's Books</t>
  </si>
  <si>
    <t>to-read (#589)</t>
  </si>
  <si>
    <t>Princess Academy (Princess Academy, #1)</t>
  </si>
  <si>
    <t>to-read (#588)</t>
  </si>
  <si>
    <t>Never Miss</t>
  </si>
  <si>
    <t>to-read (#587)</t>
  </si>
  <si>
    <t>Church Folk</t>
  </si>
  <si>
    <t>Michele Andrea Bowen</t>
  </si>
  <si>
    <t>Bowen, Michele Andrea</t>
  </si>
  <si>
    <t>Walk Worthy Press</t>
  </si>
  <si>
    <t>to-read (#586)</t>
  </si>
  <si>
    <t>The Meaning of Marriage: Facing the Complexities of Commitment with the Wisdom of God</t>
  </si>
  <si>
    <t>Kathy  Keller</t>
  </si>
  <si>
    <t xml:space="preserve">Dutton Adult </t>
  </si>
  <si>
    <t>Norse Mythology</t>
  </si>
  <si>
    <t>W. W. Norton &amp; Company</t>
  </si>
  <si>
    <t>to-read (#585)</t>
  </si>
  <si>
    <t>Fault Lines: The Social Justice Movement and Evangelicalism's Looming Catastrophe</t>
  </si>
  <si>
    <t>Voddie T. Baucham Jr.</t>
  </si>
  <si>
    <t>Jr., Voddie T. Baucham</t>
  </si>
  <si>
    <t>Salem Books</t>
  </si>
  <si>
    <t>to-read (#584)</t>
  </si>
  <si>
    <t>Waiting for Christmas</t>
  </si>
  <si>
    <t>to-read (#583)</t>
  </si>
  <si>
    <t>Gods and Kings (Chronicles of the Kings, #1)</t>
  </si>
  <si>
    <t>to-read (#582)</t>
  </si>
  <si>
    <t>Out of the Silent Planet (The Space Trilogy, #1)</t>
  </si>
  <si>
    <t>C.S. Lewis</t>
  </si>
  <si>
    <t>Lewis, C.S.</t>
  </si>
  <si>
    <t>to-read (#581)</t>
  </si>
  <si>
    <t>Science Fiction</t>
  </si>
  <si>
    <t>My Phony Valentine (Holidays with Hart, #1)</t>
  </si>
  <si>
    <t>Courtney Walsh</t>
  </si>
  <si>
    <t>Walsh, Courtney</t>
  </si>
  <si>
    <t>Sweethaven Press</t>
  </si>
  <si>
    <t>to-read (#580)</t>
  </si>
  <si>
    <t>Lost: A Christmas Novella</t>
  </si>
  <si>
    <t>Jenny Schwartz</t>
  </si>
  <si>
    <t>Schwartz, Jenny</t>
  </si>
  <si>
    <t>to-read (#579)</t>
  </si>
  <si>
    <t>The God of the Woods</t>
  </si>
  <si>
    <t>Liz    Moore</t>
  </si>
  <si>
    <t>Moore, Liz</t>
  </si>
  <si>
    <t>Riverhead Books</t>
  </si>
  <si>
    <t>to-read (#578)</t>
  </si>
  <si>
    <t>Persuasion</t>
  </si>
  <si>
    <t>Deidre Shauna Lynch, James Kinsley</t>
  </si>
  <si>
    <t>Oxford University Press</t>
  </si>
  <si>
    <t>to-read (#577)</t>
  </si>
  <si>
    <t>The Shadow of the Wind (The Cemetery of Forgotten Books, #1)</t>
  </si>
  <si>
    <t>Carlos Ruiz ZafÃ³n</t>
  </si>
  <si>
    <t>ZafÃ³n, Carlos Ruiz</t>
  </si>
  <si>
    <t>Lucia Graves</t>
  </si>
  <si>
    <t>to-read (#576)</t>
  </si>
  <si>
    <t>The Night Circus</t>
  </si>
  <si>
    <t>Erin Morgenstern</t>
  </si>
  <si>
    <t>Morgenstern, Erin</t>
  </si>
  <si>
    <t>to-read (#575)</t>
  </si>
  <si>
    <t>Anna Karenina</t>
  </si>
  <si>
    <t>Leo Tolstoy</t>
  </si>
  <si>
    <t>Tolstoy, Leo</t>
  </si>
  <si>
    <t>Aylmer Maude, Louise Maude, Dieter Wellershoff, Bruno Goetz, Lev Tolstoj, LÃ©on TolstoÃ¯</t>
  </si>
  <si>
    <t>Vintage</t>
  </si>
  <si>
    <t>to-read (#574)</t>
  </si>
  <si>
    <t>The Song of Achilles</t>
  </si>
  <si>
    <t>Madeline Miller</t>
  </si>
  <si>
    <t>Miller, Madeline</t>
  </si>
  <si>
    <t>Ecco</t>
  </si>
  <si>
    <t>to-read (#573)</t>
  </si>
  <si>
    <t>The Count of Monte Cristo</t>
  </si>
  <si>
    <t>Alexandre Dumas</t>
  </si>
  <si>
    <t>Dumas, Alexandre</t>
  </si>
  <si>
    <t>Robin Buss</t>
  </si>
  <si>
    <t>Penguin Classics</t>
  </si>
  <si>
    <t>to-read (#572)</t>
  </si>
  <si>
    <t>To Crack a Soldier: A Nutcracker Retelling (The Shattered Tales, #9)</t>
  </si>
  <si>
    <t>to-read (#571)</t>
  </si>
  <si>
    <t>Christmas at Sugar Plum Manor</t>
  </si>
  <si>
    <t>The Queen's Cook (Queen Esther's Court, #1)</t>
  </si>
  <si>
    <t>Tessa Afshar</t>
  </si>
  <si>
    <t>Afshar, Tessa</t>
  </si>
  <si>
    <t>to-read (#570)</t>
  </si>
  <si>
    <t>Christmas in the Castle Library</t>
  </si>
  <si>
    <t>Ann Swindell</t>
  </si>
  <si>
    <t>Swindell, Ann</t>
  </si>
  <si>
    <t>White Crown Publishing</t>
  </si>
  <si>
    <t>to-read (#569)</t>
  </si>
  <si>
    <t>A Time to Die (Out of Time, #1)</t>
  </si>
  <si>
    <t>Nadine Brandes</t>
  </si>
  <si>
    <t>Brandes, Nadine</t>
  </si>
  <si>
    <t>to-read (#568)</t>
  </si>
  <si>
    <t>Rent Yourself an Elf</t>
  </si>
  <si>
    <t>Savannah Scott</t>
  </si>
  <si>
    <t>Scott, Savannah</t>
  </si>
  <si>
    <t>to-read (#567)</t>
  </si>
  <si>
    <t>City Spies (City Spies, #1)</t>
  </si>
  <si>
    <t>James Ponti</t>
  </si>
  <si>
    <t>Ponti, James</t>
  </si>
  <si>
    <t>to-read (#566)</t>
  </si>
  <si>
    <t>Lady of Disguise (The Dericott Tales, #6)</t>
  </si>
  <si>
    <t>Melanie Dickerson</t>
  </si>
  <si>
    <t>Dickerson, Melanie</t>
  </si>
  <si>
    <t>to-read (#565)</t>
  </si>
  <si>
    <t>Forgotten God: Reversing Our Tragic Neglect of the Holy Spirit</t>
  </si>
  <si>
    <t>Francis Chan</t>
  </si>
  <si>
    <t>Chan, Francis</t>
  </si>
  <si>
    <t>Danae Yankoski</t>
  </si>
  <si>
    <t>David C Cook</t>
  </si>
  <si>
    <t>to-read (#564)</t>
  </si>
  <si>
    <t>Emily Wilde's Compendium of Lost Tales (Emily Wilde, #3)</t>
  </si>
  <si>
    <t>Heather Fawcett</t>
  </si>
  <si>
    <t>Fawcett, Heather</t>
  </si>
  <si>
    <t>to-read (#563)</t>
  </si>
  <si>
    <t>Masquerade at Middlecrest Abbey (Regency Mysteries, #3)</t>
  </si>
  <si>
    <t>Abigail Wilson</t>
  </si>
  <si>
    <t>Wilson, Abigail</t>
  </si>
  <si>
    <t>to-read (#562)</t>
  </si>
  <si>
    <t>Sleigh Belles (Belles and Whistles #2)</t>
  </si>
  <si>
    <t>Janice Hanna</t>
  </si>
  <si>
    <t>Hanna, Janice</t>
  </si>
  <si>
    <t>Summerside</t>
  </si>
  <si>
    <t>to-read (#561)</t>
  </si>
  <si>
    <t>Winter of the Wandering Wind: A Flying Dutchman Retelling (Seasons of Music and Magic, #4)</t>
  </si>
  <si>
    <t>to-read (#560)</t>
  </si>
  <si>
    <t>My Fair Mermaid (Tales of Eukarya)</t>
  </si>
  <si>
    <t>to-read (#559)</t>
  </si>
  <si>
    <t>To Swoon and to Spar (The Regency Vows, #4)</t>
  </si>
  <si>
    <t>Martha Waters</t>
  </si>
  <si>
    <t>Waters, Martha</t>
  </si>
  <si>
    <t>to-read (#558)</t>
  </si>
  <si>
    <t>To Have and to Hoax (The Regency Vows, #1)</t>
  </si>
  <si>
    <t>to-read (#556)</t>
  </si>
  <si>
    <t>To Love and to Loathe (The Regency Vows, #2)</t>
  </si>
  <si>
    <t>to-read (#557)</t>
  </si>
  <si>
    <t>Donate (Eyes Forward #1)</t>
  </si>
  <si>
    <t>Emma   Ellis</t>
  </si>
  <si>
    <t>Ellis, Emma</t>
  </si>
  <si>
    <t>to-read (#555)</t>
  </si>
  <si>
    <t>Vera Wong's Guide to Snooping [on a Dead Man] (Vera Wong, #2)</t>
  </si>
  <si>
    <t>to-read (#554)</t>
  </si>
  <si>
    <t>I've Got Questions: The Spiritual Practice of Having It Out with God</t>
  </si>
  <si>
    <t>Erin   Hicks Moon</t>
  </si>
  <si>
    <t>Moon, Erin Hicks</t>
  </si>
  <si>
    <t>Sarah Bessey</t>
  </si>
  <si>
    <t>Baker Books</t>
  </si>
  <si>
    <t>to-read (#553)</t>
  </si>
  <si>
    <t>The Madman of Piney Woods (Scholastic Gold)</t>
  </si>
  <si>
    <t>Christopher Paul Curtis</t>
  </si>
  <si>
    <t>Curtis, Christopher Paul</t>
  </si>
  <si>
    <t>to-read (#552)</t>
  </si>
  <si>
    <t>Bud, Not Buddy</t>
  </si>
  <si>
    <t>to-read (#551)</t>
  </si>
  <si>
    <t>The Mighty Miss Malone</t>
  </si>
  <si>
    <t>Wendy Lamb Books</t>
  </si>
  <si>
    <t>to-read (#550)</t>
  </si>
  <si>
    <t>The Innkeeper of Ivy Hill (Tales from Ivy Hill, #1)</t>
  </si>
  <si>
    <t>Julie Klassen</t>
  </si>
  <si>
    <t>Klassen, Julie</t>
  </si>
  <si>
    <t>to-read (#549)</t>
  </si>
  <si>
    <t>Prisoner B-3087</t>
  </si>
  <si>
    <t>Alan Gratz</t>
  </si>
  <si>
    <t>Gratz, Alan</t>
  </si>
  <si>
    <t>Scholastic Inc.</t>
  </si>
  <si>
    <t>to-read (#548)</t>
  </si>
  <si>
    <t>Chains (Seeds of America, #1)</t>
  </si>
  <si>
    <t>Laurie Halse Anderson</t>
  </si>
  <si>
    <t>Anderson, Laurie Halse</t>
  </si>
  <si>
    <t>Atheneum</t>
  </si>
  <si>
    <t>to-read (#547)</t>
  </si>
  <si>
    <t>Martin Luther: Lessons From His Life and Labor</t>
  </si>
  <si>
    <t>John      Piper</t>
  </si>
  <si>
    <t>Piper, John</t>
  </si>
  <si>
    <t>Desiring God Foundation</t>
  </si>
  <si>
    <t>to-read (#546)</t>
  </si>
  <si>
    <t>Happily Ever After: Finding Grace in the Messes of Marriage</t>
  </si>
  <si>
    <t>Francis Chan, Douglas Wilson, Jasmine Holmes, David Mathis, Stacy Reaoch, Marshall Segal, Josh Squires, Adrien Segal, Kim Cash Tate, Donald S. Whitney, Nancy DeMoss Wolgemuth</t>
  </si>
  <si>
    <t>Desiring God</t>
  </si>
  <si>
    <t>to-read (#545)</t>
  </si>
  <si>
    <t>Shaped by God: Thinking and Feeling in Tune with the Psalms</t>
  </si>
  <si>
    <t>to-read (#544)</t>
  </si>
  <si>
    <t>The Misery of Job and the Mercy of God</t>
  </si>
  <si>
    <t>Ric Ergenbright</t>
  </si>
  <si>
    <t>Crossway Books</t>
  </si>
  <si>
    <t>to-read (#543)</t>
  </si>
  <si>
    <t>Thinking. Loving. Doing.</t>
  </si>
  <si>
    <t>David Mathis, R. Albert Mohler Jr.</t>
  </si>
  <si>
    <t>Crossway</t>
  </si>
  <si>
    <t>to-read (#542)</t>
  </si>
  <si>
    <t>Living in the Light</t>
  </si>
  <si>
    <t>The Good Book Company</t>
  </si>
  <si>
    <t>to-read (#541)</t>
  </si>
  <si>
    <t>The Justification of God: An Exegetical and Theological Study of Romans 9:1-23</t>
  </si>
  <si>
    <t>Baker Academic</t>
  </si>
  <si>
    <t>to-read (#540)</t>
  </si>
  <si>
    <t>A Sweet and Bitter Providence: Sex, Race, and the Sovereignty of God</t>
  </si>
  <si>
    <t>to-read (#539)</t>
  </si>
  <si>
    <t>Reading the Bible Supernaturally: Seeing and Savoring the Glory of God in Scripture</t>
  </si>
  <si>
    <t>to-read (#538)</t>
  </si>
  <si>
    <t>Bloodlines: Race, Cross, and the Christian</t>
  </si>
  <si>
    <t>to-read (#537)</t>
  </si>
  <si>
    <t>Murder After Christmas</t>
  </si>
  <si>
    <t>Rupert Latimer</t>
  </si>
  <si>
    <t>Latimer, Rupert</t>
  </si>
  <si>
    <t>Martin Edwards</t>
  </si>
  <si>
    <t>British Library Publishing</t>
  </si>
  <si>
    <t>to-read (#536)</t>
  </si>
  <si>
    <t>Midnight in Everwood</t>
  </si>
  <si>
    <t>M.A. Kuzniar</t>
  </si>
  <si>
    <t>Kuzniar, M.A.</t>
  </si>
  <si>
    <t>Maria Kuzniar</t>
  </si>
  <si>
    <t>HQ</t>
  </si>
  <si>
    <t>to-read (#535)</t>
  </si>
  <si>
    <t>City of Serpents (The Secrets of Ormdale, #4)</t>
  </si>
  <si>
    <t>A Christmas Family Tradition (Learning God's Word with Emma &amp; Oliver)</t>
  </si>
  <si>
    <t>Breanna Oropeza</t>
  </si>
  <si>
    <t>Oropeza, Breanna</t>
  </si>
  <si>
    <t>Silly Lilly, Easter is about God: Learning God's Word with Emma and Oliver (Learning God's Word with Emma &amp; Oliver)</t>
  </si>
  <si>
    <t>Worst Case Scenario</t>
  </si>
  <si>
    <t>T.J. Newman</t>
  </si>
  <si>
    <t>Newman, T.J.</t>
  </si>
  <si>
    <t>to-read (#534)</t>
  </si>
  <si>
    <t>Candle Island</t>
  </si>
  <si>
    <t>Lauren Wolk</t>
  </si>
  <si>
    <t>Wolk, Lauren</t>
  </si>
  <si>
    <t>Dutton Books for Young Readers</t>
  </si>
  <si>
    <t>to-read (#533)</t>
  </si>
  <si>
    <t>Beyond the Bright Sea</t>
  </si>
  <si>
    <t>to-read (#532)</t>
  </si>
  <si>
    <t>The Lost Ticket</t>
  </si>
  <si>
    <t>Freya Sampson</t>
  </si>
  <si>
    <t>Sampson, Freya</t>
  </si>
  <si>
    <t>to-read (#531)</t>
  </si>
  <si>
    <t>Demon Copperhead</t>
  </si>
  <si>
    <t>Barbara Kingsolver</t>
  </si>
  <si>
    <t>Kingsolver, Barbara</t>
  </si>
  <si>
    <t>Harper</t>
  </si>
  <si>
    <t>to-read (#530)</t>
  </si>
  <si>
    <t>Better Watch Out (Defensemen Romantic Holiday Adventure #1)</t>
  </si>
  <si>
    <t>Natalie Walters</t>
  </si>
  <si>
    <t>Walters, Natalie</t>
  </si>
  <si>
    <t>TNK Publications</t>
  </si>
  <si>
    <t>to-read (#529)</t>
  </si>
  <si>
    <t>Carol of the Rooms</t>
  </si>
  <si>
    <t>Diana Leagh Matthews</t>
  </si>
  <si>
    <t>Matthews, Diana Leagh</t>
  </si>
  <si>
    <t>Elk Lake Publishing, Inc.</t>
  </si>
  <si>
    <t>to-read (#528)</t>
  </si>
  <si>
    <t>Trouble Island</t>
  </si>
  <si>
    <t>Sharon Short</t>
  </si>
  <si>
    <t>Short, Sharon</t>
  </si>
  <si>
    <t>Minotaur Books</t>
  </si>
  <si>
    <t>to-read (#527)</t>
  </si>
  <si>
    <t>The German Daughter</t>
  </si>
  <si>
    <t>Marius Gabriel</t>
  </si>
  <si>
    <t>Gabriel, Marius</t>
  </si>
  <si>
    <t>Embla Books</t>
  </si>
  <si>
    <t>to-read (#526)</t>
  </si>
  <si>
    <t>The Mountains Sing</t>
  </si>
  <si>
    <t>Nguyá»…n Phan Quáº¿ Mai</t>
  </si>
  <si>
    <t>Mai, Nguyá»…n Phan Quáº¿</t>
  </si>
  <si>
    <t>Algonquin Books</t>
  </si>
  <si>
    <t>to-read (#525)</t>
  </si>
  <si>
    <t>The Wintringham Mystery</t>
  </si>
  <si>
    <t>Anthony Berkeley</t>
  </si>
  <si>
    <t>Berkeley, Anthony</t>
  </si>
  <si>
    <t>Tony Medawar</t>
  </si>
  <si>
    <t>Collins Crime Club</t>
  </si>
  <si>
    <t>to-read (#524)</t>
  </si>
  <si>
    <t>In the Shelter of Hollythorne House (The Houses of Yorkshire #2)</t>
  </si>
  <si>
    <t>Sarah E. Ladd</t>
  </si>
  <si>
    <t>Ladd, Sarah E.</t>
  </si>
  <si>
    <t>to-read (#523)</t>
  </si>
  <si>
    <t>The Letter from Briarton Park (The Houses of Yorkshire, #1)</t>
  </si>
  <si>
    <t>to-read (#522)</t>
  </si>
  <si>
    <t>The Cloverton Charade (The Houses of Yorkshire, #3)</t>
  </si>
  <si>
    <t>to-read (#521)</t>
  </si>
  <si>
    <t>Ahoti: A Story of Tamar</t>
  </si>
  <si>
    <t>Miriam Feinberg Vamosh</t>
  </si>
  <si>
    <t>Vamosh, Miriam Feinberg</t>
  </si>
  <si>
    <t>Eva Marie Everson</t>
  </si>
  <si>
    <t>Paraclete Press</t>
  </si>
  <si>
    <t>to-read (#520)</t>
  </si>
  <si>
    <t>A Hope Unburied (Treasures of the Earth, #3)</t>
  </si>
  <si>
    <t>to-read (#519)</t>
  </si>
  <si>
    <t>The Grand Sophy</t>
  </si>
  <si>
    <t>to-read (#518)</t>
  </si>
  <si>
    <t>I'm Afraid You've Got Dragons</t>
  </si>
  <si>
    <t>Peter S. Beagle</t>
  </si>
  <si>
    <t>Beagle, Peter S.</t>
  </si>
  <si>
    <t>Saga Press</t>
  </si>
  <si>
    <t>to-read (#517)</t>
  </si>
  <si>
    <t>What Comes of Attending the Commoners Ball</t>
  </si>
  <si>
    <t>Elisabeth Aimee Brown</t>
  </si>
  <si>
    <t>Brown, Elisabeth Aimee</t>
  </si>
  <si>
    <t>Metaphorical Cello Press</t>
  </si>
  <si>
    <t>to-read (#516)</t>
  </si>
  <si>
    <t>Fry Bread: A Native American Family Story</t>
  </si>
  <si>
    <t>Kevin Noble Maillard</t>
  </si>
  <si>
    <t>Maillard, Kevin Noble</t>
  </si>
  <si>
    <t>Juana Martinez-Neal</t>
  </si>
  <si>
    <t>Roaring Brook Press</t>
  </si>
  <si>
    <t>Bowwow Powwow : Bagosenjige-niimi'idim</t>
  </si>
  <si>
    <t>Brenda J. Child</t>
  </si>
  <si>
    <t>Child, Brenda J.</t>
  </si>
  <si>
    <t>Jonathan Thunder, Gordon Jourdain</t>
  </si>
  <si>
    <t>Minnesota Historical Society Press</t>
  </si>
  <si>
    <t>Across the Ages (Timeless, #4)</t>
  </si>
  <si>
    <t>to-read (#515)</t>
  </si>
  <si>
    <t>A Sinister Revenge (Veronica Speedwell, #8)</t>
  </si>
  <si>
    <t>Danger for a Duchess (Duchess of Blackmoore Mysteries #4)</t>
  </si>
  <si>
    <t>Nellie H. Steele</t>
  </si>
  <si>
    <t>Steele, Nellie H.</t>
  </si>
  <si>
    <t>A Novel Idea Publishing, LLC</t>
  </si>
  <si>
    <t>to-read (#514)</t>
  </si>
  <si>
    <t>Asylum for a Duchess (Duchess of Blackmoore Mysteries #3)</t>
  </si>
  <si>
    <t>to-read (#513)</t>
  </si>
  <si>
    <t>Letter to a Duchess (Duchess of Blackmoore Mysteries #2)</t>
  </si>
  <si>
    <t>to-read (#512)</t>
  </si>
  <si>
    <t>Death of a Duchess (Duchess of Blackmoore Mysteries #1)</t>
  </si>
  <si>
    <t>to-read (#511)</t>
  </si>
  <si>
    <t>An Impossible Impostor (Veronica Speedwell, #7)</t>
  </si>
  <si>
    <t>The Lost Rose (The Chronicles of Elira)</t>
  </si>
  <si>
    <t>Victoria     Lynn</t>
  </si>
  <si>
    <t>Lynn, Victoria</t>
  </si>
  <si>
    <t>Glory Writers Press</t>
  </si>
  <si>
    <t>Unknown Binding</t>
  </si>
  <si>
    <t>to-read (#510)</t>
  </si>
  <si>
    <t>Sky of Seven Colors</t>
  </si>
  <si>
    <t>Rachelle  Nelson</t>
  </si>
  <si>
    <t>Nelson, Rachelle</t>
  </si>
  <si>
    <t>to-read (#509)</t>
  </si>
  <si>
    <t>Of Love and Treason</t>
  </si>
  <si>
    <t>Jamie Ogle</t>
  </si>
  <si>
    <t>Ogle, Jamie</t>
  </si>
  <si>
    <t>to-read (#508)</t>
  </si>
  <si>
    <t>The Whispererâ€™s Wish</t>
  </si>
  <si>
    <t>Janilise Lloyd</t>
  </si>
  <si>
    <t>Lloyd, Janilise</t>
  </si>
  <si>
    <t>Expanse Books</t>
  </si>
  <si>
    <t>to-read (#507)</t>
  </si>
  <si>
    <t>An Unexpected Peril (Veronica Speedwell, #6)</t>
  </si>
  <si>
    <t>Not a Tame Lion: The Life, Teachings, and Legacy of C.S. Lewis</t>
  </si>
  <si>
    <t>Terry W. Glaspey</t>
  </si>
  <si>
    <t>Glaspey, Terry W.</t>
  </si>
  <si>
    <t>Moody Publishers</t>
  </si>
  <si>
    <t>to-read (#353)</t>
  </si>
  <si>
    <t>The Last Tale of the Flower Bride</t>
  </si>
  <si>
    <t>Roshani Chokshi</t>
  </si>
  <si>
    <t>Chokshi, Roshani</t>
  </si>
  <si>
    <t>William Morrow</t>
  </si>
  <si>
    <t>to-read (#506)</t>
  </si>
  <si>
    <t>Emily Wilde's Encyclopaedia of Faeries (Emily Wilde, #1)</t>
  </si>
  <si>
    <t>to-read (#505)</t>
  </si>
  <si>
    <t>The Echo of Old Books</t>
  </si>
  <si>
    <t>Barbara  Davis</t>
  </si>
  <si>
    <t>Davis, Barbara</t>
  </si>
  <si>
    <t>Lake Union Publishing</t>
  </si>
  <si>
    <t>to-read (#504)</t>
  </si>
  <si>
    <t>The Keeper of Hidden Books</t>
  </si>
  <si>
    <t>Madeline  Martin</t>
  </si>
  <si>
    <t>Martin, Madeline</t>
  </si>
  <si>
    <t>Hanover Square Press</t>
  </si>
  <si>
    <t>to-read (#503)</t>
  </si>
  <si>
    <t>A Dangerous Collaboration (Veronica Speedwell, #4)</t>
  </si>
  <si>
    <t>FiancÃ© Finale</t>
  </si>
  <si>
    <t>Angela Ruth Strong</t>
  </si>
  <si>
    <t>Strong, Angela Ruth</t>
  </si>
  <si>
    <t>to-read (#502)</t>
  </si>
  <si>
    <t>Marrying Miss Milton  (Brides of Brighton #2)</t>
  </si>
  <si>
    <t>Ashtyn Newbold</t>
  </si>
  <si>
    <t>Newbold, Ashtyn</t>
  </si>
  <si>
    <t>The Honey Witch</t>
  </si>
  <si>
    <t>Sydney J. Shields</t>
  </si>
  <si>
    <t>Shields, Sydney J.</t>
  </si>
  <si>
    <t>Redhook</t>
  </si>
  <si>
    <t>to-read (#501)</t>
  </si>
  <si>
    <t>Adorning the Dark: Thoughts on Community, Calling, and the Mystery of Making</t>
  </si>
  <si>
    <t>B&amp;H Books</t>
  </si>
  <si>
    <t>to-read (#500)</t>
  </si>
  <si>
    <t>Bad Girls of the Bible: And What We Can Learn from Them</t>
  </si>
  <si>
    <t>Liz Curtis Higgs</t>
  </si>
  <si>
    <t>Higgs, Liz Curtis</t>
  </si>
  <si>
    <t>Waterbrook Press</t>
  </si>
  <si>
    <t>Miracles and Massacres: True and Untold Stories of the Making of America</t>
  </si>
  <si>
    <t>to-read (#499)</t>
  </si>
  <si>
    <t>Glenn Beck's Common Sense: The Case Against an Out-of-Control Government, Inspired by Thomas Paine</t>
  </si>
  <si>
    <t>to-read (#498)</t>
  </si>
  <si>
    <t>The Overton Window (Overton Window, #1)</t>
  </si>
  <si>
    <t>James Daniels</t>
  </si>
  <si>
    <t>Simon &amp; Schuster Audio</t>
  </si>
  <si>
    <t>Audio CD</t>
  </si>
  <si>
    <t>to-read (#497)</t>
  </si>
  <si>
    <t>Arguing with Idiots: How to Stop Small Minds and Big Government</t>
  </si>
  <si>
    <t>Kevin Balfe</t>
  </si>
  <si>
    <t>to-read (#496)</t>
  </si>
  <si>
    <t>Justice</t>
  </si>
  <si>
    <t>Emily Conrad</t>
  </si>
  <si>
    <t>Conrad, Emily</t>
  </si>
  <si>
    <t>White Rose Publishing</t>
  </si>
  <si>
    <t>to-read (#495)</t>
  </si>
  <si>
    <t>The Ten Thousand Doors of January</t>
  </si>
  <si>
    <t>Alix E. Harrow</t>
  </si>
  <si>
    <t>Harrow, Alix E.</t>
  </si>
  <si>
    <t>to-read (#494)</t>
  </si>
  <si>
    <t>A Grave Robbery (Veronica Speedwell, #9)</t>
  </si>
  <si>
    <t>to-read (#493)</t>
  </si>
  <si>
    <t>Hummingbird</t>
  </si>
  <si>
    <t>Natalie Lloyd</t>
  </si>
  <si>
    <t>Lloyd, Natalie</t>
  </si>
  <si>
    <t>to-read (#492)</t>
  </si>
  <si>
    <t>Some Like It Scot</t>
  </si>
  <si>
    <t>to-read (#491)</t>
  </si>
  <si>
    <t>Piercing the Darkness (Darkness, #2)</t>
  </si>
  <si>
    <t>Frank E. Peretti</t>
  </si>
  <si>
    <t>Peretti, Frank E.</t>
  </si>
  <si>
    <t>Wanda AssumpÃ§Ã£o</t>
  </si>
  <si>
    <t>to-read (#490)</t>
  </si>
  <si>
    <t>This Present Darkness (Darkness, #1)</t>
  </si>
  <si>
    <t>to-read (#489)</t>
  </si>
  <si>
    <t>Raising Dragons (Dragons in Our Midst, #1)</t>
  </si>
  <si>
    <t>Bryan  Davis</t>
  </si>
  <si>
    <t>Davis, Bryan</t>
  </si>
  <si>
    <t>Scrub Jay Journeys</t>
  </si>
  <si>
    <t>to-read (#488)</t>
  </si>
  <si>
    <t>Three Men in a Boat and Three Men on the Bummel</t>
  </si>
  <si>
    <t>Jerome K. Jerome</t>
  </si>
  <si>
    <t>Jerome, Jerome K.</t>
  </si>
  <si>
    <t>Jeremy Lewis</t>
  </si>
  <si>
    <t>to-read (#487)</t>
  </si>
  <si>
    <t>Frederica</t>
  </si>
  <si>
    <t>to-read (#486)</t>
  </si>
  <si>
    <t>Arabella</t>
  </si>
  <si>
    <t>Arrow Books Ltd.</t>
  </si>
  <si>
    <t>to-read (#485)</t>
  </si>
  <si>
    <t>Life Among the Savages</t>
  </si>
  <si>
    <t>Shirley Jackson</t>
  </si>
  <si>
    <t>Jackson, Shirley</t>
  </si>
  <si>
    <t>to-read (#484)</t>
  </si>
  <si>
    <t>How to Stay Married: The Most Insane Love Story Ever Told</t>
  </si>
  <si>
    <t>Harrison Scott Key</t>
  </si>
  <si>
    <t>Key, Harrison Scott</t>
  </si>
  <si>
    <t>to-read (#483)</t>
  </si>
  <si>
    <t>Cooking to Death: Stirring the Pot (The Ghost Texter Paranormal Cozy Mystery Series Book 1)</t>
  </si>
  <si>
    <t>Marcy Blesy</t>
  </si>
  <si>
    <t>Blesy, Marcy</t>
  </si>
  <si>
    <t>Marcy A. Blesy, LLC</t>
  </si>
  <si>
    <t>to-read (#482)</t>
  </si>
  <si>
    <t>A Ruse of Shadows (Lady Sherlock, #8)</t>
  </si>
  <si>
    <t>Sherry Thomas</t>
  </si>
  <si>
    <t>Thomas, Sherry</t>
  </si>
  <si>
    <t>to-read (#481)</t>
  </si>
  <si>
    <t>Emily Wilde's Map of the Otherlands</t>
  </si>
  <si>
    <t>to-read (#480)</t>
  </si>
  <si>
    <t>Emily Wildeâ€™s Map of the Otherlands (Emily Wilde, #2)</t>
  </si>
  <si>
    <t>to-read (#479)</t>
  </si>
  <si>
    <t>This Dreamer (The Chronicles of the Marked, #1)</t>
  </si>
  <si>
    <t>Sara Watterson</t>
  </si>
  <si>
    <t>Watterson, Sara</t>
  </si>
  <si>
    <t>Inevah Press</t>
  </si>
  <si>
    <t>to-read (#478)</t>
  </si>
  <si>
    <t>Shadows of Swanford Abbey</t>
  </si>
  <si>
    <t>Under the Broken Sky</t>
  </si>
  <si>
    <t>Mariko Nagai</t>
  </si>
  <si>
    <t>Nagai, Mariko</t>
  </si>
  <si>
    <t>Macmillan</t>
  </si>
  <si>
    <t>to-read (#477)</t>
  </si>
  <si>
    <t>The Graveyard Book</t>
  </si>
  <si>
    <t>Dave McKean</t>
  </si>
  <si>
    <t>Moon Over Manifest</t>
  </si>
  <si>
    <t>Clare Vanderpool</t>
  </si>
  <si>
    <t>Vanderpool, Clare</t>
  </si>
  <si>
    <t>to-read (#476)</t>
  </si>
  <si>
    <t>Dead End in Norvelt (Norvelt, #1)</t>
  </si>
  <si>
    <t>Jack Gantos</t>
  </si>
  <si>
    <t>Gantos, Jack</t>
  </si>
  <si>
    <t>Farrar, Straus and Giroux (BYR)</t>
  </si>
  <si>
    <t>to-read (#475)</t>
  </si>
  <si>
    <t>The Girl Who Drank the Moon: Special Preview - The First 9 Chapters plus Bonus Materials</t>
  </si>
  <si>
    <t>Algonquin Young Readers</t>
  </si>
  <si>
    <t>to-read (#474)</t>
  </si>
  <si>
    <t>LAST STOP ON MARKET STREET: A Magical Journey Through the City: New Illustrated Version 2024 (The Hidden Wonders)</t>
  </si>
  <si>
    <t>Muhammad Adeel</t>
  </si>
  <si>
    <t>Adeel, Muhammad</t>
  </si>
  <si>
    <t>to-read (#473)</t>
  </si>
  <si>
    <t>Christmas at Harrington's</t>
  </si>
  <si>
    <t>Melody Carlson</t>
  </si>
  <si>
    <t>Carlson, Melody</t>
  </si>
  <si>
    <t>to-read (#472)</t>
  </si>
  <si>
    <t>Old MacDonald Had Her Farm</t>
  </si>
  <si>
    <t>JonArno Lawson</t>
  </si>
  <si>
    <t>Lawson, JonArno</t>
  </si>
  <si>
    <t>Tina Holdcroft</t>
  </si>
  <si>
    <t>Annick Press</t>
  </si>
  <si>
    <t>Calling on the Matchmaker (A Shanahan Match #1)</t>
  </si>
  <si>
    <t>Jody Hedlund</t>
  </si>
  <si>
    <t>Hedlund, Jody</t>
  </si>
  <si>
    <t>to-read (#471)</t>
  </si>
  <si>
    <t>A Reluctant Bride (The Bride Ships, #1)</t>
  </si>
  <si>
    <t>to-read (#470)</t>
  </si>
  <si>
    <t>An Uncertain Choice (An Uncertain Choice, #1)</t>
  </si>
  <si>
    <t>Zonderkidz</t>
  </si>
  <si>
    <t>to-read (#469)</t>
  </si>
  <si>
    <t>Saved by the Matchmaker (A Shanahan Match, #2)</t>
  </si>
  <si>
    <t>to-read (#468)</t>
  </si>
  <si>
    <t>Brand of Light (The Droseran Saga, #1)</t>
  </si>
  <si>
    <t>Ronie Kendig</t>
  </si>
  <si>
    <t>Kendig, Ronie</t>
  </si>
  <si>
    <t>to-read (#467)</t>
  </si>
  <si>
    <t>The Blue Castle</t>
  </si>
  <si>
    <t>L.M. Montgomery</t>
  </si>
  <si>
    <t>Montgomery, L.M.</t>
  </si>
  <si>
    <t>Bantam Books</t>
  </si>
  <si>
    <t>to-read (#466)</t>
  </si>
  <si>
    <t>Forget Me Not</t>
  </si>
  <si>
    <t>Ellie Terry</t>
  </si>
  <si>
    <t>Terry, Ellie</t>
  </si>
  <si>
    <t>to-read (#465)</t>
  </si>
  <si>
    <t>Poison Study (Study, #1)</t>
  </si>
  <si>
    <t>Maria V. Snyder</t>
  </si>
  <si>
    <t>Snyder, Maria V.</t>
  </si>
  <si>
    <t>Mira</t>
  </si>
  <si>
    <t>to-read (#464)</t>
  </si>
  <si>
    <t>The Christmas Tree Farm</t>
  </si>
  <si>
    <t>to-read (#463)</t>
  </si>
  <si>
    <t>Boo (The Boo Series #1)</t>
  </si>
  <si>
    <t>Rene Gutteridge</t>
  </si>
  <si>
    <t>Gutteridge, Rene</t>
  </si>
  <si>
    <t>PRH Christian Publishing</t>
  </si>
  <si>
    <t>Boo Humbug (The Boo Series #4)</t>
  </si>
  <si>
    <t>to-read (#462)</t>
  </si>
  <si>
    <t>Boo Hiss (The Boo Series #3)</t>
  </si>
  <si>
    <t>to-read (#461)</t>
  </si>
  <si>
    <t>Boo Who (The Boo Series #2)</t>
  </si>
  <si>
    <t>to-read (#460)</t>
  </si>
  <si>
    <t>The Vanishing Half</t>
  </si>
  <si>
    <t>Brit Bennett</t>
  </si>
  <si>
    <t>Bennett, Brit</t>
  </si>
  <si>
    <t>to-read (#459)</t>
  </si>
  <si>
    <t>The Midnight Library</t>
  </si>
  <si>
    <t>Matt Haig</t>
  </si>
  <si>
    <t>Haig, Matt</t>
  </si>
  <si>
    <t>to-read (#458)</t>
  </si>
  <si>
    <t>The Christmas Catch</t>
  </si>
  <si>
    <t>to-read (#457)</t>
  </si>
  <si>
    <t>Perfect Nightmare</t>
  </si>
  <si>
    <t>John Saul</t>
  </si>
  <si>
    <t>Saul, John</t>
  </si>
  <si>
    <t>to-read (#456)</t>
  </si>
  <si>
    <t>Kingdom's Dawn (Kingdom, #1)</t>
  </si>
  <si>
    <t>Chuck Black</t>
  </si>
  <si>
    <t>Black, Chuck</t>
  </si>
  <si>
    <t>to-read (#455)</t>
  </si>
  <si>
    <t>The Desert Princess (Return to the Four Kingdoms, #3)</t>
  </si>
  <si>
    <t>to-read (#454)</t>
  </si>
  <si>
    <t>The Foundling</t>
  </si>
  <si>
    <t>Stacey Halls</t>
  </si>
  <si>
    <t>Halls, Stacey</t>
  </si>
  <si>
    <t>MIRA</t>
  </si>
  <si>
    <t>to-read (#453)</t>
  </si>
  <si>
    <t>Gone with the Twins (League of Literary Ladies #5)</t>
  </si>
  <si>
    <t>Kylie Logan</t>
  </si>
  <si>
    <t>Logan, Kylie</t>
  </si>
  <si>
    <t>to-read (#452)</t>
  </si>
  <si>
    <t>And Then There Were Nuns (League of Literary Ladies #4)</t>
  </si>
  <si>
    <t>to-read (#451)</t>
  </si>
  <si>
    <t>The Legend of Sleepy Harlow (League of Literary Ladies #3)</t>
  </si>
  <si>
    <t>to-read (#450)</t>
  </si>
  <si>
    <t>A Tale of Two Biddies  (League of Literary Ladies #2)</t>
  </si>
  <si>
    <t>to-read (#449)</t>
  </si>
  <si>
    <t>Mayhem at the Orient Express (League of Literary Ladies, #1)</t>
  </si>
  <si>
    <t>to-read (#448)</t>
  </si>
  <si>
    <t>Tempest at Annabel's Lighthouse</t>
  </si>
  <si>
    <t>to-read (#447)</t>
  </si>
  <si>
    <t>Night Falls on Predicament Avenue</t>
  </si>
  <si>
    <t>to-read (#446)</t>
  </si>
  <si>
    <t>On the Cliffs of Foxglove Manor</t>
  </si>
  <si>
    <t>to-read (#445)</t>
  </si>
  <si>
    <t>The Premonition at Withers Farm</t>
  </si>
  <si>
    <t>to-read (#444)</t>
  </si>
  <si>
    <t>The Lost Boys of Barlowe Theater</t>
  </si>
  <si>
    <t>to-read (#443)</t>
  </si>
  <si>
    <t>The Vanishing at Castle Moreau</t>
  </si>
  <si>
    <t>to-read (#442)</t>
  </si>
  <si>
    <t>Echoes Among the Stones</t>
  </si>
  <si>
    <t>to-read (#441)</t>
  </si>
  <si>
    <t>The Lost Continent: Travels in Small-Town America</t>
  </si>
  <si>
    <t>Bill Bryson</t>
  </si>
  <si>
    <t>Bryson, Bill</t>
  </si>
  <si>
    <t>to-read (#440)</t>
  </si>
  <si>
    <t>I'm a Stranger Here Myself: Notes on Returning to America After Twenty Years Away</t>
  </si>
  <si>
    <t>Broadway Books</t>
  </si>
  <si>
    <t>to-read (#439)</t>
  </si>
  <si>
    <t>Chromatic (The Color Theory, #3)</t>
  </si>
  <si>
    <t>Ashley Bustamante</t>
  </si>
  <si>
    <t>Bustamante, Ashley</t>
  </si>
  <si>
    <t>to-read (#438)</t>
  </si>
  <si>
    <t>Radiant (The Color Theory, #2)</t>
  </si>
  <si>
    <t>to-read (#437)</t>
  </si>
  <si>
    <t>Vivid (The Color Theory, #1)</t>
  </si>
  <si>
    <t>to-read (#436)</t>
  </si>
  <si>
    <t>Waiting Isn't a Waste: The Surprising Comfort of Trusting God in the Uncertainties of Life</t>
  </si>
  <si>
    <t>Mark Vroegop</t>
  </si>
  <si>
    <t>Vroegop, Mark</t>
  </si>
  <si>
    <t>Jen Wilkin</t>
  </si>
  <si>
    <t>to-read (#435)</t>
  </si>
  <si>
    <t>Babel</t>
  </si>
  <si>
    <t>R.F. Kuang</t>
  </si>
  <si>
    <t>Kuang, R.F.</t>
  </si>
  <si>
    <t>to-read (#434)</t>
  </si>
  <si>
    <t>The Personal Librarian</t>
  </si>
  <si>
    <t>Victoria Christopher Murray</t>
  </si>
  <si>
    <t>Berkley Books</t>
  </si>
  <si>
    <t>to-read (#433)</t>
  </si>
  <si>
    <t>The Women</t>
  </si>
  <si>
    <t>to-read (#432)</t>
  </si>
  <si>
    <t>Code Name Verity (Code Name Verity, #1)</t>
  </si>
  <si>
    <t>Elizabeth Wein</t>
  </si>
  <si>
    <t>Wein, Elizabeth</t>
  </si>
  <si>
    <t>Egmont Press</t>
  </si>
  <si>
    <t>to-read (#431)</t>
  </si>
  <si>
    <t>Water for Elephants</t>
  </si>
  <si>
    <t>Sara Gruen</t>
  </si>
  <si>
    <t>Gruen, Sara</t>
  </si>
  <si>
    <t>to-read (#430)</t>
  </si>
  <si>
    <t>Pachinko</t>
  </si>
  <si>
    <t>Min Jin Lee</t>
  </si>
  <si>
    <t>Lee, Min Jin</t>
  </si>
  <si>
    <t>to-read (#429)</t>
  </si>
  <si>
    <t>Anne of Green Gables (Anne of Green Gables, #1)</t>
  </si>
  <si>
    <t>Signet</t>
  </si>
  <si>
    <t>to-read (#428)</t>
  </si>
  <si>
    <t>The Millicent Quibb School of Etiquette for Young Ladies of Mad Science (The Millicent Quibb School of Etiquette for Young Ladies of Mad Science, 1)</t>
  </si>
  <si>
    <t>Kate McKinnon</t>
  </si>
  <si>
    <t>McKinnon, Kate</t>
  </si>
  <si>
    <t>to-read (#427)</t>
  </si>
  <si>
    <t>Science &amp; Technology</t>
  </si>
  <si>
    <t>Stalking Around the Christmas Tree (Christmas Tree Farm Mystery, #4)</t>
  </si>
  <si>
    <t>Jacqueline Frost</t>
  </si>
  <si>
    <t>Frost, Jacqueline</t>
  </si>
  <si>
    <t>Crooked Lane</t>
  </si>
  <si>
    <t>to-read (#426)</t>
  </si>
  <si>
    <t>Slashing Through the Snow (Christmas Tree Farm Mystery, #3)</t>
  </si>
  <si>
    <t>Crooked Lane Books</t>
  </si>
  <si>
    <t>to-read (#425)</t>
  </si>
  <si>
    <t>'Twas the Knife Before Christmas (Christmas Tree Farm Mystery, #2)</t>
  </si>
  <si>
    <t>to-read (#424)</t>
  </si>
  <si>
    <t>Twelve Slays of Christmas (Christmas Tree Farm Mystery, #1)</t>
  </si>
  <si>
    <t>to-read (#423)</t>
  </si>
  <si>
    <t>Great Expectations</t>
  </si>
  <si>
    <t>Charles Dickens</t>
  </si>
  <si>
    <t>Dickens, Charles</t>
  </si>
  <si>
    <t>Kate Flint, Margaret Cardwell</t>
  </si>
  <si>
    <t>to-read (#422)</t>
  </si>
  <si>
    <t>Follow the Rabbit-Proof Fence : First Nations Classics</t>
  </si>
  <si>
    <t>Doris Pilkington</t>
  </si>
  <si>
    <t>Pilkington, Doris</t>
  </si>
  <si>
    <t>to-read (#293)</t>
  </si>
  <si>
    <t>A Tale of Two Cities / Great Expectations</t>
  </si>
  <si>
    <t>Penguin</t>
  </si>
  <si>
    <t>to-read (#421)</t>
  </si>
  <si>
    <t>Juniper Bean Resorts to Murder (Happily Ever Homicide, #1)</t>
  </si>
  <si>
    <t>Gracie Ruth Mitchell</t>
  </si>
  <si>
    <t>Mitchell, Gracie Ruth</t>
  </si>
  <si>
    <t>to-read (#420)</t>
  </si>
  <si>
    <t>I Must Betray You</t>
  </si>
  <si>
    <t>Ruta Sepetys</t>
  </si>
  <si>
    <t>Sepetys, Ruta</t>
  </si>
  <si>
    <t>to-read (#419)</t>
  </si>
  <si>
    <t>The Reckoning at Gossamer Pond</t>
  </si>
  <si>
    <t>to-read (#418)</t>
  </si>
  <si>
    <t>The curse of Misty Waters: The Misty Waters saga book 1</t>
  </si>
  <si>
    <t>Mr James Wilmer</t>
  </si>
  <si>
    <t>Wilmer, Mr James</t>
  </si>
  <si>
    <t>to-read (#417)</t>
  </si>
  <si>
    <t>Haunted House Ghost (Braxton Campus Mysteries #5)</t>
  </si>
  <si>
    <t>James J. Cudney</t>
  </si>
  <si>
    <t>Cudney, James J.</t>
  </si>
  <si>
    <t>Next Chapter</t>
  </si>
  <si>
    <t>to-read (#416)</t>
  </si>
  <si>
    <t>The Djinn Waits a Hundred Years</t>
  </si>
  <si>
    <t>Shubnum Khan</t>
  </si>
  <si>
    <t>Khan, Shubnum</t>
  </si>
  <si>
    <t>to-read (#415)</t>
  </si>
  <si>
    <t>The DallerGut Dream Department Store (DallerGut Dream Department Store, #1)</t>
  </si>
  <si>
    <t>Lee Mi-ye</t>
  </si>
  <si>
    <t>Mi-ye, Lee</t>
  </si>
  <si>
    <t>Sandy Joosun Lee</t>
  </si>
  <si>
    <t>to-read (#414)</t>
  </si>
  <si>
    <t>Weyward</t>
  </si>
  <si>
    <t>Emilia Hart</t>
  </si>
  <si>
    <t>Hart, Emilia</t>
  </si>
  <si>
    <t>to-read (#413)</t>
  </si>
  <si>
    <t>The Little Liar</t>
  </si>
  <si>
    <t>Mitch Albom</t>
  </si>
  <si>
    <t>Albom, Mitch</t>
  </si>
  <si>
    <t>to-read (#412)</t>
  </si>
  <si>
    <t>Assistant to the Villain (Assistant to the Villain, #1)</t>
  </si>
  <si>
    <t>Hannah Nicole Maehrer</t>
  </si>
  <si>
    <t>Maehrer, Hannah Nicole</t>
  </si>
  <si>
    <t>Entangled Publishing: Red Tower Books</t>
  </si>
  <si>
    <t>to-read (#411)</t>
  </si>
  <si>
    <t>The Escape Game (Heroines of WWII)</t>
  </si>
  <si>
    <t>Marilyn Turk</t>
  </si>
  <si>
    <t>Turk, Marilyn</t>
  </si>
  <si>
    <t>to-read (#410)</t>
  </si>
  <si>
    <t>The Gilded Curse</t>
  </si>
  <si>
    <t>Heritage Beacon Fiction, an imprint of Lighthouse Publishing of the Carolinas</t>
  </si>
  <si>
    <t>to-read (#409)</t>
  </si>
  <si>
    <t>The Secret of Pembrooke Park</t>
  </si>
  <si>
    <t>to-read (#408)</t>
  </si>
  <si>
    <t>Mary (Daughters of the Lost Colony #2)</t>
  </si>
  <si>
    <t>Shannon McNear</t>
  </si>
  <si>
    <t>McNear, Shannon</t>
  </si>
  <si>
    <t>to-read (#407)</t>
  </si>
  <si>
    <t>Rebecca (Daughters of the Lost Colony, #3)</t>
  </si>
  <si>
    <t>to-read (#406)</t>
  </si>
  <si>
    <t>Virginia (Daughters of the Lost Colony, #4)</t>
  </si>
  <si>
    <t>to-read (#405)</t>
  </si>
  <si>
    <t>Elinor (Daughters of the Lost Colony #1)</t>
  </si>
  <si>
    <t>to-read (#404)</t>
  </si>
  <si>
    <t>The Tutor's Daughter</t>
  </si>
  <si>
    <t>to-read (#403)</t>
  </si>
  <si>
    <t>The Haunting at Bonaventure Circus</t>
  </si>
  <si>
    <t xml:space="preserve">Bethany House Publishers </t>
  </si>
  <si>
    <t>to-read (#402)</t>
  </si>
  <si>
    <t>Cold-Blooded Myrtle (Myrtle Hardcastle Mysteries, #3)</t>
  </si>
  <si>
    <t>Elizabeth C. Bunce</t>
  </si>
  <si>
    <t>Bunce, Elizabeth C.</t>
  </si>
  <si>
    <t>to-read (#401)</t>
  </si>
  <si>
    <t>Salt to the Sea</t>
  </si>
  <si>
    <t>Philomel Books</t>
  </si>
  <si>
    <t>to-read (#400)</t>
  </si>
  <si>
    <t>The Islands of Elsewhere</t>
  </si>
  <si>
    <t>Listening Library</t>
  </si>
  <si>
    <t>Audiobook</t>
  </si>
  <si>
    <t>to-read (#399)</t>
  </si>
  <si>
    <t>The Language of Ghosts</t>
  </si>
  <si>
    <t>Storytide</t>
  </si>
  <si>
    <t>to-read (#398)</t>
  </si>
  <si>
    <t>The School Between Winter and Fairyland</t>
  </si>
  <si>
    <t>to-read (#397)</t>
  </si>
  <si>
    <t>The Grace of Wild Things</t>
  </si>
  <si>
    <t>to-read (#396)</t>
  </si>
  <si>
    <t>Transcription</t>
  </si>
  <si>
    <t>Kate Atkinson</t>
  </si>
  <si>
    <t>Atkinson, Kate</t>
  </si>
  <si>
    <t>to-read (#395)</t>
  </si>
  <si>
    <t>The Benevolent Society of Ill-Mannered Ladies (The Ill-Mannered Ladies, #1)</t>
  </si>
  <si>
    <t>Alison Goodman</t>
  </si>
  <si>
    <t>Goodman, Alison</t>
  </si>
  <si>
    <t>to-read (#394)</t>
  </si>
  <si>
    <t>Love in the Wild (Love in Blackwater #3)</t>
  </si>
  <si>
    <t>Mandi Blake</t>
  </si>
  <si>
    <t>Blake, Mandi</t>
  </si>
  <si>
    <t>to-read (#393)</t>
  </si>
  <si>
    <t>Winter's Maiden (The Nordic Wars, #1)</t>
  </si>
  <si>
    <t>to-read (#392)</t>
  </si>
  <si>
    <t>Long Lost</t>
  </si>
  <si>
    <t>Jacqueline  West</t>
  </si>
  <si>
    <t>West, Jacqueline</t>
  </si>
  <si>
    <t>to-read (#391)</t>
  </si>
  <si>
    <t>The Wonderland Trials (The Curious Realities, #1)</t>
  </si>
  <si>
    <t>Sara Ella</t>
  </si>
  <si>
    <t>Ella, Sara</t>
  </si>
  <si>
    <t>to-read (#390)</t>
  </si>
  <si>
    <t>Keeper of the Lost Cities (Keeper of the Lost Cities, #1)</t>
  </si>
  <si>
    <t>Shannon Messenger</t>
  </si>
  <si>
    <t>Messenger, Shannon</t>
  </si>
  <si>
    <t>to-read (#389)</t>
  </si>
  <si>
    <t>On Wings of Ash and Dust</t>
  </si>
  <si>
    <t>Brittany Wang</t>
  </si>
  <si>
    <t>Wang, Brittany</t>
  </si>
  <si>
    <t>Fablesong Books</t>
  </si>
  <si>
    <t>to-read (#388)</t>
  </si>
  <si>
    <t>Crown of Secrets (The Hidden Mage, #1)</t>
  </si>
  <si>
    <t>to-read (#387)</t>
  </si>
  <si>
    <t>The Princess Bride</t>
  </si>
  <si>
    <t>William Goldman</t>
  </si>
  <si>
    <t>Goldman, William</t>
  </si>
  <si>
    <t>Chaos at the Lazy Bones Bookshop (Halloween Bookshop Mystery, #1)</t>
  </si>
  <si>
    <t>Emmeline Duncan</t>
  </si>
  <si>
    <t>Duncan, Emmeline</t>
  </si>
  <si>
    <t>to-read (#386)</t>
  </si>
  <si>
    <t>Double Take (Lake City Heroes, #1)</t>
  </si>
  <si>
    <t>Lynette Eason</t>
  </si>
  <si>
    <t>Eason, Lynette</t>
  </si>
  <si>
    <t>to-read (#385)</t>
  </si>
  <si>
    <t>Inkspell Publishing</t>
  </si>
  <si>
    <t>to-read (#384)</t>
  </si>
  <si>
    <t>Love Overboard</t>
  </si>
  <si>
    <t>Janet Evanovich</t>
  </si>
  <si>
    <t>Evanovich, Janet</t>
  </si>
  <si>
    <t>HarperTorch</t>
  </si>
  <si>
    <t>to-read (#383)</t>
  </si>
  <si>
    <t>Ravenfall (Ravenfall #1)</t>
  </si>
  <si>
    <t>Kalyn Josephson</t>
  </si>
  <si>
    <t>Josephson, Kalyn</t>
  </si>
  <si>
    <t>to-read (#382)</t>
  </si>
  <si>
    <t>The Edge of In Between</t>
  </si>
  <si>
    <t>Lorelei Savaryn</t>
  </si>
  <si>
    <t>Savaryn, Lorelei</t>
  </si>
  <si>
    <t>to-read (#380)</t>
  </si>
  <si>
    <t>The Night Train</t>
  </si>
  <si>
    <t>to-read (#381)</t>
  </si>
  <si>
    <t>The Circus of Stolen Dreams</t>
  </si>
  <si>
    <t>Philomel</t>
  </si>
  <si>
    <t>to-read (#379)</t>
  </si>
  <si>
    <t>Be My Ghost (A Haunted Haven Mystery, #1)</t>
  </si>
  <si>
    <t>Carol J. Perry</t>
  </si>
  <si>
    <t>Perry, Carol J.</t>
  </si>
  <si>
    <t>to-read (#378)</t>
  </si>
  <si>
    <t>The Hero of Ages (Mistborn, #3)</t>
  </si>
  <si>
    <t>Brandon Sanderson</t>
  </si>
  <si>
    <t>Sanderson, Brandon</t>
  </si>
  <si>
    <t>to-read (#377)</t>
  </si>
  <si>
    <t>The Well of Ascension (Mistborn, #2)</t>
  </si>
  <si>
    <t>to-read (#376)</t>
  </si>
  <si>
    <t>Mistborn: The Final Empire (Mistborn, #1)</t>
  </si>
  <si>
    <t>to-read (#375)</t>
  </si>
  <si>
    <t>Warbreaker</t>
  </si>
  <si>
    <t>Self-published</t>
  </si>
  <si>
    <t>to-read (#374)</t>
  </si>
  <si>
    <t>Tress of the Emerald Sea</t>
  </si>
  <si>
    <t>Howard Lyon</t>
  </si>
  <si>
    <t>Dragonsteel Entertainment</t>
  </si>
  <si>
    <t>to-read (#373)</t>
  </si>
  <si>
    <t>The Boy Who Fell from the Stars (And They Found Dragons, #1)</t>
  </si>
  <si>
    <t>Ted Dekker</t>
  </si>
  <si>
    <t>Dekker, Ted</t>
  </si>
  <si>
    <t>Rachelle Dekker</t>
  </si>
  <si>
    <t>Scripturo</t>
  </si>
  <si>
    <t>to-read (#372)</t>
  </si>
  <si>
    <t>Olive the Lionheart: Lost Love, Imperial Spies, and One Woman's Journey to the Heart of Africa</t>
  </si>
  <si>
    <t>Brad Ricca</t>
  </si>
  <si>
    <t>Ricca, Brad</t>
  </si>
  <si>
    <t>to-read (#371)</t>
  </si>
  <si>
    <t>The Diamond Eye</t>
  </si>
  <si>
    <t>Kate Quinn</t>
  </si>
  <si>
    <t>Quinn, Kate</t>
  </si>
  <si>
    <t>to-read (#370)</t>
  </si>
  <si>
    <t>River Sing Me Home</t>
  </si>
  <si>
    <t>Eleanor Shearer</t>
  </si>
  <si>
    <t>Shearer, Eleanor</t>
  </si>
  <si>
    <t>to-read (#369)</t>
  </si>
  <si>
    <t>Rooftoppers</t>
  </si>
  <si>
    <t>Katherine Rundell</t>
  </si>
  <si>
    <t>Rundell, Katherine</t>
  </si>
  <si>
    <t>Simon &amp; Schuster Books for Young Readers</t>
  </si>
  <si>
    <t>to-read (#228)</t>
  </si>
  <si>
    <t>The Girl Savage</t>
  </si>
  <si>
    <t>Faber and Faber</t>
  </si>
  <si>
    <t>to-read (#233)</t>
  </si>
  <si>
    <t>Leviathan Wakes (The Expanse, #1)</t>
  </si>
  <si>
    <t>James S.A. Corey</t>
  </si>
  <si>
    <t>Corey, James S.A.</t>
  </si>
  <si>
    <t>to-read (#368)</t>
  </si>
  <si>
    <t>Throne of the Fallen (Prince of Sin, #1)</t>
  </si>
  <si>
    <t>Kerri Maniscalco</t>
  </si>
  <si>
    <t>Maniscalco, Kerri</t>
  </si>
  <si>
    <t>to-read (#367)</t>
  </si>
  <si>
    <t>The Key to Deceit (Electra McDonnell, #2)</t>
  </si>
  <si>
    <t>Ashley Weaver</t>
  </si>
  <si>
    <t>Weaver, Ashley</t>
  </si>
  <si>
    <t>to-read (#366)</t>
  </si>
  <si>
    <t>Loyally, Luke</t>
  </si>
  <si>
    <t>to-read (#365)</t>
  </si>
  <si>
    <t>The Child Who Lived</t>
  </si>
  <si>
    <t>Ellie Midwood</t>
  </si>
  <si>
    <t>Midwood, Ellie</t>
  </si>
  <si>
    <t>Bookouture</t>
  </si>
  <si>
    <t>to-read (#364)</t>
  </si>
  <si>
    <t>Pearl in the Sand</t>
  </si>
  <si>
    <t>to-read (#363)</t>
  </si>
  <si>
    <t>Counted with the Stars (Out From Egypt, #1)</t>
  </si>
  <si>
    <t>Connilyn Cossette</t>
  </si>
  <si>
    <t>Cossette, Connilyn</t>
  </si>
  <si>
    <t>to-read (#362)</t>
  </si>
  <si>
    <t>Dancing with Mr. Darcy: Stories Inspired by Jane Austen and Chawton House</t>
  </si>
  <si>
    <t>Lane Ashfeldt</t>
  </si>
  <si>
    <t>Ashfeldt, Lane</t>
  </si>
  <si>
    <t>Sarah Waters</t>
  </si>
  <si>
    <t>Harper Paperbacks</t>
  </si>
  <si>
    <t>to-read (#361)</t>
  </si>
  <si>
    <t>Secondary Target (The Secrets of Kincaid, #1)</t>
  </si>
  <si>
    <t>Angela Carlisle</t>
  </si>
  <si>
    <t>Carlisle, Angela</t>
  </si>
  <si>
    <t>to-read (#360)</t>
  </si>
  <si>
    <t>The Secret Princess (Return to the Four Kingdoms, #1)</t>
  </si>
  <si>
    <t>to-read (#359)</t>
  </si>
  <si>
    <t>Kilo: Inside the Deadliest Cocaine Cartelsâ€”From the Jungles to the Streets</t>
  </si>
  <si>
    <t>Toby Muse</t>
  </si>
  <si>
    <t>Muse, Toby</t>
  </si>
  <si>
    <t>to-read (#358)</t>
  </si>
  <si>
    <t>Beyond Ivy Walls</t>
  </si>
  <si>
    <t>Rachel Fordham</t>
  </si>
  <si>
    <t>Fordham, Rachel</t>
  </si>
  <si>
    <t>to-read (#357)</t>
  </si>
  <si>
    <t>Part of Your World (Part of Your World, #1)</t>
  </si>
  <si>
    <t>to-read (#356)</t>
  </si>
  <si>
    <t>Just for the Summer (Part of Your World, #3)</t>
  </si>
  <si>
    <t>to-read (#355)</t>
  </si>
  <si>
    <t>When Words Matter Most: Speaking Truth with Grace to Those You Love</t>
  </si>
  <si>
    <t>Cheryl Marshall</t>
  </si>
  <si>
    <t>Marshall, Cheryl</t>
  </si>
  <si>
    <t>Caroline Newheiser</t>
  </si>
  <si>
    <t>to-read (#354)</t>
  </si>
  <si>
    <t>The Hidden Book</t>
  </si>
  <si>
    <t>Kirsty Manning</t>
  </si>
  <si>
    <t>Manning, Kirsty</t>
  </si>
  <si>
    <t>to-read (#352)</t>
  </si>
  <si>
    <t>Mountain Laurel (Kindred, #1)</t>
  </si>
  <si>
    <t>Lori Benton</t>
  </si>
  <si>
    <t>Benton, Lori</t>
  </si>
  <si>
    <t>to-read (#351)</t>
  </si>
  <si>
    <t>Last of the Breed</t>
  </si>
  <si>
    <t>Louis L'Amour</t>
  </si>
  <si>
    <t>L'Amour, Louis</t>
  </si>
  <si>
    <t>to-read (#350)</t>
  </si>
  <si>
    <t>The Sign of the Beaver</t>
  </si>
  <si>
    <t>to-read (#349)</t>
  </si>
  <si>
    <t>Walk Two Moons</t>
  </si>
  <si>
    <t>Sharon Creech</t>
  </si>
  <si>
    <t>Creech, Sharon</t>
  </si>
  <si>
    <t>HarperTrophy</t>
  </si>
  <si>
    <t>to-read (#348)</t>
  </si>
  <si>
    <t>One Thousand White Women: The Journals of May Dodd (One Thousand White Women, #1)</t>
  </si>
  <si>
    <t>Jim Fergus</t>
  </si>
  <si>
    <t>Fergus, Jim</t>
  </si>
  <si>
    <t>to-read (#347)</t>
  </si>
  <si>
    <t>Winter Counts</t>
  </si>
  <si>
    <t>David Heska Wanbli Weiden</t>
  </si>
  <si>
    <t>Weiden, David Heska Wanbli</t>
  </si>
  <si>
    <t>to-read (#346)</t>
  </si>
  <si>
    <t>The Only Good Indians</t>
  </si>
  <si>
    <t>Stephen Graham Jones</t>
  </si>
  <si>
    <t>Jones, Stephen Graham</t>
  </si>
  <si>
    <t>Gallery / Saga Press</t>
  </si>
  <si>
    <t>to-read (#345)</t>
  </si>
  <si>
    <t>And Then She Fell</t>
  </si>
  <si>
    <t>Alicia Elliott</t>
  </si>
  <si>
    <t>Elliott, Alicia</t>
  </si>
  <si>
    <t>Dutton</t>
  </si>
  <si>
    <t>to-read (#344)</t>
  </si>
  <si>
    <t>Hello Stranger</t>
  </si>
  <si>
    <t>Katherine Center</t>
  </si>
  <si>
    <t>Center, Katherine</t>
  </si>
  <si>
    <t>to-read (#343)</t>
  </si>
  <si>
    <t>Secrets in the Mist (Skyworld #1)</t>
  </si>
  <si>
    <t>to-read (#342)</t>
  </si>
  <si>
    <t>The Rape of Nanking: The Forgotten Holocaust of World War II</t>
  </si>
  <si>
    <t>Iris Chang</t>
  </si>
  <si>
    <t>Chang, Iris</t>
  </si>
  <si>
    <t>to-read (#341)</t>
  </si>
  <si>
    <t>The Wishing Game</t>
  </si>
  <si>
    <t>Meg Shaffer</t>
  </si>
  <si>
    <t>Shaffer, Meg</t>
  </si>
  <si>
    <t>to-read (#340)</t>
  </si>
  <si>
    <t>The Lost Story</t>
  </si>
  <si>
    <t>to-read (#339)</t>
  </si>
  <si>
    <t>Alcatraz Versus the Evil Librarians (Alcatraz, #1)</t>
  </si>
  <si>
    <t>to-read (#338)</t>
  </si>
  <si>
    <t>Here Lies the Librarian</t>
  </si>
  <si>
    <t>Richard Peck</t>
  </si>
  <si>
    <t>Peck, Richard</t>
  </si>
  <si>
    <t>Dial Books</t>
  </si>
  <si>
    <t>to-read (#337)</t>
  </si>
  <si>
    <t>The Library of Legends</t>
  </si>
  <si>
    <t>Janie Chang</t>
  </si>
  <si>
    <t>Chang, Janie</t>
  </si>
  <si>
    <t>to-read (#336)</t>
  </si>
  <si>
    <t>The Little Wartime Library</t>
  </si>
  <si>
    <t>Kate          Thompson</t>
  </si>
  <si>
    <t>Thompson, Kate</t>
  </si>
  <si>
    <t>to-read (#335)</t>
  </si>
  <si>
    <t>The Ball at Versailles</t>
  </si>
  <si>
    <t>to-read (#334)</t>
  </si>
  <si>
    <t>Tomorrow, and Tomorrow, and Tomorrow</t>
  </si>
  <si>
    <t>Gabrielle Zevin</t>
  </si>
  <si>
    <t>Zevin, Gabrielle</t>
  </si>
  <si>
    <t>to-read (#333)</t>
  </si>
  <si>
    <t>Twilight Falls (Shady Hollow, #4)</t>
  </si>
  <si>
    <t>Juneau Black</t>
  </si>
  <si>
    <t>Black, Juneau</t>
  </si>
  <si>
    <t>to-read (#332)</t>
  </si>
  <si>
    <t>The First Girl Child (The Chronicles of Saylok, #1)</t>
  </si>
  <si>
    <t>Amy Harmon</t>
  </si>
  <si>
    <t>Harmon, Amy</t>
  </si>
  <si>
    <t>Rob Shapiro</t>
  </si>
  <si>
    <t>Brilliance Audio</t>
  </si>
  <si>
    <t>to-read (#331)</t>
  </si>
  <si>
    <t>A Sky Full of Song</t>
  </si>
  <si>
    <t>Susan Lynn Meyer</t>
  </si>
  <si>
    <t>Meyer, Susan Lynn</t>
  </si>
  <si>
    <t>Union Square Kids</t>
  </si>
  <si>
    <t>to-read (#330)</t>
  </si>
  <si>
    <t>The Lost Book of Eleanor Dare</t>
  </si>
  <si>
    <t>Kimberly Brock</t>
  </si>
  <si>
    <t>Brock, Kimberly</t>
  </si>
  <si>
    <t>to-read (#329)</t>
  </si>
  <si>
    <t>The Paper Girl of Paris</t>
  </si>
  <si>
    <t>Jordyn Taylor</t>
  </si>
  <si>
    <t>Taylor, Jordyn</t>
  </si>
  <si>
    <t>HarperTeen</t>
  </si>
  <si>
    <t>to-read (#328)</t>
  </si>
  <si>
    <t>Murder at a Cape Bookstore (Cozy Capers Book Group Mystery, #5)</t>
  </si>
  <si>
    <t>Maddie Day</t>
  </si>
  <si>
    <t>Day, Maddie</t>
  </si>
  <si>
    <t>Kensington Cozies</t>
  </si>
  <si>
    <t>to-read (#327)</t>
  </si>
  <si>
    <t>Parable of the Talents (Earthseed, #2)</t>
  </si>
  <si>
    <t>Octavia E. Butler</t>
  </si>
  <si>
    <t>Butler, Octavia E.</t>
  </si>
  <si>
    <t>Aspect</t>
  </si>
  <si>
    <t>to-read (#326)</t>
  </si>
  <si>
    <t>Parable of the Sower (Earthseed, #1)</t>
  </si>
  <si>
    <t>to-read (#325)</t>
  </si>
  <si>
    <t>Evolution, Creationism, and Other Modern Myths: A Critical Inquiry</t>
  </si>
  <si>
    <t>Vine Deloria Jr.</t>
  </si>
  <si>
    <t>Jr., Vine Deloria</t>
  </si>
  <si>
    <t>Fulcrum Publishing</t>
  </si>
  <si>
    <t>to-read (#324)</t>
  </si>
  <si>
    <t>Behind the Trail of Broken Treaties: An Indian Declaration of Independence</t>
  </si>
  <si>
    <t>University of Texas Press</t>
  </si>
  <si>
    <t>to-read (#323)</t>
  </si>
  <si>
    <t>Power and Place: Indian Education in America</t>
  </si>
  <si>
    <t>Daniel R. Wildcat</t>
  </si>
  <si>
    <t>to-read (#322)</t>
  </si>
  <si>
    <t>Indians and Anthropologists: Vine Deloria, Jr., and the Critique of Anthropology</t>
  </si>
  <si>
    <t>Thomas Biolsi</t>
  </si>
  <si>
    <t>Biolsi, Thomas</t>
  </si>
  <si>
    <t>Larry J. Zimmerman</t>
  </si>
  <si>
    <t>University of Arizona Press</t>
  </si>
  <si>
    <t>to-read (#321)</t>
  </si>
  <si>
    <t>God Is Red: A Native View of Religion</t>
  </si>
  <si>
    <t>Leslie Marmon Silko</t>
  </si>
  <si>
    <t>to-read (#320)</t>
  </si>
  <si>
    <t>The Secret Life of Sunflowers</t>
  </si>
  <si>
    <t>Marta Molnar</t>
  </si>
  <si>
    <t>Molnar, Marta</t>
  </si>
  <si>
    <t>Dana Marton</t>
  </si>
  <si>
    <t>to-read (#319)</t>
  </si>
  <si>
    <t>The Adventures of a Rooseite</t>
  </si>
  <si>
    <t>to-read (#318)</t>
  </si>
  <si>
    <t>The Woman from Lydia (The Emissaries, #1)</t>
  </si>
  <si>
    <t>Angela Elwell Hunt</t>
  </si>
  <si>
    <t>Hunt, Angela Elwell</t>
  </si>
  <si>
    <t>to-read (#317)</t>
  </si>
  <si>
    <t>The Sisters of Corinth (The Emissaries, #2)</t>
  </si>
  <si>
    <t>to-read (#316)</t>
  </si>
  <si>
    <t>Miss Read's Christmas Book</t>
  </si>
  <si>
    <t>Miss Read</t>
  </si>
  <si>
    <t>Read, Miss</t>
  </si>
  <si>
    <t>Tracy Williamson</t>
  </si>
  <si>
    <t>Houghton Mifflin</t>
  </si>
  <si>
    <t>to-read (#315)</t>
  </si>
  <si>
    <t>THE LION'S CURSE</t>
  </si>
  <si>
    <t>CE Ayers III</t>
  </si>
  <si>
    <t>III, CE Ayers</t>
  </si>
  <si>
    <t>BookBaby</t>
  </si>
  <si>
    <t>to-read (#314)</t>
  </si>
  <si>
    <t>The Island at the End of Everything</t>
  </si>
  <si>
    <t>Kiran Millwood Hargrave</t>
  </si>
  <si>
    <t>Hargrave, Kiran Millwood</t>
  </si>
  <si>
    <t>Chicken House</t>
  </si>
  <si>
    <t>to-read (#313)</t>
  </si>
  <si>
    <t>The Strangers (Greystone Secrets, #1)</t>
  </si>
  <si>
    <t>Margaret Peterson Haddix</t>
  </si>
  <si>
    <t>Haddix, Margaret Peterson</t>
  </si>
  <si>
    <t>Anne Lambelet</t>
  </si>
  <si>
    <t>Katherine Tegen Books</t>
  </si>
  <si>
    <t>to-read (#312)</t>
  </si>
  <si>
    <t>Compelling Reason: Essays on Ethics and Theology</t>
  </si>
  <si>
    <t>Fount</t>
  </si>
  <si>
    <t>to-read (#311)</t>
  </si>
  <si>
    <t>Essays/Anthology</t>
  </si>
  <si>
    <t>Narrative Poems</t>
  </si>
  <si>
    <t>Walter Hooper</t>
  </si>
  <si>
    <t>HarperOne</t>
  </si>
  <si>
    <t>to-read (#310)</t>
  </si>
  <si>
    <t>A Mind Awake: An Anthology of C. S. Lewis</t>
  </si>
  <si>
    <t>to-read (#309)</t>
  </si>
  <si>
    <t>The Business of Heaven: Daily Readings</t>
  </si>
  <si>
    <t>to-read (#308)</t>
  </si>
  <si>
    <t>Present Concerns: Journalistic Essays</t>
  </si>
  <si>
    <t>to-read (#307)</t>
  </si>
  <si>
    <t>Letters to an American Lady</t>
  </si>
  <si>
    <t>Eerdmans</t>
  </si>
  <si>
    <t>to-read (#306)</t>
  </si>
  <si>
    <t>The World's Last Night: And Other Essays</t>
  </si>
  <si>
    <t>to-read (#305)</t>
  </si>
  <si>
    <t>The Dark Tower: And Other Stories</t>
  </si>
  <si>
    <t>to-read (#304)</t>
  </si>
  <si>
    <t>Reflections on the Psalms</t>
  </si>
  <si>
    <t>Harvest/HBJ Books</t>
  </si>
  <si>
    <t>to-read (#303)</t>
  </si>
  <si>
    <t>Miracles</t>
  </si>
  <si>
    <t>Collins</t>
  </si>
  <si>
    <t>to-read (#302)</t>
  </si>
  <si>
    <t>The Problem of Pain</t>
  </si>
  <si>
    <t>to-read (#301)</t>
  </si>
  <si>
    <t>The Four Loves</t>
  </si>
  <si>
    <t>to-read (#300)</t>
  </si>
  <si>
    <t>The Lacemaker and the Princess</t>
  </si>
  <si>
    <t>Kimberly Brubaker Bradley</t>
  </si>
  <si>
    <t>Bradley, Kimberly Brubaker</t>
  </si>
  <si>
    <t>Margaret K. McElderry Books</t>
  </si>
  <si>
    <t>to-read (#299)</t>
  </si>
  <si>
    <t>The Night War</t>
  </si>
  <si>
    <t>to-read (#298)</t>
  </si>
  <si>
    <t>For Freedom: The Story of a French Spy</t>
  </si>
  <si>
    <t>to-read (#297)</t>
  </si>
  <si>
    <t>Jefferson's Sons</t>
  </si>
  <si>
    <t>to-read (#296)</t>
  </si>
  <si>
    <t>The War I Finally Won (The War That Saved My Life, #2)</t>
  </si>
  <si>
    <t>to-read (#295)</t>
  </si>
  <si>
    <t>In This Moment (Timeless, #2)</t>
  </si>
  <si>
    <t>to-read (#294)</t>
  </si>
  <si>
    <t>I Am Malala: The Story of the Girl Who Stood Up for Education and Was Shot by the Taliban</t>
  </si>
  <si>
    <t>Malala Yousafzai</t>
  </si>
  <si>
    <t>Yousafzai, Malala</t>
  </si>
  <si>
    <t>Christina Lamb</t>
  </si>
  <si>
    <t>to-read (#292)</t>
  </si>
  <si>
    <t>Protecting Her Heart (Matchmakers #3)</t>
  </si>
  <si>
    <t>Nancy Campbell Allen</t>
  </si>
  <si>
    <t>Allen, Nancy Campbell</t>
  </si>
  <si>
    <t>Shadow Mountain</t>
  </si>
  <si>
    <t>to-read (#291)</t>
  </si>
  <si>
    <t>Rabbit-Proof Fence</t>
  </si>
  <si>
    <t>Miramax</t>
  </si>
  <si>
    <t>to-read (#290)</t>
  </si>
  <si>
    <t>The Inconvenient Indian: A Curious Account of Native People in North America</t>
  </si>
  <si>
    <t>Thomas King</t>
  </si>
  <si>
    <t>King, Thomas</t>
  </si>
  <si>
    <t>Doubleday Canada</t>
  </si>
  <si>
    <t>to-read (#289)</t>
  </si>
  <si>
    <t>Inconvenient People: Lunacy, Liberty and the Mad-Doctors in Victorian England</t>
  </si>
  <si>
    <t>Sarah  Wise</t>
  </si>
  <si>
    <t>Wise, Sarah</t>
  </si>
  <si>
    <t>Bodley Head</t>
  </si>
  <si>
    <t>to-read (#288)</t>
  </si>
  <si>
    <t>Little Pilgrim's Progress: From John Bunyan's Classic</t>
  </si>
  <si>
    <t>Helen L. Taylor</t>
  </si>
  <si>
    <t>Taylor, Helen L.</t>
  </si>
  <si>
    <t>Call of the Sun Child</t>
  </si>
  <si>
    <t>Francesca G. Varela</t>
  </si>
  <si>
    <t>Varela, Francesca G.</t>
  </si>
  <si>
    <t>Homebound Publications</t>
  </si>
  <si>
    <t>to-read (#287)</t>
  </si>
  <si>
    <t>The Pilgram's Progress</t>
  </si>
  <si>
    <t>John Bunyan</t>
  </si>
  <si>
    <t>Bunyan, John</t>
  </si>
  <si>
    <t>Createspace Independent Publishing Platform</t>
  </si>
  <si>
    <t>to-read (#286)</t>
  </si>
  <si>
    <t>The Four Winds</t>
  </si>
  <si>
    <t>to-read (#285)</t>
  </si>
  <si>
    <t>Take My Hand</t>
  </si>
  <si>
    <t>Dolen Perkins-Valdez</t>
  </si>
  <si>
    <t>Perkins-Valdez, Dolen</t>
  </si>
  <si>
    <t>to-read (#284)</t>
  </si>
  <si>
    <t>The Sentence</t>
  </si>
  <si>
    <t>to-read (#283)</t>
  </si>
  <si>
    <t>Of Jade and Dragons (Fall of the Dragon, #1)</t>
  </si>
  <si>
    <t>Amber Chen</t>
  </si>
  <si>
    <t>Chen, Amber</t>
  </si>
  <si>
    <t>to-read (#282)</t>
  </si>
  <si>
    <t>Apollyon (Left Behind, #5)</t>
  </si>
  <si>
    <t>Thorndike Press</t>
  </si>
  <si>
    <t>There Goes the Groom (A Romance of Rank, #3)</t>
  </si>
  <si>
    <t>Esther Hatch</t>
  </si>
  <si>
    <t>Hatch, Esther</t>
  </si>
  <si>
    <t>Arbory Press</t>
  </si>
  <si>
    <t>to-read (#281)</t>
  </si>
  <si>
    <t>The Rose Code</t>
  </si>
  <si>
    <t>to-read (#280)</t>
  </si>
  <si>
    <t>Harrison Bergeron</t>
  </si>
  <si>
    <t>Kurt Vonnegut Jr.</t>
  </si>
  <si>
    <t>Jr., Kurt Vonnegut</t>
  </si>
  <si>
    <t>The Magazine of Fantasy and Science Fiction</t>
  </si>
  <si>
    <t>to-read (#279)</t>
  </si>
  <si>
    <t>House of Many Ways (Howl's Moving Castle, #3)</t>
  </si>
  <si>
    <t>Diana Wynne Jones</t>
  </si>
  <si>
    <t>Jones, Diana Wynne</t>
  </si>
  <si>
    <t>to-read (#278)</t>
  </si>
  <si>
    <t>Castle in the Air (Howl's Moving Castle, #2)</t>
  </si>
  <si>
    <t>to-read (#277)</t>
  </si>
  <si>
    <t>The International House of Dereliction</t>
  </si>
  <si>
    <t>Jacqueline Davies</t>
  </si>
  <si>
    <t>Davies, Jacqueline</t>
  </si>
  <si>
    <t>Clarion Books</t>
  </si>
  <si>
    <t>to-read (#276)</t>
  </si>
  <si>
    <t>To Capture His Heart (Matchmakers, #2)</t>
  </si>
  <si>
    <t>to-read (#275)</t>
  </si>
  <si>
    <t>Coyote Queen</t>
  </si>
  <si>
    <t>Jessica Vitalis</t>
  </si>
  <si>
    <t>Vitalis, Jessica</t>
  </si>
  <si>
    <t>to-read (#274)</t>
  </si>
  <si>
    <t>The Happy Life of Isadora Bentley</t>
  </si>
  <si>
    <t>to-read (#273)</t>
  </si>
  <si>
    <t>Daughters of Shandong</t>
  </si>
  <si>
    <t>Eve J. Chung</t>
  </si>
  <si>
    <t>Chung, Eve J.</t>
  </si>
  <si>
    <t>to-read (#272)</t>
  </si>
  <si>
    <t>The Covenant of Water</t>
  </si>
  <si>
    <t>Abraham   Verghese</t>
  </si>
  <si>
    <t>Verghese, Abraham</t>
  </si>
  <si>
    <t>Grove Press</t>
  </si>
  <si>
    <t>to-read (#271)</t>
  </si>
  <si>
    <t>Shannon Sue Dunlap</t>
  </si>
  <si>
    <t>Dunlap, Shannon Sue</t>
  </si>
  <si>
    <t>to-read (#270)</t>
  </si>
  <si>
    <t>Mistress of Life and Death: The Dark Journey of Maria Mandl, Head Overseer of the Women's Camp at Auschwitz-Birkenau</t>
  </si>
  <si>
    <t>Susan J. Eischeid</t>
  </si>
  <si>
    <t>Eischeid, Susan J.</t>
  </si>
  <si>
    <t>Citadel</t>
  </si>
  <si>
    <t>to-read (#269)</t>
  </si>
  <si>
    <t>Just for the Summer</t>
  </si>
  <si>
    <t>to-read (#268)</t>
  </si>
  <si>
    <t>The Princess Companion: A Retelling of The Princess and the Pea (The Four Kingdoms, #1)</t>
  </si>
  <si>
    <t>to-read (#267)</t>
  </si>
  <si>
    <t>to-read (#266)</t>
  </si>
  <si>
    <t>Long After We Are Gone</t>
  </si>
  <si>
    <t>to-read (#265)</t>
  </si>
  <si>
    <t>Sideways Stories from Wayside School (Wayside School, #1)</t>
  </si>
  <si>
    <t>Louis Sachar</t>
  </si>
  <si>
    <t>Sachar, Louis</t>
  </si>
  <si>
    <t>Adam McCauley</t>
  </si>
  <si>
    <t>Bloomsbury Childrens Books</t>
  </si>
  <si>
    <t>to-read (#264)</t>
  </si>
  <si>
    <t>Wayside School Is Falling Down (Wayside School, #2)</t>
  </si>
  <si>
    <t>Avon Camelot</t>
  </si>
  <si>
    <t>to-read (#263)</t>
  </si>
  <si>
    <t>Fifty Words for Rain</t>
  </si>
  <si>
    <t>Asha Lemmie</t>
  </si>
  <si>
    <t>Lemmie, Asha</t>
  </si>
  <si>
    <t>to-read (#262)</t>
  </si>
  <si>
    <t>Crow Mary</t>
  </si>
  <si>
    <t>Kathleen Grissom</t>
  </si>
  <si>
    <t>Grissom, Kathleen</t>
  </si>
  <si>
    <t>to-read (#261)</t>
  </si>
  <si>
    <t>An Offer From a Gentleman (Bridgertons, #3)</t>
  </si>
  <si>
    <t>Julia Quinn</t>
  </si>
  <si>
    <t>Quinn, Julia</t>
  </si>
  <si>
    <t>To Sir Phillip, With Love (Bridgertons, #5)</t>
  </si>
  <si>
    <t>Unmasked</t>
  </si>
  <si>
    <t>Kelsey  Chapman</t>
  </si>
  <si>
    <t>Chapman, Kelsey</t>
  </si>
  <si>
    <t>Kelsey Chapman</t>
  </si>
  <si>
    <t>to-read (#260)</t>
  </si>
  <si>
    <t>What If?: Serious Scientific Answers to Absurd Hypothetical Questions</t>
  </si>
  <si>
    <t>Randall Munroe</t>
  </si>
  <si>
    <t>Munroe, Randall</t>
  </si>
  <si>
    <t>Dey Street Books</t>
  </si>
  <si>
    <t>to-read (#259)</t>
  </si>
  <si>
    <t>The Hiding Place</t>
  </si>
  <si>
    <t>Lonnie Hull Dupont</t>
  </si>
  <si>
    <t>Dupont, Lonnie Hull</t>
  </si>
  <si>
    <t>Corrie ten Boom, Tim Foley</t>
  </si>
  <si>
    <t>Chosen Books</t>
  </si>
  <si>
    <t>to-read (#258)</t>
  </si>
  <si>
    <t>Romancing Mister Bridgerton (Bridgertons, #4)</t>
  </si>
  <si>
    <t>A Lady's Guide to Marvels and Misadventure</t>
  </si>
  <si>
    <t>Angela   Bell</t>
  </si>
  <si>
    <t>Bell, Angela</t>
  </si>
  <si>
    <t>The Paris Library</t>
  </si>
  <si>
    <t>Janet Skeslien Charles</t>
  </si>
  <si>
    <t>Charles, Janet Skeslien</t>
  </si>
  <si>
    <t>to-read (#257)</t>
  </si>
  <si>
    <t>Spellbound Box Set, Books 1-10: Paranormal Cozy Mysteries</t>
  </si>
  <si>
    <t>Annabel Chase</t>
  </si>
  <si>
    <t>Chase, Annabel</t>
  </si>
  <si>
    <t>Red Palm Press LLC</t>
  </si>
  <si>
    <t>to-read (#256)</t>
  </si>
  <si>
    <t>Verity</t>
  </si>
  <si>
    <t>Colleen Hoover</t>
  </si>
  <si>
    <t>Hoover, Colleen</t>
  </si>
  <si>
    <t>to-read (#255)</t>
  </si>
  <si>
    <t>Scritch Scratch</t>
  </si>
  <si>
    <t>Lindsay Currie</t>
  </si>
  <si>
    <t>Currie, Lindsay</t>
  </si>
  <si>
    <t xml:space="preserve">Sourcebooks </t>
  </si>
  <si>
    <t>to-read (#254)</t>
  </si>
  <si>
    <t>The Mystery of Locked Rooms (The Delta Games #1)</t>
  </si>
  <si>
    <t>Sourcebooks Young Readers</t>
  </si>
  <si>
    <t>to-read (#253)</t>
  </si>
  <si>
    <t>It Found Us</t>
  </si>
  <si>
    <t>to-read (#252)</t>
  </si>
  <si>
    <t>The Keeper</t>
  </si>
  <si>
    <t>Guadalupe Garcia McCall</t>
  </si>
  <si>
    <t>McCall, Guadalupe Garcia</t>
  </si>
  <si>
    <t>to-read (#251)</t>
  </si>
  <si>
    <t>The Sight of You (The Sight of You, #1)</t>
  </si>
  <si>
    <t>Holly  Miller</t>
  </si>
  <si>
    <t>Miller, Holly</t>
  </si>
  <si>
    <t>to-read (#250)</t>
  </si>
  <si>
    <t>House on Hoarder Hill (The House on Hoarder Hill, #1)</t>
  </si>
  <si>
    <t>Kelly Ngai</t>
  </si>
  <si>
    <t>Ngai, Kelly</t>
  </si>
  <si>
    <t>Mikki Lish</t>
  </si>
  <si>
    <t>Chicken House Ltd</t>
  </si>
  <si>
    <t>to-read (#249)</t>
  </si>
  <si>
    <t>Dear Henry, Love Edith</t>
  </si>
  <si>
    <t>Becca Kinzer</t>
  </si>
  <si>
    <t>Kinzer, Becca</t>
  </si>
  <si>
    <t xml:space="preserve">A MUST READ IN ONE DAY!!! I ate this up! What a heartwarming faith filled romantic comedy! Iâ€™m not sure who I loved more?! The character development paired with the AMAZING writing style down to the mail man made the story come alive. Every page filled with love, laughter, and some frustrations here and there makes for a perfect afternoon read! ABSOLUTELY LOVED! </t>
  </si>
  <si>
    <t>The Lady of Lanaria</t>
  </si>
  <si>
    <t>Michaela Bush</t>
  </si>
  <si>
    <t>Bush, Michaela</t>
  </si>
  <si>
    <t>to-read (#248)</t>
  </si>
  <si>
    <t>The Gender Game (The Gender Game, #1)</t>
  </si>
  <si>
    <t>Bella Forrest</t>
  </si>
  <si>
    <t>Forrest, Bella</t>
  </si>
  <si>
    <t>to-read (#247)</t>
  </si>
  <si>
    <t>Be the Unicorn: 12 Data-Driven Habits that Separate the Best Leaders from the Rest</t>
  </si>
  <si>
    <t>William Vanderbloemen</t>
  </si>
  <si>
    <t>Vanderbloemen, William</t>
  </si>
  <si>
    <t>John C. Maxwell</t>
  </si>
  <si>
    <t>HarperCollins Leadership</t>
  </si>
  <si>
    <t>to-read (#246)</t>
  </si>
  <si>
    <t>The Last Murder at the End of the World</t>
  </si>
  <si>
    <t>Stuart Turton</t>
  </si>
  <si>
    <t>Turton, Stuart</t>
  </si>
  <si>
    <t>to-read (#245)</t>
  </si>
  <si>
    <t>The Algebra of Happiness: Notes on the Pursuit of Success, Love, and Meaning</t>
  </si>
  <si>
    <t>Scott Galloway</t>
  </si>
  <si>
    <t>Galloway, Scott</t>
  </si>
  <si>
    <t>Portfolio</t>
  </si>
  <si>
    <t>to-read (#244)</t>
  </si>
  <si>
    <t>Self-Help</t>
  </si>
  <si>
    <t>The Downstairs Girl</t>
  </si>
  <si>
    <t>Stacey  Lee</t>
  </si>
  <si>
    <t>Lee, Stacey</t>
  </si>
  <si>
    <t>Putnam</t>
  </si>
  <si>
    <t>to-read (#243)</t>
  </si>
  <si>
    <t>The Red Palace</t>
  </si>
  <si>
    <t>June Hur</t>
  </si>
  <si>
    <t>Hur, June</t>
  </si>
  <si>
    <t>to-read (#242)</t>
  </si>
  <si>
    <t>Beautiful Country</t>
  </si>
  <si>
    <t>Qian Julie Wang</t>
  </si>
  <si>
    <t>Wang, Qian Julie</t>
  </si>
  <si>
    <t>to-read (#241)</t>
  </si>
  <si>
    <t>Island Witch</t>
  </si>
  <si>
    <t>Amanda Jayatissa</t>
  </si>
  <si>
    <t>Jayatissa, Amanda</t>
  </si>
  <si>
    <t>to-read (#240)</t>
  </si>
  <si>
    <t>The Fervor</t>
  </si>
  <si>
    <t>Alma Katsu</t>
  </si>
  <si>
    <t>Katsu, Alma</t>
  </si>
  <si>
    <t>to-read (#239)</t>
  </si>
  <si>
    <t>The Cartographers</t>
  </si>
  <si>
    <t>Peng Shepherd</t>
  </si>
  <si>
    <t>Shepherd, Peng</t>
  </si>
  <si>
    <t>to-read (#238)</t>
  </si>
  <si>
    <t>The Leftover Woman</t>
  </si>
  <si>
    <t>Jean Kwok</t>
  </si>
  <si>
    <t>Kwok, Jean</t>
  </si>
  <si>
    <t>to-read (#237)</t>
  </si>
  <si>
    <t>I Cheerfully Refuse</t>
  </si>
  <si>
    <t>Leif Enger</t>
  </si>
  <si>
    <t>Enger, Leif</t>
  </si>
  <si>
    <t>to-read (#236)</t>
  </si>
  <si>
    <t>Wishtress</t>
  </si>
  <si>
    <t>to-read (#235)</t>
  </si>
  <si>
    <t>The BFG</t>
  </si>
  <si>
    <t>Roald Dahl</t>
  </si>
  <si>
    <t>Dahl, Roald</t>
  </si>
  <si>
    <t>Quentin Blake</t>
  </si>
  <si>
    <t>Oh, the Places Youâ€™ll Go!</t>
  </si>
  <si>
    <t>Dr. Seuss</t>
  </si>
  <si>
    <t>Seuss, Dr.</t>
  </si>
  <si>
    <t>Random House Books for Young Readers</t>
  </si>
  <si>
    <t>Frog and Toad Are Friends (Frog and Toad, #1)</t>
  </si>
  <si>
    <t>Arnold Lobel</t>
  </si>
  <si>
    <t>Lobel, Arnold</t>
  </si>
  <si>
    <t>Chicka Chicka Boom Boom</t>
  </si>
  <si>
    <t>Bill Martin Jr.</t>
  </si>
  <si>
    <t>Jr., Bill Martin</t>
  </si>
  <si>
    <t>John Archambault, Lois Ehlert</t>
  </si>
  <si>
    <t>Beach Lane Books</t>
  </si>
  <si>
    <t>Love You Forever</t>
  </si>
  <si>
    <t>Robert Munsch</t>
  </si>
  <si>
    <t>Munsch, Robert</t>
  </si>
  <si>
    <t>Sheila McGraw</t>
  </si>
  <si>
    <t>Firefly Books</t>
  </si>
  <si>
    <t>Charlotteâ€™s Web</t>
  </si>
  <si>
    <t>E.B. White</t>
  </si>
  <si>
    <t>White, E.B.</t>
  </si>
  <si>
    <t>Garth Williams, Rosemary Wells</t>
  </si>
  <si>
    <t>HarperCollinsPublishers</t>
  </si>
  <si>
    <t>Green Eggs and Ham</t>
  </si>
  <si>
    <t>The Very Hungry Caterpillar</t>
  </si>
  <si>
    <t>Eric Carle</t>
  </si>
  <si>
    <t>Carle, Eric</t>
  </si>
  <si>
    <t>Board book</t>
  </si>
  <si>
    <t>Where the Wild Things Are</t>
  </si>
  <si>
    <t>Maurice Sendak</t>
  </si>
  <si>
    <t>Sendak, Maurice</t>
  </si>
  <si>
    <t>Red Fox</t>
  </si>
  <si>
    <t>Tribulation Force (Left Behind, #2)</t>
  </si>
  <si>
    <t>When God Says Go: The Amazing Journey of a Slave's Daughter</t>
  </si>
  <si>
    <t>Lorry Lutz</t>
  </si>
  <si>
    <t>Lutz, Lorry</t>
  </si>
  <si>
    <t>Discovery House Publishers</t>
  </si>
  <si>
    <t>How amazing is God that he gave mother Eliza, the ability to spread the good news that Jesus died for our sins and loves us beyond measure. The best thing that stands out lies amazing journey is that no matter what obstacles man put in her way she always answered the call from God to take his word and his love to Africa. This is a great read for any person during any season of life especially when one needs that pushto realize that God created you with resilience and faithfulness, prayer and leaning on him for wisdom. He will take you through any trial or tribulation. All you have to do is go when he calls. Amazing story.</t>
  </si>
  <si>
    <t>Tennessee Brides (Romancing America)</t>
  </si>
  <si>
    <t>Diane T. Ashley</t>
  </si>
  <si>
    <t>Ashley, Diane T.</t>
  </si>
  <si>
    <t>Aaron McCarver</t>
  </si>
  <si>
    <t>Barbour Publishing, Inc.</t>
  </si>
  <si>
    <t>What a beautiful series! Diane definitely brought the other side of the Antebellum South to life through Rebekah, Iris, and Amelia. Despite the horrors of America's past, Tennessee Brides is beautiful and sobering reminder of the true divide within our nation that runs deep still to this day. However, we are also reminded of the brave men and women that opposed the injustice and barbarism of slavery all while still having to live life. It makes me appreciate and love my country so much more knowing the sacrifices of others has brought us her today. So thankful and blessed for the time I got to enjoy these beautiful stories filled with faith and love. God Bless You Diane Ashley</t>
  </si>
  <si>
    <t>Manor for Sale, Baron Included  (A Romance of Rank, #1)</t>
  </si>
  <si>
    <t xml:space="preserve">Absolutely adorable! This is a wonderful quick read, with great humor and just the right amount of kisses, would consider a clean read for ages 13+ I gave 4 stars (4.7) because I feel there was more room to add in a bit more comedy. However, as a working mom and currently in school, I could not put this book down!!! A beautiful romance with plenty of little gems and lessons young ladies can learn. Will be stocking away to read again someday. </t>
  </si>
  <si>
    <t>The Shack: Where Tragedy Confronts Eternity</t>
  </si>
  <si>
    <t>William Paul Young</t>
  </si>
  <si>
    <t>Young, William Paul</t>
  </si>
  <si>
    <t>Windblown Media</t>
  </si>
  <si>
    <t>Life changing! I have never read a book that better depicts how God can use a bad situation for good and provide a glimpse of just how personal our relationship should be with God. Beautiful story of a man who thought he had every reason to be mad at God, comes to learn just how much he is loved. It is never too late to make Christ the center of your life and grow your relationship with him. Reading The Shack, one will experience every emotion from laughter to rage, sadness to joy. Great read to kick off 2024! I would add this is a book for a mature Christians that have a firm understanding of the trinity.</t>
  </si>
  <si>
    <t>The Mysterious Benedict Society and the Perilous Journey (The Mysterious Benedict Society, #2)</t>
  </si>
  <si>
    <t>Diana Sudyka</t>
  </si>
  <si>
    <t xml:space="preserve">Overall a great continuation to the series. It was a bit of a slow start for me and I was missing the funny banter we had in the first book. The development of the the childrenâ€™s home life with their parents was a ray of sunshine! You see elements of reunited, renewed and newly formed families, love the various explanations. Constance is still my favorite â€œwhy clean my room or do my laundry when you do it so much better?â€ Says what 3 year old </t>
  </si>
  <si>
    <t>God of All Things: Rediscovering the Sacred in an Everyday World</t>
  </si>
  <si>
    <t>Andrew         Wilson</t>
  </si>
  <si>
    <t>Wilson, Andrew</t>
  </si>
  <si>
    <t>Zondervan</t>
  </si>
  <si>
    <t>Agenda 21 (Agenda 21, #1)</t>
  </si>
  <si>
    <t>Harriet Parke</t>
  </si>
  <si>
    <t xml:space="preserve">What a page turner! I could not put this book down and am so surprised this was Goodwill find! I am committed and will have to get the second book. This could have been an easy five star read but I feel the story was a bit rush and it would have been amazing to see more character and world development. I have so many unanswered questions about characters backstories, relationships, and connections. Overall a great read looking for to finishing and learning more about the legislation related to this novel. </t>
  </si>
  <si>
    <t>So Let Them Burn (Divine Traitors, #1)</t>
  </si>
  <si>
    <t>Kamilah Cole</t>
  </si>
  <si>
    <t>Cole, Kamilah</t>
  </si>
  <si>
    <t>Little, Brown Young Readers</t>
  </si>
  <si>
    <t>to-read (#234)</t>
  </si>
  <si>
    <t>Why You Should Read Children's Books, Even Though You Are So Old and Wise</t>
  </si>
  <si>
    <t>Bloomsbury Publishing PLC</t>
  </si>
  <si>
    <t>to-read (#232)</t>
  </si>
  <si>
    <t>The Good Thieves</t>
  </si>
  <si>
    <t>to-read (#231)</t>
  </si>
  <si>
    <t>Impossible Creatures</t>
  </si>
  <si>
    <t>to-read (#230)</t>
  </si>
  <si>
    <t>The Explorer</t>
  </si>
  <si>
    <t>to-read (#229)</t>
  </si>
  <si>
    <t>The Girl from the Train</t>
  </si>
  <si>
    <t>Irma Joubert</t>
  </si>
  <si>
    <t>Joubert, Irma</t>
  </si>
  <si>
    <t>to-read (#227)</t>
  </si>
  <si>
    <t>Miss Morgan's Book Brigade</t>
  </si>
  <si>
    <t>to-read (#226)</t>
  </si>
  <si>
    <t>Rejection Proof: How I Beat Fear and Became Invincible Through 100 Days of Rejection</t>
  </si>
  <si>
    <t>Jia Jiang</t>
  </si>
  <si>
    <t>Jiang, Jia</t>
  </si>
  <si>
    <t>Harmony</t>
  </si>
  <si>
    <t>to-read (#225)</t>
  </si>
  <si>
    <t>The Fellowship of Puzzlemakers</t>
  </si>
  <si>
    <t>Samuel Burr</t>
  </si>
  <si>
    <t>Burr, Samuel</t>
  </si>
  <si>
    <t>to-read (#224)</t>
  </si>
  <si>
    <t>Case of the Bayfront Murder: A Macaroni on Wheels Mystery</t>
  </si>
  <si>
    <t>S.K. Derban</t>
  </si>
  <si>
    <t>Derban, S.K.</t>
  </si>
  <si>
    <t>to-read (#223)</t>
  </si>
  <si>
    <t>Atomic Habits: An Easy &amp; Proven Way to Build Good Habits &amp; Break Bad Ones</t>
  </si>
  <si>
    <t>James Clear</t>
  </si>
  <si>
    <t>Clear, James</t>
  </si>
  <si>
    <t>Avery</t>
  </si>
  <si>
    <t>to-read (#222)</t>
  </si>
  <si>
    <t>Survival in Auschwitz</t>
  </si>
  <si>
    <t>Primo Levi</t>
  </si>
  <si>
    <t>Levi, Primo</t>
  </si>
  <si>
    <t>Philip Roth</t>
  </si>
  <si>
    <t>to-read (#221)</t>
  </si>
  <si>
    <t>The Rise and Fall of the Third Reich: A History of Nazi Germany</t>
  </si>
  <si>
    <t>William L. Shirer</t>
  </si>
  <si>
    <t>Shirer, William L.</t>
  </si>
  <si>
    <t>to-read (#220)</t>
  </si>
  <si>
    <t>The Immortal Life of Henrietta Lacks</t>
  </si>
  <si>
    <t>Rebecca Skloot</t>
  </si>
  <si>
    <t>Skloot, Rebecca</t>
  </si>
  <si>
    <t>Crown Publishing Group</t>
  </si>
  <si>
    <t>to-read (#219)</t>
  </si>
  <si>
    <t>Paradise Lost</t>
  </si>
  <si>
    <t>John Milton</t>
  </si>
  <si>
    <t>Milton, John</t>
  </si>
  <si>
    <t>to-read (#218)</t>
  </si>
  <si>
    <t>The 7 Habits of Highly Effective People: Powerful Lessons in Personal Change</t>
  </si>
  <si>
    <t>Stephen R. Covey</t>
  </si>
  <si>
    <t>Covey, Stephen R.</t>
  </si>
  <si>
    <t>Jim Collins</t>
  </si>
  <si>
    <t>Free Press</t>
  </si>
  <si>
    <t>to-read (#217)</t>
  </si>
  <si>
    <t>How to Win Friends &amp; Influence People</t>
  </si>
  <si>
    <t>Dale Carnegie</t>
  </si>
  <si>
    <t>Carnegie, Dale</t>
  </si>
  <si>
    <t>Gallery Books</t>
  </si>
  <si>
    <t>to-read (#216)</t>
  </si>
  <si>
    <t>A Child Called "It" (Dave Pelzer, #1)</t>
  </si>
  <si>
    <t>Dave Pelzer</t>
  </si>
  <si>
    <t>Pelzer, Dave</t>
  </si>
  <si>
    <t>Health Communications Inc</t>
  </si>
  <si>
    <t>Number the Stars</t>
  </si>
  <si>
    <t>Lois Lowry</t>
  </si>
  <si>
    <t>Lowry, Lois</t>
  </si>
  <si>
    <t>to-read (#215)</t>
  </si>
  <si>
    <t>Beloved (Beloved Trilogy, #1)</t>
  </si>
  <si>
    <t>Toni Morrison</t>
  </si>
  <si>
    <t>Morrison, Toni</t>
  </si>
  <si>
    <t>to-read (#214)</t>
  </si>
  <si>
    <t>The Complete Grimm's Fairy Tales</t>
  </si>
  <si>
    <t>Jacob Grimm</t>
  </si>
  <si>
    <t>Grimm, Jacob</t>
  </si>
  <si>
    <t>Wilhelm Grimm, Josef Scharl, Padraic Colum, Joseph Campbell, Margaret Raine Hunt</t>
  </si>
  <si>
    <t>Pantheon Books</t>
  </si>
  <si>
    <t>to-read (#213)</t>
  </si>
  <si>
    <t>The Canterbury Tales</t>
  </si>
  <si>
    <t>Geoffrey Chaucer</t>
  </si>
  <si>
    <t>Chaucer, Geoffrey</t>
  </si>
  <si>
    <t>Nevill Coghill</t>
  </si>
  <si>
    <t>to-read (#212)</t>
  </si>
  <si>
    <t>Oliver Twist</t>
  </si>
  <si>
    <t>Philip Horne</t>
  </si>
  <si>
    <t>to-read (#211)</t>
  </si>
  <si>
    <t>The Velveteen Rabbit</t>
  </si>
  <si>
    <t>Margery Williams Bianco</t>
  </si>
  <si>
    <t>Bianco, Margery Williams</t>
  </si>
  <si>
    <t>William   Nicholson</t>
  </si>
  <si>
    <t>to-read (#210)</t>
  </si>
  <si>
    <t>One Hundred Years of Solitude</t>
  </si>
  <si>
    <t>Gabriel GarcÃ­a MÃ¡rquez</t>
  </si>
  <si>
    <t>MÃ¡rquez, Gabriel GarcÃ­a</t>
  </si>
  <si>
    <t>Gregory Rabassa</t>
  </si>
  <si>
    <t>to-read (#209)</t>
  </si>
  <si>
    <t>The Hitchhikerâ€™s Guide to the Galaxy (The Hitchhiker's Guide to the Galaxy, #1)</t>
  </si>
  <si>
    <t>Douglas Adams</t>
  </si>
  <si>
    <t>Adams, Douglas</t>
  </si>
  <si>
    <t>to-read (#208)</t>
  </si>
  <si>
    <t>I Know Why the Caged Bird Sings (Maya Angelou's Autobiography, #1)</t>
  </si>
  <si>
    <t>Angelou, Maya</t>
  </si>
  <si>
    <t>to-read (#207)</t>
  </si>
  <si>
    <t>The Time Traveler's Wife</t>
  </si>
  <si>
    <t>Audrey Niffenegger</t>
  </si>
  <si>
    <t>Niffenegger, Audrey</t>
  </si>
  <si>
    <t>Zola Books</t>
  </si>
  <si>
    <t>to-read (#206)</t>
  </si>
  <si>
    <t>A Tale of Two Cities</t>
  </si>
  <si>
    <t>Richard Maxwell</t>
  </si>
  <si>
    <t>to-read (#205)</t>
  </si>
  <si>
    <t>The Grapes of Wrath</t>
  </si>
  <si>
    <t>John Steinbeck</t>
  </si>
  <si>
    <t>Steinbeck, John</t>
  </si>
  <si>
    <t>to-read (#204)</t>
  </si>
  <si>
    <t>Crime and Punishment</t>
  </si>
  <si>
    <t>Fyodor Dostoevsky</t>
  </si>
  <si>
    <t>Dostoevsky, Fyodor</t>
  </si>
  <si>
    <t>David McDuff, Joseph Frank</t>
  </si>
  <si>
    <t>to-read (#203)</t>
  </si>
  <si>
    <t>Night</t>
  </si>
  <si>
    <t>Elie Wiesel</t>
  </si>
  <si>
    <t>Wiesel, Elie</t>
  </si>
  <si>
    <t>Marion Wiesel, FranÃ§ois Mauriac</t>
  </si>
  <si>
    <t>Hill &amp; Wang</t>
  </si>
  <si>
    <t>to-read (#202)</t>
  </si>
  <si>
    <t>Aliceâ€™s Adventures in Wonderland / Through the Looking-Glass</t>
  </si>
  <si>
    <t>Lewis Carroll</t>
  </si>
  <si>
    <t>Carroll, Lewis</t>
  </si>
  <si>
    <t>Martin Gardner, John Tenniel</t>
  </si>
  <si>
    <t>Penguin Group (USA)</t>
  </si>
  <si>
    <t>to-read (#201)</t>
  </si>
  <si>
    <t>Animal Farm</t>
  </si>
  <si>
    <t>George Orwell</t>
  </si>
  <si>
    <t>Orwell, George</t>
  </si>
  <si>
    <t>Russell Baker, C.M. Woodhouse</t>
  </si>
  <si>
    <t>Signet Classics</t>
  </si>
  <si>
    <t>to-read (#200)</t>
  </si>
  <si>
    <t>The Diary of a Young Girl</t>
  </si>
  <si>
    <t>Anne Frank</t>
  </si>
  <si>
    <t>Frank, Anne</t>
  </si>
  <si>
    <t>Eleanor Roosevelt, Susan Massotty, Î“Î¹Î¬Î½Î½Î·Ï‚ Î˜Ï‰Î¼ÏŒÏ€Î¿Ï…Î»Î¿Ï‚, Barbara Mooyaart-Doubleday, Otto H. Frank, Mirjam Pressler</t>
  </si>
  <si>
    <t>Match Me If You Can (Chicago Stars, #6)</t>
  </si>
  <si>
    <t>Susan Elizabeth Phillips</t>
  </si>
  <si>
    <t>Phillips, Susan Elizabeth</t>
  </si>
  <si>
    <t>AVON Books</t>
  </si>
  <si>
    <t>to-read (#199)</t>
  </si>
  <si>
    <t>How to Solve Your Own Murder (Castle Knoll Files, #1)</t>
  </si>
  <si>
    <t>Kristen Perrin</t>
  </si>
  <si>
    <t>Perrin, Kristen</t>
  </si>
  <si>
    <t>to-read (#198)</t>
  </si>
  <si>
    <t>Divine Rivals (Letters of Enchantment, #1)</t>
  </si>
  <si>
    <t>Rebecca   Ross</t>
  </si>
  <si>
    <t>Ross, Rebecca</t>
  </si>
  <si>
    <t>to-read (#197)</t>
  </si>
  <si>
    <t>None of This Is True</t>
  </si>
  <si>
    <t>Lisa Jewell</t>
  </si>
  <si>
    <t>Jewell, Lisa</t>
  </si>
  <si>
    <t>to-read (#196)</t>
  </si>
  <si>
    <t>Funny Story</t>
  </si>
  <si>
    <t>to-read (#195)</t>
  </si>
  <si>
    <t>Freedom of Expression: Foundational Documents and Historical Arguments</t>
  </si>
  <si>
    <t>Oxbridge Research Associates</t>
  </si>
  <si>
    <t>to-read (#194)</t>
  </si>
  <si>
    <t>Myth, Media, and the Southern Mind</t>
  </si>
  <si>
    <t>University of Arkansas Press</t>
  </si>
  <si>
    <t>to-read (#193)</t>
  </si>
  <si>
    <t>Stiff: The Curious Lives of Human Cadavers</t>
  </si>
  <si>
    <t>Mary Roach</t>
  </si>
  <si>
    <t>Roach, Mary</t>
  </si>
  <si>
    <t>to-read (#192)</t>
  </si>
  <si>
    <t>Killers of the Flower Moon: The Osage Murders and the Birth of the FBI</t>
  </si>
  <si>
    <t>David Grann</t>
  </si>
  <si>
    <t>Grann, David</t>
  </si>
  <si>
    <t>to-read (#191)</t>
  </si>
  <si>
    <t>Hang the Moon</t>
  </si>
  <si>
    <t>Jeannette Walls</t>
  </si>
  <si>
    <t>Walls, Jeannette</t>
  </si>
  <si>
    <t>to-read (#190)</t>
  </si>
  <si>
    <t>Murder on the Orient Express (Heracule Poirot, #10)</t>
  </si>
  <si>
    <t>Agatha Christie</t>
  </si>
  <si>
    <t>Christie, Agatha</t>
  </si>
  <si>
    <t>to-read (#189)</t>
  </si>
  <si>
    <t>The Clinic</t>
  </si>
  <si>
    <t>Cate Quinn</t>
  </si>
  <si>
    <t>Quinn, Cate</t>
  </si>
  <si>
    <t>to-read (#188)</t>
  </si>
  <si>
    <t>A Change of Fortune (Ladies of Distinction, #1)</t>
  </si>
  <si>
    <t>to-read (#187)</t>
  </si>
  <si>
    <t>A Noble Masquerade (Hawthorne House, #1)</t>
  </si>
  <si>
    <t>Kristi Ann Hunter</t>
  </si>
  <si>
    <t>Hunter, Kristi Ann</t>
  </si>
  <si>
    <t>to-read (#186)</t>
  </si>
  <si>
    <t>Forever, or a Long, Long Time</t>
  </si>
  <si>
    <t>Caela Carter</t>
  </si>
  <si>
    <t>Carter, Caela</t>
  </si>
  <si>
    <t xml:space="preserve">HarperCollins </t>
  </si>
  <si>
    <t>to-read (#185)</t>
  </si>
  <si>
    <t>The Wonderling</t>
  </si>
  <si>
    <t>Mira Bartok</t>
  </si>
  <si>
    <t>Bartok, Mira</t>
  </si>
  <si>
    <t>Candlewick Press</t>
  </si>
  <si>
    <t>to-read (#184)</t>
  </si>
  <si>
    <t>Ban This Book</t>
  </si>
  <si>
    <t>Starscape</t>
  </si>
  <si>
    <t>to-read (#183)</t>
  </si>
  <si>
    <t>Snow &amp; Rose</t>
  </si>
  <si>
    <t>Emily Winfield Martin</t>
  </si>
  <si>
    <t>Martin, Emily Winfield</t>
  </si>
  <si>
    <t>to-read (#182)</t>
  </si>
  <si>
    <t>Refugee</t>
  </si>
  <si>
    <t xml:space="preserve">Scholastic </t>
  </si>
  <si>
    <t>to-read (#181)</t>
  </si>
  <si>
    <t>The Peculiar Incident on Shady Street</t>
  </si>
  <si>
    <t xml:space="preserve">Aladdin </t>
  </si>
  <si>
    <t>to-read (#180)</t>
  </si>
  <si>
    <t>Don't Check Out This Book!</t>
  </si>
  <si>
    <t>Kate Klise</t>
  </si>
  <si>
    <t>Klise, Kate</t>
  </si>
  <si>
    <t>M. Sarah Klise</t>
  </si>
  <si>
    <t>to-read (#179)</t>
  </si>
  <si>
    <t>Tilly and the Lost Fairytales (Pages &amp; Co., #2)</t>
  </si>
  <si>
    <t>Anna     James</t>
  </si>
  <si>
    <t>James, Anna</t>
  </si>
  <si>
    <t>HarperCollinsChildrenâ€™sBooks</t>
  </si>
  <si>
    <t>to-read (#178)</t>
  </si>
  <si>
    <t>The Unbreakable Code (Book Scavenger, #2)</t>
  </si>
  <si>
    <t>Jennifer Chambliss Bertman</t>
  </si>
  <si>
    <t>Bertman, Jennifer Chambliss</t>
  </si>
  <si>
    <t>to-read (#177)</t>
  </si>
  <si>
    <t>The Alcatraz Escape (Book Scavenger, #3)</t>
  </si>
  <si>
    <t>Sarah Watts</t>
  </si>
  <si>
    <t>Henry Holt and Co.</t>
  </si>
  <si>
    <t>to-read (#176)</t>
  </si>
  <si>
    <t>The Jinn Daughter</t>
  </si>
  <si>
    <t>Rania Hanna</t>
  </si>
  <si>
    <t>Hanna, Rania</t>
  </si>
  <si>
    <t>Hoopoe</t>
  </si>
  <si>
    <t>to-read (#175)</t>
  </si>
  <si>
    <t>The Wives: A Memoir</t>
  </si>
  <si>
    <t>Simone Gorrindo</t>
  </si>
  <si>
    <t>Gorrindo, Simone</t>
  </si>
  <si>
    <t>Gallery/Scout Press</t>
  </si>
  <si>
    <t>to-read (#174)</t>
  </si>
  <si>
    <t>1491: New Revelations of the Americas Before Columbus</t>
  </si>
  <si>
    <t>Charles C. Mann</t>
  </si>
  <si>
    <t>Mann, Charles C.</t>
  </si>
  <si>
    <t>to-read (#173)</t>
  </si>
  <si>
    <t>How to Win Friends and Influence People in the Digital Age (Dale Carnegie Books)</t>
  </si>
  <si>
    <t>to-read (#172)</t>
  </si>
  <si>
    <t>Think Again: The Power of Knowing What You Don't Know</t>
  </si>
  <si>
    <t>Adam M. Grant</t>
  </si>
  <si>
    <t>Grant, Adam M.</t>
  </si>
  <si>
    <t>Viking Books</t>
  </si>
  <si>
    <t>to-read (#171)</t>
  </si>
  <si>
    <t>Threads That Bind (Threads That Bind, #1)</t>
  </si>
  <si>
    <t>Kika Hatzopoulou</t>
  </si>
  <si>
    <t>Hatzopoulou, Kika</t>
  </si>
  <si>
    <t>Razorbill</t>
  </si>
  <si>
    <t>to-read (#170)</t>
  </si>
  <si>
    <t>Earls Trip</t>
  </si>
  <si>
    <t>Jenny  Holiday</t>
  </si>
  <si>
    <t>Holiday, Jenny</t>
  </si>
  <si>
    <t>Kensington Books</t>
  </si>
  <si>
    <t>to-read (#169)</t>
  </si>
  <si>
    <t>Mr. Lemoncello's Great Library Race (Mr. Lemoncello's Library, #3)</t>
  </si>
  <si>
    <t>Chris Grabenstein</t>
  </si>
  <si>
    <t>Grabenstein, Chris</t>
  </si>
  <si>
    <t>to-read (#168)</t>
  </si>
  <si>
    <t>A Love by Design (The Secret Scientists of London, #3)</t>
  </si>
  <si>
    <t>Elizabeth  Everett</t>
  </si>
  <si>
    <t>Everett, Elizabeth</t>
  </si>
  <si>
    <t>Berkley Jove</t>
  </si>
  <si>
    <t>to-read (#167)</t>
  </si>
  <si>
    <t>A Lady's Guide to Scandal (A Lady's Guide, #2)</t>
  </si>
  <si>
    <t>Sophie Irwin</t>
  </si>
  <si>
    <t>Irwin, Sophie</t>
  </si>
  <si>
    <t>to-read (#166)</t>
  </si>
  <si>
    <t>A Spinster's Guide to Danger and Dukes (Ladies Most Scandalous, #3)</t>
  </si>
  <si>
    <t>to-read (#165)</t>
  </si>
  <si>
    <t>Educated</t>
  </si>
  <si>
    <t>Tara Westover</t>
  </si>
  <si>
    <t>Westover, Tara</t>
  </si>
  <si>
    <t>to-read (#164)</t>
  </si>
  <si>
    <t>The Wartime Book Club</t>
  </si>
  <si>
    <t>to-read (#163)</t>
  </si>
  <si>
    <t>A Council of Dolls</t>
  </si>
  <si>
    <t>Mona Susan Power</t>
  </si>
  <si>
    <t>Power, Mona Susan</t>
  </si>
  <si>
    <t>to-read (#162)</t>
  </si>
  <si>
    <t>History Lost and Found (Secrets From Grandmaâ€™s Attic, #1)</t>
  </si>
  <si>
    <t>Beth Adams</t>
  </si>
  <si>
    <t>Adams, Beth</t>
  </si>
  <si>
    <t xml:space="preserve">Guideposts </t>
  </si>
  <si>
    <t>to-read (#161)</t>
  </si>
  <si>
    <t>Till We Have Faces</t>
  </si>
  <si>
    <t>Harcourt Paperbacks</t>
  </si>
  <si>
    <t>to-read (#160)</t>
  </si>
  <si>
    <t>The Italian Job</t>
  </si>
  <si>
    <t>Kathryn  Freeman</t>
  </si>
  <si>
    <t>Freeman, Kathryn</t>
  </si>
  <si>
    <t>One More Chapter</t>
  </si>
  <si>
    <t>to-read (#159)</t>
  </si>
  <si>
    <t>The Cryptographerâ€™s Dilemma (Heroines of WWII)</t>
  </si>
  <si>
    <t>Johnnie Alexander</t>
  </si>
  <si>
    <t>Alexander, Johnnie</t>
  </si>
  <si>
    <t>Barbour Publishing</t>
  </si>
  <si>
    <t>to-read (#158)</t>
  </si>
  <si>
    <t>To Spark a Match (The Matchmakers, #2)</t>
  </si>
  <si>
    <t>to-read (#157)</t>
  </si>
  <si>
    <t>The Healer's Apprentice (Hagenheim, #1)</t>
  </si>
  <si>
    <t>to-read (#156)</t>
  </si>
  <si>
    <t>Diamond in the Rough (American Heiresses, #2)</t>
  </si>
  <si>
    <t>to-read (#155)</t>
  </si>
  <si>
    <t>Storing Up Trouble (American Heiresses, #3)</t>
  </si>
  <si>
    <t>to-read (#154)</t>
  </si>
  <si>
    <t>Always, in December</t>
  </si>
  <si>
    <t>Emily      Stone</t>
  </si>
  <si>
    <t>Stone, Emily</t>
  </si>
  <si>
    <t>to-read (#153)</t>
  </si>
  <si>
    <t>The Dovekeepers</t>
  </si>
  <si>
    <t>Simon and Schuster</t>
  </si>
  <si>
    <t>to-read (#152)</t>
  </si>
  <si>
    <t>Ar'n't I a Woman?: Female Slaves in the Plantation South</t>
  </si>
  <si>
    <t>Deborah Gray White</t>
  </si>
  <si>
    <t>White, Deborah Gray</t>
  </si>
  <si>
    <t>W. W. Norton  Company</t>
  </si>
  <si>
    <t>to-read (#151)</t>
  </si>
  <si>
    <t>Yellow Wife</t>
  </si>
  <si>
    <t>Sadeqa Johnson</t>
  </si>
  <si>
    <t>Johnson, Sadeqa</t>
  </si>
  <si>
    <t>37 Ink</t>
  </si>
  <si>
    <t>to-read (#150)</t>
  </si>
  <si>
    <t>The Key House (The Noland Kids Adventure Series, #1)</t>
  </si>
  <si>
    <t>Mike      Curtis</t>
  </si>
  <si>
    <t>Curtis, Mike</t>
  </si>
  <si>
    <t>Powerline Productions</t>
  </si>
  <si>
    <t>to-read (#149)</t>
  </si>
  <si>
    <t>The Lions of Little Rock</t>
  </si>
  <si>
    <t>Kristin Levine</t>
  </si>
  <si>
    <t>Levine, Kristin</t>
  </si>
  <si>
    <t>to-read (#148)</t>
  </si>
  <si>
    <t>Unbound: A Novel in Verse</t>
  </si>
  <si>
    <t>Ann E. Burg</t>
  </si>
  <si>
    <t>Burg, Ann E.</t>
  </si>
  <si>
    <t>to-read (#147)</t>
  </si>
  <si>
    <t>Everything Sad Is Untrue</t>
  </si>
  <si>
    <t>Daniel Nayeri</t>
  </si>
  <si>
    <t>Nayeri, Daniel</t>
  </si>
  <si>
    <t>to-read (#146)</t>
  </si>
  <si>
    <t>Al Capone Does My Shirts (Tales from Alcatraz, #1)</t>
  </si>
  <si>
    <t>Gennifer Choldenko</t>
  </si>
  <si>
    <t>Choldenko, Gennifer</t>
  </si>
  <si>
    <t>to-read (#145)</t>
  </si>
  <si>
    <t>Never Rescue a Rogue (The Merriwell Sisters, #2)</t>
  </si>
  <si>
    <t>Virginia Heath</t>
  </si>
  <si>
    <t>Heath, Virginia</t>
  </si>
  <si>
    <t>to-read (#144)</t>
  </si>
  <si>
    <t>Artfully Yours (Duke Undone, #3)</t>
  </si>
  <si>
    <t>Joanna Lowell</t>
  </si>
  <si>
    <t>Lowell, Joanna</t>
  </si>
  <si>
    <t>to-read (#143)</t>
  </si>
  <si>
    <t>To Marry and to Meddle (The Regency Vows, #3)</t>
  </si>
  <si>
    <t>to-read (#142)</t>
  </si>
  <si>
    <t>Never Fall for Your FiancÃ©e (The Merriwell Sisters, #1)</t>
  </si>
  <si>
    <t>to-read (#141)</t>
  </si>
  <si>
    <t>Howlâ€™s Moving Castle (Howlâ€™s Moving Castle, #1)</t>
  </si>
  <si>
    <t>Harper Trophy</t>
  </si>
  <si>
    <t>to-read (#140)</t>
  </si>
  <si>
    <t>The Stinky Cheese Man and Other Fairly Stupid Tales</t>
  </si>
  <si>
    <t>Jon Scieszka</t>
  </si>
  <si>
    <t>Scieszka, Jon</t>
  </si>
  <si>
    <t>Lane Smith</t>
  </si>
  <si>
    <t>to-read (#139)</t>
  </si>
  <si>
    <t>The Giver (The Giver, #1)</t>
  </si>
  <si>
    <t>Ember</t>
  </si>
  <si>
    <t>to-read (#138)</t>
  </si>
  <si>
    <t>Holes (Holes, #1)</t>
  </si>
  <si>
    <t>Scholastic</t>
  </si>
  <si>
    <t>to-read (#137)</t>
  </si>
  <si>
    <t>Where the Sidewalk Ends</t>
  </si>
  <si>
    <t>Shel Silverstein</t>
  </si>
  <si>
    <t>Silverstein, Shel</t>
  </si>
  <si>
    <t>Harpercollins Childrens Books</t>
  </si>
  <si>
    <t>to-read (#136)</t>
  </si>
  <si>
    <t>The Giving Tree</t>
  </si>
  <si>
    <t>HarperCollins Publishers</t>
  </si>
  <si>
    <t>to-read (#135)</t>
  </si>
  <si>
    <t>The Vanderbeekers and the Hidden Garden (The Vanderbeekers, #2)</t>
  </si>
  <si>
    <t>Karina Yan Glaser</t>
  </si>
  <si>
    <t>Glaser, Karina Yan</t>
  </si>
  <si>
    <t>to-read (#134)</t>
  </si>
  <si>
    <t>Book Scavenger (Book Scavenger, #1)</t>
  </si>
  <si>
    <t>Christy Ottaviano Books (Henry Holt and Co.)</t>
  </si>
  <si>
    <t>to-read (#133)</t>
  </si>
  <si>
    <t>The Vanderbeekers of 141st Street (The Vanderbeekers, #1)</t>
  </si>
  <si>
    <t>to-read (#132)</t>
  </si>
  <si>
    <t>Never Fall Again (Gossamer Falls, #1)</t>
  </si>
  <si>
    <t>Lynn H. Blackburn</t>
  </si>
  <si>
    <t>Blackburn, Lynn H.</t>
  </si>
  <si>
    <t>to-read (#131)</t>
  </si>
  <si>
    <t>A Thieving Curse (The Miraveld Chronicles, #1)</t>
  </si>
  <si>
    <t>Selina R. Gonzalez</t>
  </si>
  <si>
    <t>Gonzalez, Selina R.</t>
  </si>
  <si>
    <t>Wyvern Wing Press</t>
  </si>
  <si>
    <t>to-read (#130)</t>
  </si>
  <si>
    <t>The Nightmare Virus</t>
  </si>
  <si>
    <t>to-read (#129)</t>
  </si>
  <si>
    <t>The Dragon and the Stone (The Dream Keeper Saga, #1)</t>
  </si>
  <si>
    <t>Kathryn  Butler</t>
  </si>
  <si>
    <t>Butler, Kathryn</t>
  </si>
  <si>
    <t>to-read (#128)</t>
  </si>
  <si>
    <t>The Lost Bookshop</t>
  </si>
  <si>
    <t>Evie  Woods</t>
  </si>
  <si>
    <t>Woods, Evie</t>
  </si>
  <si>
    <t>Evie Gaughan</t>
  </si>
  <si>
    <t>One More Chapter/HarperCollins UK</t>
  </si>
  <si>
    <t>to-read (#127)</t>
  </si>
  <si>
    <t>Yours Truly (Part of Your World, #2)</t>
  </si>
  <si>
    <t>to-read (#126)</t>
  </si>
  <si>
    <t>Remarkably Bright Creatures</t>
  </si>
  <si>
    <t>Shelby Van Pelt</t>
  </si>
  <si>
    <t>Pelt, Shelby Van</t>
  </si>
  <si>
    <t>to-read (#125)</t>
  </si>
  <si>
    <t>The Forgotten Sisters (Princess Academy, #3)</t>
  </si>
  <si>
    <t>Bloomsbury USA Childrens</t>
  </si>
  <si>
    <t>to-read (#124)</t>
  </si>
  <si>
    <t>The Nightingale</t>
  </si>
  <si>
    <t>to-read (#123)</t>
  </si>
  <si>
    <t>Amos Fortune, Free Man</t>
  </si>
  <si>
    <t>Elizabeth Yates</t>
  </si>
  <si>
    <t>Yates, Elizabeth</t>
  </si>
  <si>
    <t>to-read (#122)</t>
  </si>
  <si>
    <t>While the City Sleeps (Women of Midtown, #1)</t>
  </si>
  <si>
    <t>Elizabeth Camden</t>
  </si>
  <si>
    <t>Camden, Elizabeth</t>
  </si>
  <si>
    <t>to-read (#121)</t>
  </si>
  <si>
    <t>Shady Hollow (Shady Hollow, #1)</t>
  </si>
  <si>
    <t>to-read (#120)</t>
  </si>
  <si>
    <t>The Amulet</t>
  </si>
  <si>
    <t>Ann   Bennett</t>
  </si>
  <si>
    <t>Bennett, Ann</t>
  </si>
  <si>
    <t>Andaman Press</t>
  </si>
  <si>
    <t>to-read (#119)</t>
  </si>
  <si>
    <t>A View Across the Rooftops</t>
  </si>
  <si>
    <t>Suzanne Kelman</t>
  </si>
  <si>
    <t>Kelman, Suzanne</t>
  </si>
  <si>
    <t>to-read (#118)</t>
  </si>
  <si>
    <t>Digital Minimalism: Choosing a Focused Life in a Noisy World</t>
  </si>
  <si>
    <t>Cal Newport</t>
  </si>
  <si>
    <t>Newport, Cal</t>
  </si>
  <si>
    <t>to-read (#117)</t>
  </si>
  <si>
    <t>My Forbidden Billionaire (My Way to Romance, #1)</t>
  </si>
  <si>
    <t>Kristine W. Joy</t>
  </si>
  <si>
    <t>Joy, Kristine W.</t>
  </si>
  <si>
    <t>to-read (#116)</t>
  </si>
  <si>
    <t>The Extraordinary Education of Nicholas Benedict (The Mysterious Benedict Society, #0)</t>
  </si>
  <si>
    <t>to-read (#115)</t>
  </si>
  <si>
    <t>Diddly Squat: A Year on the Farm (Diddly Squat, #1)</t>
  </si>
  <si>
    <t>Jeremy Clarkson</t>
  </si>
  <si>
    <t>Clarkson, Jeremy</t>
  </si>
  <si>
    <t>Michael Joseph</t>
  </si>
  <si>
    <t>to-read (#114)</t>
  </si>
  <si>
    <t>The Book Woman's Daughter (The Book Woman of Troublesome Creek, #2)</t>
  </si>
  <si>
    <t>Kim Michele Richardson</t>
  </si>
  <si>
    <t>Richardson, Kim Michele</t>
  </si>
  <si>
    <t>to-read (#113)</t>
  </si>
  <si>
    <t>A Thousand Splendid Suns</t>
  </si>
  <si>
    <t>Khaled Hosseini</t>
  </si>
  <si>
    <t>Hosseini, Khaled</t>
  </si>
  <si>
    <t>to-read (#112)</t>
  </si>
  <si>
    <t>A Gentleman in Moscow</t>
  </si>
  <si>
    <t>Amor Towles</t>
  </si>
  <si>
    <t>Towles, Amor</t>
  </si>
  <si>
    <t>to-read (#111)</t>
  </si>
  <si>
    <t>The Story People</t>
  </si>
  <si>
    <t>Concordia Pub House</t>
  </si>
  <si>
    <t>to-read (#110)</t>
  </si>
  <si>
    <t>The American Daughters</t>
  </si>
  <si>
    <t>Maurice Carlos Ruffin</t>
  </si>
  <si>
    <t>Ruffin, Maurice Carlos</t>
  </si>
  <si>
    <t>to-read (#109)</t>
  </si>
  <si>
    <t>Daughter of the Pirate King (Daughter of the Pirate King, #1)</t>
  </si>
  <si>
    <t>Tricia Levenseller</t>
  </si>
  <si>
    <t>Levenseller, Tricia</t>
  </si>
  <si>
    <t>Feiwel  and Friends</t>
  </si>
  <si>
    <t>to-read (#108)</t>
  </si>
  <si>
    <t>The Orphan Collector</t>
  </si>
  <si>
    <t>Ellen Marie Wiseman</t>
  </si>
  <si>
    <t>Wiseman, Ellen Marie</t>
  </si>
  <si>
    <t>Kensington Publishing Corp.</t>
  </si>
  <si>
    <t>to-read (#107)</t>
  </si>
  <si>
    <t>The Underground Library</t>
  </si>
  <si>
    <t>Jennifer    Ryan</t>
  </si>
  <si>
    <t>Ryan, Jennifer</t>
  </si>
  <si>
    <t>to-read (#106)</t>
  </si>
  <si>
    <t>The Kitchen House</t>
  </si>
  <si>
    <t>Wild at Heart: Discovering the Secret of a Man's Soul</t>
  </si>
  <si>
    <t>John Eldredge</t>
  </si>
  <si>
    <t>Eldredge, John</t>
  </si>
  <si>
    <t>to-read (#105)</t>
  </si>
  <si>
    <t>Angry Conversations with God: A Snarky but Authentic Spiritual Memoir</t>
  </si>
  <si>
    <t>Susan E. Isaacs</t>
  </si>
  <si>
    <t>Isaacs, Susan E.</t>
  </si>
  <si>
    <t>FaithWords</t>
  </si>
  <si>
    <t>to-read (#104)</t>
  </si>
  <si>
    <t>The Book of Doors</t>
  </si>
  <si>
    <t>Gareth  Brown</t>
  </si>
  <si>
    <t>Brown, Gareth</t>
  </si>
  <si>
    <t>Transworld Publ. Ltd UK</t>
  </si>
  <si>
    <t>to-read (#103)</t>
  </si>
  <si>
    <t>The Husbands</t>
  </si>
  <si>
    <t>Holly Gramazio</t>
  </si>
  <si>
    <t>Gramazio, Holly</t>
  </si>
  <si>
    <t>to-read (#102)</t>
  </si>
  <si>
    <t>Never Whistle at Night: An Indigenous Dark Fiction Anthology</t>
  </si>
  <si>
    <t>Shane Hawk</t>
  </si>
  <si>
    <t>Hawk, Shane</t>
  </si>
  <si>
    <t>Theodore C. Van Alst Jr., Stephen Graham Jones, Norris Black, Amber Blaeser-Wardzala, Phoenix Boudreau, Cherie Dimaline, Carson Faust, Kelli Jo Ford, Kate  Hart, David Heska Wanbli Weiden, Brandon Hobson, Darcie Little Badger, Conley Lyons, Nick Medina, Tiffany Morris, Tommy Orange, Mona Susan Power, Marcie R. Rendon, Waubgeshig Rice, Rebecca Roanhorse, Andrea L. Rogers, Morgan Talty, D.H. Trujillo, Richard Van Camp, Royce Young Wolf, Mathilda Zeller</t>
  </si>
  <si>
    <t>to-read (#101)</t>
  </si>
  <si>
    <t>Wandering Stars</t>
  </si>
  <si>
    <t>Tommy Orange</t>
  </si>
  <si>
    <t>Orange, Tommy</t>
  </si>
  <si>
    <t>to-read (#100)</t>
  </si>
  <si>
    <t>Secret Daughter</t>
  </si>
  <si>
    <t>Shilpi Somaya Gowda</t>
  </si>
  <si>
    <t>Gowda, Shilpi Somaya</t>
  </si>
  <si>
    <t>to-read (#99)</t>
  </si>
  <si>
    <t>The Sound of Light</t>
  </si>
  <si>
    <t>to-read (#98)</t>
  </si>
  <si>
    <t>Too Like the Lightning (Terra Ignota, #1)</t>
  </si>
  <si>
    <t>Ada Palmer</t>
  </si>
  <si>
    <t>Palmer, Ada</t>
  </si>
  <si>
    <t>to-read (#97)</t>
  </si>
  <si>
    <t>Who Would Believe a Prisoner?: Indiana Womenâ€™s Carceral Institutions, 1848â€“1920</t>
  </si>
  <si>
    <t>The Indiana Womenâ€™s Prison History Project</t>
  </si>
  <si>
    <t>Project, The Indiana Womenâ€™s Prison History</t>
  </si>
  <si>
    <t>The New Press</t>
  </si>
  <si>
    <t>to-read (#96)</t>
  </si>
  <si>
    <t>The Things We Cannot Say</t>
  </si>
  <si>
    <t>Kelly Rimmer</t>
  </si>
  <si>
    <t>Rimmer, Kelly</t>
  </si>
  <si>
    <t>Graydon House</t>
  </si>
  <si>
    <t>to-read (#95)</t>
  </si>
  <si>
    <t>Tacos for Two</t>
  </si>
  <si>
    <t>Betsy St. Amant</t>
  </si>
  <si>
    <t>Amant, Betsy St.</t>
  </si>
  <si>
    <t>to-read (#94)</t>
  </si>
  <si>
    <t>Mississippi Brides: 3-in-1 Historical Collection (Romancing America)</t>
  </si>
  <si>
    <t>to-read (#93)</t>
  </si>
  <si>
    <t>After Humanity: A Guide to C.S. Lewis's The Abolition of Man</t>
  </si>
  <si>
    <t>Michael  Ward</t>
  </si>
  <si>
    <t>Ward, Michael</t>
  </si>
  <si>
    <t>Word on Fire Academic</t>
  </si>
  <si>
    <t>to-read (#92)</t>
  </si>
  <si>
    <t>The Great Divorce</t>
  </si>
  <si>
    <t>to-read (#91)</t>
  </si>
  <si>
    <t>The Abolition of Man</t>
  </si>
  <si>
    <t>to-read (#90)</t>
  </si>
  <si>
    <t>The Princess and the Goblin</t>
  </si>
  <si>
    <t>George MacDonald</t>
  </si>
  <si>
    <t>MacDonald, George</t>
  </si>
  <si>
    <t>Arthur Hughes</t>
  </si>
  <si>
    <t>Puffin</t>
  </si>
  <si>
    <t>to-read (#89)</t>
  </si>
  <si>
    <t>The Lost RyÅ«</t>
  </si>
  <si>
    <t>Emi Watanabe Cohen</t>
  </si>
  <si>
    <t>Cohen, Emi Watanabe</t>
  </si>
  <si>
    <t>to-read (#88)</t>
  </si>
  <si>
    <t>The Wintrish Girl (Talismans of Fate, #1)</t>
  </si>
  <si>
    <t>Melanie La'Brooy</t>
  </si>
  <si>
    <t>La'Brooy, Melanie</t>
  </si>
  <si>
    <t>to-read (#87)</t>
  </si>
  <si>
    <t>And Then There Were None</t>
  </si>
  <si>
    <t>to-read (#86)</t>
  </si>
  <si>
    <t>The Dictionary of Lost Words</t>
  </si>
  <si>
    <t>Pip Williams</t>
  </si>
  <si>
    <t>Williams, Pip</t>
  </si>
  <si>
    <t>Affirm Press</t>
  </si>
  <si>
    <t>to-read (#85)</t>
  </si>
  <si>
    <t>The War That Saved My Life (The War That Saved My Life, #1)</t>
  </si>
  <si>
    <t>to-read (#84)</t>
  </si>
  <si>
    <t>The Book of Lost Names</t>
  </si>
  <si>
    <t>Kristin Harmel</t>
  </si>
  <si>
    <t>Harmel, Kristin</t>
  </si>
  <si>
    <t>to-read (#83)</t>
  </si>
  <si>
    <t>The Poisonwood Bible</t>
  </si>
  <si>
    <t>Harper Perennial Modern Classics</t>
  </si>
  <si>
    <t>to-read (#82)</t>
  </si>
  <si>
    <t>The Light Between Oceans</t>
  </si>
  <si>
    <t>M.L. Stedman</t>
  </si>
  <si>
    <t>Stedman, M.L.</t>
  </si>
  <si>
    <t>to-read (#81)</t>
  </si>
  <si>
    <t>Homegoing</t>
  </si>
  <si>
    <t>Yaa Gyasi</t>
  </si>
  <si>
    <t>Gyasi, Yaa</t>
  </si>
  <si>
    <t>Alfred A. Knopf</t>
  </si>
  <si>
    <t>to-read (#80)</t>
  </si>
  <si>
    <t>The Underground Railroad</t>
  </si>
  <si>
    <t>Colson Whitehead</t>
  </si>
  <si>
    <t>Whitehead, Colson</t>
  </si>
  <si>
    <t>to-read (#79)</t>
  </si>
  <si>
    <t>The Kite Runner</t>
  </si>
  <si>
    <t>to-read (#78)</t>
  </si>
  <si>
    <t>All the Light We Cannot See</t>
  </si>
  <si>
    <t>Anthony Doerr</t>
  </si>
  <si>
    <t>Doerr, Anthony</t>
  </si>
  <si>
    <t>to-read (#77)</t>
  </si>
  <si>
    <t>Made to Crave: Satisfying Your Deepest Desire with God, Not Food</t>
  </si>
  <si>
    <t>Lysa TerKeurst</t>
  </si>
  <si>
    <t>TerKeurst, Lysa</t>
  </si>
  <si>
    <t>to-read (#76)</t>
  </si>
  <si>
    <t>Before We Were Yours</t>
  </si>
  <si>
    <t>Lisa Wingate</t>
  </si>
  <si>
    <t>Wingate, Lisa</t>
  </si>
  <si>
    <t>to-read (#75)</t>
  </si>
  <si>
    <t>The Book Woman of Troublesome Creek (The Book Woman of Troublesome Creek, #1)</t>
  </si>
  <si>
    <t>to-read (#74)</t>
  </si>
  <si>
    <t>The Boy on the Wooden Box</t>
  </si>
  <si>
    <t>Leon Leyson</t>
  </si>
  <si>
    <t>Leyson, Leon</t>
  </si>
  <si>
    <t>to-read (#73)</t>
  </si>
  <si>
    <t>We Will Not Be Silenced: Responding Courageously to Our Culture's Assault on Christianity</t>
  </si>
  <si>
    <t>Erwin W. Lutzer</t>
  </si>
  <si>
    <t>Lutzer, Erwin W.</t>
  </si>
  <si>
    <t>David Jeremiah</t>
  </si>
  <si>
    <t>Harvest House Publishers</t>
  </si>
  <si>
    <t>to-read (#72)</t>
  </si>
  <si>
    <t>Words on Fire</t>
  </si>
  <si>
    <t>Jennifer A. Nielsen</t>
  </si>
  <si>
    <t>Nielsen, Jennifer A.</t>
  </si>
  <si>
    <t>to-read (#71)</t>
  </si>
  <si>
    <t>Thieves' Gambit (Thieves' Gambit, #1)</t>
  </si>
  <si>
    <t>Kayvion Lewis</t>
  </si>
  <si>
    <t>Lewis, Kayvion</t>
  </si>
  <si>
    <t>Nancy Paulsen Books</t>
  </si>
  <si>
    <t>to-read (#70)</t>
  </si>
  <si>
    <t>Freewater</t>
  </si>
  <si>
    <t>Amina Luqman-Dawson</t>
  </si>
  <si>
    <t>Luqman-Dawson, Amina</t>
  </si>
  <si>
    <t>to-read (#69)</t>
  </si>
  <si>
    <t>The Extraordinary Deaths of Mrs. Kip</t>
  </si>
  <si>
    <t>Sara Brunsvold</t>
  </si>
  <si>
    <t>Brunsvold, Sara</t>
  </si>
  <si>
    <t>to-read (#13)</t>
  </si>
  <si>
    <t>Escape from Mr. Lemoncello's Library (Mr. Lemoncello's Library, #1)</t>
  </si>
  <si>
    <t>to-read (#61)</t>
  </si>
  <si>
    <t>The Earlâ€™s Hideaway, No Ladies Allowed (A Romance of Rank, #2)</t>
  </si>
  <si>
    <t>to-read (#57)</t>
  </si>
  <si>
    <t>Descendant of the Crane</t>
  </si>
  <si>
    <t>Joan He</t>
  </si>
  <si>
    <t>He, Joan</t>
  </si>
  <si>
    <t>to-read (#33)</t>
  </si>
  <si>
    <t>A Crown of Chains</t>
  </si>
  <si>
    <t>Erin  Phillips</t>
  </si>
  <si>
    <t>Phillips, Erin</t>
  </si>
  <si>
    <t>Ethereal Echo Press</t>
  </si>
  <si>
    <t>to-read (#11)</t>
  </si>
  <si>
    <t>Code Name Edelweiss</t>
  </si>
  <si>
    <t>to-read (#43)</t>
  </si>
  <si>
    <t>Burial Rites</t>
  </si>
  <si>
    <t>Hannah Kent</t>
  </si>
  <si>
    <t>Kent, Hannah</t>
  </si>
  <si>
    <t>to-read (#30)</t>
  </si>
  <si>
    <t>The Bridge Kingdom (The Bridge Kingdom, #1)</t>
  </si>
  <si>
    <t>Danielle L. Jensen</t>
  </si>
  <si>
    <t>Jensen, Danielle L.</t>
  </si>
  <si>
    <t>CLA</t>
  </si>
  <si>
    <t>to-read (#38)</t>
  </si>
  <si>
    <t>The Book of Negroes</t>
  </si>
  <si>
    <t>Lawrence Hill</t>
  </si>
  <si>
    <t>Hill, Lawrence</t>
  </si>
  <si>
    <t>to-read (#58)</t>
  </si>
  <si>
    <t>The Blood Trials (The Blood Gift Duology, #1)</t>
  </si>
  <si>
    <t>N.E. Davenport</t>
  </si>
  <si>
    <t>Davenport, N.E.</t>
  </si>
  <si>
    <t>to-read (#36)</t>
  </si>
  <si>
    <t>All's Fair in Love and Christmas</t>
  </si>
  <si>
    <t>Sarah Monzon</t>
  </si>
  <si>
    <t>Monzon, Sarah</t>
  </si>
  <si>
    <t>to-read (#12)</t>
  </si>
  <si>
    <t>The Alice Network</t>
  </si>
  <si>
    <t>to-read (#24)</t>
  </si>
  <si>
    <t>Thomas Pynchon</t>
  </si>
  <si>
    <t>Plume</t>
  </si>
  <si>
    <t>to-read (#51)</t>
  </si>
  <si>
    <t>Stephen        King</t>
  </si>
  <si>
    <t>King, Stephen</t>
  </si>
  <si>
    <t>to-read (#29)</t>
  </si>
  <si>
    <t>Three Ordinary Girls: The Remarkable Story of Three Dutch Teenagers Who Became Spies, Saboteurs, Nazi Assassinsâ€“and WWII Heroes</t>
  </si>
  <si>
    <t>Tim  Brady</t>
  </si>
  <si>
    <t>Brady, Tim</t>
  </si>
  <si>
    <t>to-read (#62)</t>
  </si>
  <si>
    <t>To Woo and to Wed (The Regency Vows, #5)</t>
  </si>
  <si>
    <t>to-read (#63)</t>
  </si>
  <si>
    <t>Stolen Focus: Why You Can't Pay Attentionâ€” and How to Think Deeply Again</t>
  </si>
  <si>
    <t>Johann Hari</t>
  </si>
  <si>
    <t>Hari, Johann</t>
  </si>
  <si>
    <t>to-read (#64)</t>
  </si>
  <si>
    <t>The Ruthless Elimination of Hurry: How to Stay Emotionally Healthy and Spiritually Alive in the Chaos of the Modern World</t>
  </si>
  <si>
    <t>John Mark Comer</t>
  </si>
  <si>
    <t>Comer, John Mark</t>
  </si>
  <si>
    <t>John Ortberg</t>
  </si>
  <si>
    <t>to-read (#65)</t>
  </si>
  <si>
    <t>When the Jessamine Grows</t>
  </si>
  <si>
    <t>Donna Everhart</t>
  </si>
  <si>
    <t>Everhart, Donna</t>
  </si>
  <si>
    <t>to-read (#66)</t>
  </si>
  <si>
    <t>Between Shades of Gray</t>
  </si>
  <si>
    <t>to-read (#67)</t>
  </si>
  <si>
    <t>The Mistletoe Countess (Freddie &amp; Grace Mystery, #1)</t>
  </si>
  <si>
    <t>to-read (#68)</t>
  </si>
  <si>
    <t>Red, White &amp; Royal Blue</t>
  </si>
  <si>
    <t>Casey McQuiston</t>
  </si>
  <si>
    <t>McQuiston, Casey</t>
  </si>
  <si>
    <t>to-read (#60)</t>
  </si>
  <si>
    <t>Blink: The Power of Thinking Without Thinking</t>
  </si>
  <si>
    <t>Malcolm Gladwell</t>
  </si>
  <si>
    <t>Gladwell, Malcolm</t>
  </si>
  <si>
    <t>Barry Fox, Irina Henegar</t>
  </si>
  <si>
    <t>Back Bay Books</t>
  </si>
  <si>
    <t>to-read (#59)</t>
  </si>
  <si>
    <t>Miss Ava's Scandalous Secret (Merry Spinsters, Charming Rogues #2)</t>
  </si>
  <si>
    <t>Sofi Laporte</t>
  </si>
  <si>
    <t>Laporte, Sofi</t>
  </si>
  <si>
    <t xml:space="preserve">Lapuerta </t>
  </si>
  <si>
    <t>to-read (#56)</t>
  </si>
  <si>
    <t>The Stand</t>
  </si>
  <si>
    <t>Grover Gardner</t>
  </si>
  <si>
    <t>BBC Audio</t>
  </si>
  <si>
    <t>to-read (#55)</t>
  </si>
  <si>
    <t>They Thirst</t>
  </si>
  <si>
    <t>Robert McCammon</t>
  </si>
  <si>
    <t>McCammon, Robert</t>
  </si>
  <si>
    <t>Dark Harvest Books</t>
  </si>
  <si>
    <t>to-read (#54)</t>
  </si>
  <si>
    <t>Swan Song</t>
  </si>
  <si>
    <t>Pocket Books</t>
  </si>
  <si>
    <t>to-read (#53)</t>
  </si>
  <si>
    <t>The Time Machine</t>
  </si>
  <si>
    <t>H.G. Wells</t>
  </si>
  <si>
    <t>Wells, H.G.</t>
  </si>
  <si>
    <t>Greg Bear, Carlo Pagetti</t>
  </si>
  <si>
    <t>to-read (#52)</t>
  </si>
  <si>
    <t>The House Girl</t>
  </si>
  <si>
    <t>Tara Conklin</t>
  </si>
  <si>
    <t>Conklin, Tara</t>
  </si>
  <si>
    <t>to-read (#50)</t>
  </si>
  <si>
    <t>Sojourner Truth: Ain't I a Woman?</t>
  </si>
  <si>
    <t>Patricia C. McKissack</t>
  </si>
  <si>
    <t>McKissack, Patricia C.</t>
  </si>
  <si>
    <t>Fredrick L. McKissack</t>
  </si>
  <si>
    <t>Scholastic Paperbacks</t>
  </si>
  <si>
    <t>to-read (#49)</t>
  </si>
  <si>
    <t>Women As Risk-Takers for God</t>
  </si>
  <si>
    <t>Baker Pub Group</t>
  </si>
  <si>
    <t>to-read (#48)</t>
  </si>
  <si>
    <t>The Reason for God: Belief in an Age of Skepticism</t>
  </si>
  <si>
    <t>to-read (#47)</t>
  </si>
  <si>
    <t>Witch's Mark</t>
  </si>
  <si>
    <t>Sarah Norkus</t>
  </si>
  <si>
    <t>Norkus, Sarah</t>
  </si>
  <si>
    <t>West Alden Publishing, LLC</t>
  </si>
  <si>
    <t>to-read (#46)</t>
  </si>
  <si>
    <t>Flights of Fancy (American Heiresses, #1)</t>
  </si>
  <si>
    <t>to-read (#45)</t>
  </si>
  <si>
    <t>Seeking Allah, Finding Jesus: A Devout Muslim Encounters Christianity</t>
  </si>
  <si>
    <t>Nabeel Qureshi</t>
  </si>
  <si>
    <t>Qureshi, Nabeel</t>
  </si>
  <si>
    <t>to-read (#44)</t>
  </si>
  <si>
    <t>The Tomb (The Living Water, #3)</t>
  </si>
  <si>
    <t>to-read (#42)</t>
  </si>
  <si>
    <t>God's Smuggler</t>
  </si>
  <si>
    <t>Brother Andrew</t>
  </si>
  <si>
    <t>Andrew, Brother</t>
  </si>
  <si>
    <t>to-read (#41)</t>
  </si>
  <si>
    <t>Their Vicious Games</t>
  </si>
  <si>
    <t>Joelle Wellington</t>
  </si>
  <si>
    <t>Wellington, Joelle</t>
  </si>
  <si>
    <t>to-read (#40)</t>
  </si>
  <si>
    <t>The Winner's Curse (The Winner's Trilogy, #1)</t>
  </si>
  <si>
    <t>Marie Rutkoski</t>
  </si>
  <si>
    <t>Rutkoski, Marie</t>
  </si>
  <si>
    <t xml:space="preserve">Farrar Straus Giroux </t>
  </si>
  <si>
    <t>to-read (#39)</t>
  </si>
  <si>
    <t>The Time Keeper</t>
  </si>
  <si>
    <t>Hyperion</t>
  </si>
  <si>
    <t>to-read (#37)</t>
  </si>
  <si>
    <t>Kaikeyi</t>
  </si>
  <si>
    <t>Vaishnavi Patel</t>
  </si>
  <si>
    <t>Patel, Vaishnavi</t>
  </si>
  <si>
    <t>to-read (#35)</t>
  </si>
  <si>
    <t>To Kill a Kingdom (Hundred Kingdoms, #1)</t>
  </si>
  <si>
    <t>Alexandra Christo</t>
  </si>
  <si>
    <t>Christo, Alexandra</t>
  </si>
  <si>
    <t>to-read (#34)</t>
  </si>
  <si>
    <t>The Prison Healer (The Prison Healer, #1)</t>
  </si>
  <si>
    <t>Lynette Noni</t>
  </si>
  <si>
    <t>Noni, Lynette</t>
  </si>
  <si>
    <t>to-read (#32)</t>
  </si>
  <si>
    <t>Safely Home</t>
  </si>
  <si>
    <t>Randy Alcorn</t>
  </si>
  <si>
    <t>Alcorn, Randy</t>
  </si>
  <si>
    <t>to-read (#31)</t>
  </si>
  <si>
    <t>Kindred</t>
  </si>
  <si>
    <t>Beacon Press</t>
  </si>
  <si>
    <t>to-read (#28)</t>
  </si>
  <si>
    <t>Orphan Train</t>
  </si>
  <si>
    <t>Christina Baker Kline</t>
  </si>
  <si>
    <t>Kline, Christina Baker</t>
  </si>
  <si>
    <t>to-read (#27)</t>
  </si>
  <si>
    <t>The Red Tent</t>
  </si>
  <si>
    <t>Anita Diamant</t>
  </si>
  <si>
    <t>Diamant, Anita</t>
  </si>
  <si>
    <t>to-read (#26)</t>
  </si>
  <si>
    <t>The Tattooist of Auschwitz (The Tattooist of Auschwitz, #1)</t>
  </si>
  <si>
    <t>Heather   Morris</t>
  </si>
  <si>
    <t>Morris, Heather</t>
  </si>
  <si>
    <t>to-read (#25)</t>
  </si>
  <si>
    <t>Noah Primeval (Chronicles of the Nephilim Book 1)</t>
  </si>
  <si>
    <t>Brian Godawa</t>
  </si>
  <si>
    <t>Godawa, Brian</t>
  </si>
  <si>
    <t>Embedded Pictures Publishing</t>
  </si>
  <si>
    <t>to-read (#23)</t>
  </si>
  <si>
    <t>Feathers of Snow (Kingdom of Birds and Beasts #1)</t>
  </si>
  <si>
    <t>Alice Ivinya</t>
  </si>
  <si>
    <t>Ivinya, Alice</t>
  </si>
  <si>
    <t>to-read (#22)</t>
  </si>
  <si>
    <t>A Mistletoe Kiss (Fitzpatrick Christmas, #1.5)</t>
  </si>
  <si>
    <t>Catherine  Walsh</t>
  </si>
  <si>
    <t>Walsh, Catherine</t>
  </si>
  <si>
    <t>to-read (#21)</t>
  </si>
  <si>
    <t>The Matchmaker</t>
  </si>
  <si>
    <t>to-read (#20)</t>
  </si>
  <si>
    <t>The Rebound</t>
  </si>
  <si>
    <t xml:space="preserve">Bookouture </t>
  </si>
  <si>
    <t>to-read (#19)</t>
  </si>
  <si>
    <t>One Night Only</t>
  </si>
  <si>
    <t>to-read (#18)</t>
  </si>
  <si>
    <t>Holiday Romance (Fitzpatrick Christmas, #1)</t>
  </si>
  <si>
    <t>to-read (#17)</t>
  </si>
  <si>
    <t>Snowed In (Fitzpatrick Christmas, #2)</t>
  </si>
  <si>
    <t>to-read (#16)</t>
  </si>
  <si>
    <t>The Land Beneath Us (Sunrise at Normandy, #3)</t>
  </si>
  <si>
    <t>to-read (#15)</t>
  </si>
  <si>
    <t>The Warsaw Sisters</t>
  </si>
  <si>
    <t>Amanda  Barratt</t>
  </si>
  <si>
    <t>Barratt, Amanda</t>
  </si>
  <si>
    <t>to-read (#14)</t>
  </si>
  <si>
    <t>Set the Stars Alight</t>
  </si>
  <si>
    <t>Amanda Dykes</t>
  </si>
  <si>
    <t>Dykes, Amanda</t>
  </si>
  <si>
    <t>to-read (#10)</t>
  </si>
  <si>
    <t>The Hart of Christmas (Dating a Denver Dragon #1)</t>
  </si>
  <si>
    <t>Latisha Sexton</t>
  </si>
  <si>
    <t>Sexton, Latisha</t>
  </si>
  <si>
    <t>to-read (#9)</t>
  </si>
  <si>
    <t>Pride and Prejudice</t>
  </si>
  <si>
    <t>Anna Quindlen</t>
  </si>
  <si>
    <t>Modern Library</t>
  </si>
  <si>
    <t>to-read (#8)</t>
  </si>
  <si>
    <t>Last Night</t>
  </si>
  <si>
    <t>Luanne Rice</t>
  </si>
  <si>
    <t>Rice, Luanne</t>
  </si>
  <si>
    <t>Thomas &amp; Mercer</t>
  </si>
  <si>
    <t>to-read (#7)</t>
  </si>
  <si>
    <t>Happy Place</t>
  </si>
  <si>
    <t>to-read (#6)</t>
  </si>
  <si>
    <t>The Screwtape Letters</t>
  </si>
  <si>
    <t>HarperCollins e-books</t>
  </si>
  <si>
    <t>to-read (#5)</t>
  </si>
  <si>
    <t>Mere Christianity</t>
  </si>
  <si>
    <t>to-read (#4)</t>
  </si>
  <si>
    <t>Merry Humbug Christmas: Two Tales of Holiday Romance</t>
  </si>
  <si>
    <t>Sandra D. Bricker</t>
  </si>
  <si>
    <t>Bricker, Sandra D.</t>
  </si>
  <si>
    <t>to-read (#3)</t>
  </si>
  <si>
    <t>The Seamstress of Acadie</t>
  </si>
  <si>
    <t>Laura Frantz</t>
  </si>
  <si>
    <t>Frantz, Laura</t>
  </si>
  <si>
    <t>to-read (#2)</t>
  </si>
  <si>
    <t>The Maid of Ballymacool</t>
  </si>
  <si>
    <t>Jennifer Deibel</t>
  </si>
  <si>
    <t>Deibel, Jennifer</t>
  </si>
  <si>
    <t>to-read (#1)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</si>
</sst>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
    <xf numFmtId="0" fontId="0" fillId="0" borderId="0" xfId="0"/>
    <xf numFmtId="14"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270801-7741-4FC9-9928-8557366E90C6}">
  <dimension ref="A1:Y924"/>
  <sheetViews>
    <sheetView tabSelected="1" workbookViewId="0"/>
  </sheetViews>
  <sheetFormatPr defaultRowHeight="14.5" x14ac:dyDescent="0.35"/>
  <sheetData>
    <row r="1" spans="1:25" x14ac:dyDescent="0.3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row>
    <row r="2" spans="1:25" x14ac:dyDescent="0.35">
      <c r="A2">
        <v>17288762</v>
      </c>
      <c r="B2" t="s">
        <v>25</v>
      </c>
      <c r="C2" t="s">
        <v>26</v>
      </c>
      <c r="D2" t="s">
        <v>27</v>
      </c>
      <c r="F2" t="str">
        <f>"1601424965"</f>
        <v>1601424965</v>
      </c>
      <c r="G2" t="str">
        <f>"9781601424969"</f>
        <v>9781601424969</v>
      </c>
      <c r="H2">
        <v>0</v>
      </c>
      <c r="I2">
        <v>3.8</v>
      </c>
      <c r="J2" t="s">
        <v>28</v>
      </c>
      <c r="K2" t="s">
        <v>29</v>
      </c>
      <c r="L2">
        <v>336</v>
      </c>
      <c r="M2">
        <v>2013</v>
      </c>
      <c r="N2">
        <v>2013</v>
      </c>
      <c r="P2" s="1">
        <v>45704</v>
      </c>
      <c r="Q2" t="s">
        <v>30</v>
      </c>
      <c r="R2" t="s">
        <v>31</v>
      </c>
      <c r="S2" t="s">
        <v>30</v>
      </c>
      <c r="W2">
        <v>0</v>
      </c>
      <c r="X2">
        <v>0</v>
      </c>
      <c r="Y2" t="s">
        <v>32</v>
      </c>
    </row>
    <row r="3" spans="1:25" x14ac:dyDescent="0.35">
      <c r="A3">
        <v>214974624</v>
      </c>
      <c r="B3" t="s">
        <v>33</v>
      </c>
      <c r="C3" t="s">
        <v>34</v>
      </c>
      <c r="D3" t="s">
        <v>35</v>
      </c>
      <c r="F3" t="str">
        <f>"1540903575"</f>
        <v>1540903575</v>
      </c>
      <c r="G3" t="str">
        <f>"9781540903570"</f>
        <v>9781540903570</v>
      </c>
      <c r="H3">
        <v>0</v>
      </c>
      <c r="I3">
        <v>4.87</v>
      </c>
      <c r="J3" t="s">
        <v>36</v>
      </c>
      <c r="K3" t="s">
        <v>29</v>
      </c>
      <c r="L3">
        <v>352</v>
      </c>
      <c r="M3">
        <v>2025</v>
      </c>
      <c r="P3" s="1">
        <v>45704</v>
      </c>
      <c r="Q3" t="s">
        <v>30</v>
      </c>
      <c r="R3" t="s">
        <v>37</v>
      </c>
      <c r="S3" t="s">
        <v>30</v>
      </c>
      <c r="W3">
        <v>0</v>
      </c>
      <c r="X3">
        <v>0</v>
      </c>
      <c r="Y3" t="s">
        <v>38</v>
      </c>
    </row>
    <row r="4" spans="1:25" x14ac:dyDescent="0.35">
      <c r="A4">
        <v>51272603</v>
      </c>
      <c r="B4" t="s">
        <v>39</v>
      </c>
      <c r="C4" t="s">
        <v>40</v>
      </c>
      <c r="D4" t="s">
        <v>41</v>
      </c>
      <c r="F4" t="str">
        <f>"0764237608"</f>
        <v>0764237608</v>
      </c>
      <c r="G4" t="str">
        <f>"9780764237607"</f>
        <v>9780764237607</v>
      </c>
      <c r="H4">
        <v>0</v>
      </c>
      <c r="I4">
        <v>4.0999999999999996</v>
      </c>
      <c r="J4" t="s">
        <v>36</v>
      </c>
      <c r="K4" t="s">
        <v>29</v>
      </c>
      <c r="L4">
        <v>352</v>
      </c>
      <c r="M4">
        <v>2020</v>
      </c>
      <c r="N4">
        <v>2020</v>
      </c>
      <c r="P4" s="1">
        <v>45704</v>
      </c>
      <c r="Q4" t="s">
        <v>30</v>
      </c>
      <c r="R4" t="s">
        <v>42</v>
      </c>
      <c r="S4" t="s">
        <v>30</v>
      </c>
      <c r="W4">
        <v>0</v>
      </c>
      <c r="X4">
        <v>0</v>
      </c>
      <c r="Y4" t="s">
        <v>38</v>
      </c>
    </row>
    <row r="5" spans="1:25" x14ac:dyDescent="0.35">
      <c r="A5">
        <v>59811265</v>
      </c>
      <c r="B5" t="s">
        <v>43</v>
      </c>
      <c r="C5" t="s">
        <v>44</v>
      </c>
      <c r="D5" t="s">
        <v>45</v>
      </c>
      <c r="E5" t="s">
        <v>46</v>
      </c>
      <c r="F5" t="str">
        <f>"0063098318"</f>
        <v>0063098318</v>
      </c>
      <c r="G5" t="str">
        <f>"9780063098312"</f>
        <v>9780063098312</v>
      </c>
      <c r="H5">
        <v>3</v>
      </c>
      <c r="I5">
        <v>4.1399999999999997</v>
      </c>
      <c r="J5" t="s">
        <v>47</v>
      </c>
      <c r="K5" t="s">
        <v>48</v>
      </c>
      <c r="L5">
        <v>40</v>
      </c>
      <c r="M5">
        <v>2022</v>
      </c>
      <c r="N5">
        <v>2022</v>
      </c>
      <c r="P5" s="1">
        <v>45704</v>
      </c>
      <c r="Q5" t="s">
        <v>49</v>
      </c>
      <c r="R5" t="s">
        <v>50</v>
      </c>
      <c r="S5" t="s">
        <v>51</v>
      </c>
      <c r="T5" t="s">
        <v>52</v>
      </c>
      <c r="W5">
        <v>1</v>
      </c>
      <c r="X5">
        <v>0</v>
      </c>
      <c r="Y5" t="s">
        <v>38</v>
      </c>
    </row>
    <row r="6" spans="1:25" x14ac:dyDescent="0.35">
      <c r="A6">
        <v>17172061</v>
      </c>
      <c r="B6" t="s">
        <v>53</v>
      </c>
      <c r="C6" t="s">
        <v>54</v>
      </c>
      <c r="D6" t="s">
        <v>55</v>
      </c>
      <c r="E6" t="s">
        <v>56</v>
      </c>
      <c r="F6" t="str">
        <f>"1617950068"</f>
        <v>1617950068</v>
      </c>
      <c r="G6" t="str">
        <f>"9781617950063"</f>
        <v>9781617950063</v>
      </c>
      <c r="H6">
        <v>0</v>
      </c>
      <c r="I6">
        <v>4.1500000000000004</v>
      </c>
      <c r="J6" t="s">
        <v>57</v>
      </c>
      <c r="K6" t="s">
        <v>48</v>
      </c>
      <c r="L6">
        <v>400</v>
      </c>
      <c r="M6">
        <v>2013</v>
      </c>
      <c r="N6">
        <v>2013</v>
      </c>
      <c r="P6" s="1">
        <v>45704</v>
      </c>
      <c r="Q6" t="s">
        <v>30</v>
      </c>
      <c r="R6" t="s">
        <v>58</v>
      </c>
      <c r="S6" t="s">
        <v>30</v>
      </c>
      <c r="W6">
        <v>0</v>
      </c>
      <c r="X6">
        <v>0</v>
      </c>
      <c r="Y6" t="s">
        <v>38</v>
      </c>
    </row>
    <row r="7" spans="1:25" x14ac:dyDescent="0.35">
      <c r="A7">
        <v>38351370</v>
      </c>
      <c r="B7" t="s">
        <v>59</v>
      </c>
      <c r="C7" t="s">
        <v>60</v>
      </c>
      <c r="D7" t="s">
        <v>61</v>
      </c>
      <c r="F7" t="str">
        <f>"1442495006"</f>
        <v>1442495006</v>
      </c>
      <c r="G7" t="str">
        <f>"9781442495005"</f>
        <v>9781442495005</v>
      </c>
      <c r="H7">
        <v>4</v>
      </c>
      <c r="I7">
        <v>4.16</v>
      </c>
      <c r="J7" t="s">
        <v>62</v>
      </c>
      <c r="K7" t="s">
        <v>48</v>
      </c>
      <c r="L7">
        <v>308</v>
      </c>
      <c r="M7">
        <v>2018</v>
      </c>
      <c r="N7">
        <v>2018</v>
      </c>
      <c r="O7" s="1">
        <v>45690</v>
      </c>
      <c r="P7" s="1">
        <v>45652</v>
      </c>
      <c r="Q7" t="s">
        <v>63</v>
      </c>
      <c r="R7" t="s">
        <v>64</v>
      </c>
      <c r="S7" t="s">
        <v>51</v>
      </c>
      <c r="T7" t="s">
        <v>65</v>
      </c>
      <c r="W7">
        <v>1</v>
      </c>
      <c r="X7">
        <v>0</v>
      </c>
      <c r="Y7" t="s">
        <v>38</v>
      </c>
    </row>
    <row r="8" spans="1:25" x14ac:dyDescent="0.35">
      <c r="A8">
        <v>310459</v>
      </c>
      <c r="B8" t="s">
        <v>66</v>
      </c>
      <c r="C8" t="s">
        <v>67</v>
      </c>
      <c r="D8" t="s">
        <v>68</v>
      </c>
      <c r="F8" t="str">
        <f>"014034893X"</f>
        <v>014034893X</v>
      </c>
      <c r="G8" t="str">
        <f>"9780140348934"</f>
        <v>9780140348934</v>
      </c>
      <c r="H8">
        <v>0</v>
      </c>
      <c r="I8">
        <v>3.9</v>
      </c>
      <c r="J8" t="s">
        <v>69</v>
      </c>
      <c r="K8" t="s">
        <v>29</v>
      </c>
      <c r="L8">
        <v>288</v>
      </c>
      <c r="M8">
        <v>1991</v>
      </c>
      <c r="N8">
        <v>1976</v>
      </c>
      <c r="P8" s="1">
        <v>45703</v>
      </c>
      <c r="Q8" t="s">
        <v>30</v>
      </c>
      <c r="R8" t="s">
        <v>70</v>
      </c>
      <c r="S8" t="s">
        <v>30</v>
      </c>
      <c r="W8">
        <v>0</v>
      </c>
      <c r="X8">
        <v>0</v>
      </c>
      <c r="Y8" t="s">
        <v>38</v>
      </c>
    </row>
    <row r="9" spans="1:25" x14ac:dyDescent="0.35">
      <c r="A9">
        <v>67</v>
      </c>
      <c r="B9" t="s">
        <v>71</v>
      </c>
      <c r="C9" t="s">
        <v>72</v>
      </c>
      <c r="D9" t="s">
        <v>73</v>
      </c>
      <c r="F9" t="str">
        <f>"0061159174"</f>
        <v>0061159174</v>
      </c>
      <c r="G9" t="str">
        <f>"9780061159176"</f>
        <v>9780061159176</v>
      </c>
      <c r="H9">
        <v>0</v>
      </c>
      <c r="I9">
        <v>3.84</v>
      </c>
      <c r="J9" t="s">
        <v>74</v>
      </c>
      <c r="K9" t="s">
        <v>29</v>
      </c>
      <c r="L9">
        <v>388</v>
      </c>
      <c r="M9">
        <v>2006</v>
      </c>
      <c r="N9">
        <v>2003</v>
      </c>
      <c r="P9" s="1">
        <v>45677</v>
      </c>
      <c r="Q9" t="s">
        <v>75</v>
      </c>
      <c r="R9" t="s">
        <v>76</v>
      </c>
      <c r="S9" t="s">
        <v>75</v>
      </c>
      <c r="W9">
        <v>3</v>
      </c>
      <c r="X9">
        <v>0</v>
      </c>
      <c r="Y9" t="s">
        <v>38</v>
      </c>
    </row>
    <row r="10" spans="1:25" x14ac:dyDescent="0.35">
      <c r="A10">
        <v>205064678</v>
      </c>
      <c r="B10" t="s">
        <v>77</v>
      </c>
      <c r="C10" t="s">
        <v>78</v>
      </c>
      <c r="D10" t="s">
        <v>79</v>
      </c>
      <c r="F10" t="str">
        <f>"0593727932"</f>
        <v>0593727932</v>
      </c>
      <c r="G10" t="str">
        <f>"9780593727935"</f>
        <v>9780593727935</v>
      </c>
      <c r="H10">
        <v>0</v>
      </c>
      <c r="I10">
        <v>3.94</v>
      </c>
      <c r="J10" t="s">
        <v>80</v>
      </c>
      <c r="K10" t="s">
        <v>48</v>
      </c>
      <c r="L10">
        <v>233</v>
      </c>
      <c r="M10">
        <v>2024</v>
      </c>
      <c r="N10">
        <v>2024</v>
      </c>
      <c r="P10" s="1">
        <v>45702</v>
      </c>
      <c r="Q10" t="s">
        <v>30</v>
      </c>
      <c r="R10" t="s">
        <v>81</v>
      </c>
      <c r="S10" t="s">
        <v>30</v>
      </c>
      <c r="W10">
        <v>0</v>
      </c>
      <c r="X10">
        <v>0</v>
      </c>
      <c r="Y10" t="s">
        <v>38</v>
      </c>
    </row>
    <row r="11" spans="1:25" x14ac:dyDescent="0.35">
      <c r="A11">
        <v>200599873</v>
      </c>
      <c r="B11" t="s">
        <v>82</v>
      </c>
      <c r="C11" t="s">
        <v>83</v>
      </c>
      <c r="D11" t="s">
        <v>84</v>
      </c>
      <c r="F11" t="str">
        <f>""</f>
        <v/>
      </c>
      <c r="G11" t="str">
        <f>""</f>
        <v/>
      </c>
      <c r="H11">
        <v>0</v>
      </c>
      <c r="I11">
        <v>4.18</v>
      </c>
      <c r="K11" t="s">
        <v>85</v>
      </c>
      <c r="M11">
        <v>2025</v>
      </c>
      <c r="N11">
        <v>2025</v>
      </c>
      <c r="P11" s="1">
        <v>45702</v>
      </c>
      <c r="Q11" t="s">
        <v>30</v>
      </c>
      <c r="R11" t="s">
        <v>86</v>
      </c>
      <c r="S11" t="s">
        <v>30</v>
      </c>
      <c r="W11">
        <v>0</v>
      </c>
      <c r="X11">
        <v>0</v>
      </c>
      <c r="Y11" t="s">
        <v>38</v>
      </c>
    </row>
    <row r="12" spans="1:25" x14ac:dyDescent="0.35">
      <c r="A12">
        <v>58830202</v>
      </c>
      <c r="B12" t="s">
        <v>87</v>
      </c>
      <c r="C12" t="s">
        <v>88</v>
      </c>
      <c r="D12" t="s">
        <v>89</v>
      </c>
      <c r="F12" t="str">
        <f>"1728220238"</f>
        <v>1728220238</v>
      </c>
      <c r="G12" t="str">
        <f>"9781728220239"</f>
        <v>9781728220239</v>
      </c>
      <c r="H12">
        <v>0</v>
      </c>
      <c r="I12">
        <v>4</v>
      </c>
      <c r="J12" t="s">
        <v>90</v>
      </c>
      <c r="K12" t="s">
        <v>29</v>
      </c>
      <c r="L12">
        <v>469</v>
      </c>
      <c r="M12">
        <v>2022</v>
      </c>
      <c r="N12">
        <v>2022</v>
      </c>
      <c r="P12" s="1">
        <v>45702</v>
      </c>
      <c r="Q12" t="s">
        <v>30</v>
      </c>
      <c r="R12" t="s">
        <v>91</v>
      </c>
      <c r="S12" t="s">
        <v>30</v>
      </c>
      <c r="W12">
        <v>0</v>
      </c>
      <c r="X12">
        <v>0</v>
      </c>
      <c r="Y12" t="s">
        <v>38</v>
      </c>
    </row>
    <row r="13" spans="1:25" x14ac:dyDescent="0.35">
      <c r="A13">
        <v>60389109</v>
      </c>
      <c r="B13" t="s">
        <v>92</v>
      </c>
      <c r="C13" t="s">
        <v>93</v>
      </c>
      <c r="D13" t="s">
        <v>94</v>
      </c>
      <c r="F13" t="str">
        <f>"164595126X"</f>
        <v>164595126X</v>
      </c>
      <c r="G13" t="str">
        <f>"9781645951261"</f>
        <v>9781645951261</v>
      </c>
      <c r="H13">
        <v>0</v>
      </c>
      <c r="I13">
        <v>4.2699999999999996</v>
      </c>
      <c r="J13" t="s">
        <v>95</v>
      </c>
      <c r="K13" t="s">
        <v>48</v>
      </c>
      <c r="L13">
        <v>364</v>
      </c>
      <c r="M13">
        <v>2022</v>
      </c>
      <c r="N13">
        <v>2022</v>
      </c>
      <c r="P13" s="1">
        <v>45698</v>
      </c>
      <c r="Q13" t="s">
        <v>30</v>
      </c>
      <c r="R13" t="s">
        <v>96</v>
      </c>
      <c r="S13" t="s">
        <v>30</v>
      </c>
      <c r="W13">
        <v>0</v>
      </c>
      <c r="X13">
        <v>0</v>
      </c>
      <c r="Y13" t="s">
        <v>38</v>
      </c>
    </row>
    <row r="14" spans="1:25" x14ac:dyDescent="0.35">
      <c r="A14">
        <v>59627675</v>
      </c>
      <c r="B14" t="s">
        <v>97</v>
      </c>
      <c r="C14" t="s">
        <v>98</v>
      </c>
      <c r="D14" t="s">
        <v>99</v>
      </c>
      <c r="F14" t="str">
        <f>"0764239740"</f>
        <v>0764239740</v>
      </c>
      <c r="G14" t="str">
        <f>"9780764239748"</f>
        <v>9780764239748</v>
      </c>
      <c r="H14">
        <v>0</v>
      </c>
      <c r="I14">
        <v>4.4000000000000004</v>
      </c>
      <c r="J14" t="s">
        <v>36</v>
      </c>
      <c r="K14" t="s">
        <v>29</v>
      </c>
      <c r="L14">
        <v>384</v>
      </c>
      <c r="M14">
        <v>2022</v>
      </c>
      <c r="N14">
        <v>2022</v>
      </c>
      <c r="P14" s="1">
        <v>45322</v>
      </c>
      <c r="Q14" t="s">
        <v>75</v>
      </c>
      <c r="R14" t="s">
        <v>100</v>
      </c>
      <c r="S14" t="s">
        <v>75</v>
      </c>
      <c r="W14">
        <v>1</v>
      </c>
      <c r="X14">
        <v>0</v>
      </c>
      <c r="Y14" t="s">
        <v>38</v>
      </c>
    </row>
    <row r="15" spans="1:25" x14ac:dyDescent="0.35">
      <c r="A15">
        <v>30259051</v>
      </c>
      <c r="B15" t="s">
        <v>101</v>
      </c>
      <c r="C15" t="s">
        <v>102</v>
      </c>
      <c r="D15" t="s">
        <v>103</v>
      </c>
      <c r="F15" t="str">
        <f>"0764219065"</f>
        <v>0764219065</v>
      </c>
      <c r="G15" t="str">
        <f>"9780764219061"</f>
        <v>9780764219061</v>
      </c>
      <c r="H15">
        <v>0</v>
      </c>
      <c r="I15">
        <v>4.21</v>
      </c>
      <c r="J15" t="s">
        <v>36</v>
      </c>
      <c r="K15" t="s">
        <v>29</v>
      </c>
      <c r="L15">
        <v>408</v>
      </c>
      <c r="M15">
        <v>2017</v>
      </c>
      <c r="N15">
        <v>2017</v>
      </c>
      <c r="P15" s="1">
        <v>45697</v>
      </c>
      <c r="Q15" t="s">
        <v>30</v>
      </c>
      <c r="R15" t="s">
        <v>104</v>
      </c>
      <c r="S15" t="s">
        <v>30</v>
      </c>
      <c r="W15">
        <v>0</v>
      </c>
      <c r="X15">
        <v>0</v>
      </c>
      <c r="Y15" t="s">
        <v>38</v>
      </c>
    </row>
    <row r="16" spans="1:25" x14ac:dyDescent="0.35">
      <c r="A16">
        <v>223199392</v>
      </c>
      <c r="B16" t="s">
        <v>105</v>
      </c>
      <c r="C16" t="s">
        <v>106</v>
      </c>
      <c r="D16" t="s">
        <v>107</v>
      </c>
      <c r="F16" t="str">
        <f>"1662529082"</f>
        <v>1662529082</v>
      </c>
      <c r="G16" t="str">
        <f>"9781662529085"</f>
        <v>9781662529085</v>
      </c>
      <c r="H16">
        <v>0</v>
      </c>
      <c r="I16">
        <v>4.2</v>
      </c>
      <c r="J16" t="s">
        <v>108</v>
      </c>
      <c r="K16" t="s">
        <v>85</v>
      </c>
      <c r="L16">
        <v>82</v>
      </c>
      <c r="M16">
        <v>2025</v>
      </c>
      <c r="N16">
        <v>2025</v>
      </c>
      <c r="P16" s="1">
        <v>45697</v>
      </c>
      <c r="Q16" t="s">
        <v>30</v>
      </c>
      <c r="R16" t="s">
        <v>109</v>
      </c>
      <c r="S16" t="s">
        <v>30</v>
      </c>
      <c r="W16">
        <v>0</v>
      </c>
      <c r="X16">
        <v>0</v>
      </c>
      <c r="Y16" t="s">
        <v>38</v>
      </c>
    </row>
    <row r="17" spans="1:25" x14ac:dyDescent="0.35">
      <c r="A17">
        <v>216749855</v>
      </c>
      <c r="B17" t="s">
        <v>110</v>
      </c>
      <c r="C17" t="s">
        <v>111</v>
      </c>
      <c r="D17" t="s">
        <v>112</v>
      </c>
      <c r="F17" t="str">
        <f>""</f>
        <v/>
      </c>
      <c r="G17" t="str">
        <f>"9798886051780"</f>
        <v>9798886051780</v>
      </c>
      <c r="H17">
        <v>0</v>
      </c>
      <c r="I17">
        <v>4.6900000000000004</v>
      </c>
      <c r="J17" t="s">
        <v>113</v>
      </c>
      <c r="K17" t="s">
        <v>48</v>
      </c>
      <c r="L17">
        <v>416</v>
      </c>
      <c r="M17">
        <v>2025</v>
      </c>
      <c r="P17" s="1">
        <v>45697</v>
      </c>
      <c r="Q17" t="s">
        <v>30</v>
      </c>
      <c r="R17" t="s">
        <v>114</v>
      </c>
      <c r="S17" t="s">
        <v>30</v>
      </c>
      <c r="W17">
        <v>0</v>
      </c>
      <c r="X17">
        <v>0</v>
      </c>
      <c r="Y17" t="s">
        <v>38</v>
      </c>
    </row>
    <row r="18" spans="1:25" x14ac:dyDescent="0.35">
      <c r="A18">
        <v>57789637</v>
      </c>
      <c r="B18" t="s">
        <v>115</v>
      </c>
      <c r="C18" t="s">
        <v>116</v>
      </c>
      <c r="D18" t="s">
        <v>117</v>
      </c>
      <c r="E18" t="s">
        <v>118</v>
      </c>
      <c r="F18" t="str">
        <f>"0063031302"</f>
        <v>0063031302</v>
      </c>
      <c r="G18" t="str">
        <f>"9780063031302"</f>
        <v>9780063031302</v>
      </c>
      <c r="H18">
        <v>4</v>
      </c>
      <c r="I18">
        <v>4.09</v>
      </c>
      <c r="J18" t="s">
        <v>119</v>
      </c>
      <c r="K18" t="s">
        <v>48</v>
      </c>
      <c r="L18">
        <v>503</v>
      </c>
      <c r="M18">
        <v>2022</v>
      </c>
      <c r="N18">
        <v>2022</v>
      </c>
      <c r="O18" s="1">
        <v>45696</v>
      </c>
      <c r="P18" s="1">
        <v>45690</v>
      </c>
      <c r="Q18" t="s">
        <v>120</v>
      </c>
      <c r="R18" t="s">
        <v>121</v>
      </c>
      <c r="S18" t="s">
        <v>51</v>
      </c>
      <c r="W18">
        <v>1</v>
      </c>
      <c r="X18">
        <v>0</v>
      </c>
      <c r="Y18" t="s">
        <v>122</v>
      </c>
    </row>
    <row r="19" spans="1:25" x14ac:dyDescent="0.35">
      <c r="A19">
        <v>213320979</v>
      </c>
      <c r="B19" t="s">
        <v>123</v>
      </c>
      <c r="C19" t="s">
        <v>124</v>
      </c>
      <c r="D19" t="s">
        <v>125</v>
      </c>
      <c r="F19" t="str">
        <f>"0645819859"</f>
        <v>0645819859</v>
      </c>
      <c r="G19" t="str">
        <f>"9780645819854"</f>
        <v>9780645819854</v>
      </c>
      <c r="H19">
        <v>0</v>
      </c>
      <c r="I19">
        <v>4.4400000000000004</v>
      </c>
      <c r="K19" t="s">
        <v>85</v>
      </c>
      <c r="L19">
        <v>318</v>
      </c>
      <c r="M19">
        <v>2024</v>
      </c>
      <c r="P19" s="1">
        <v>45696</v>
      </c>
      <c r="Q19" t="s">
        <v>30</v>
      </c>
      <c r="R19" t="s">
        <v>126</v>
      </c>
      <c r="S19" t="s">
        <v>30</v>
      </c>
      <c r="W19">
        <v>0</v>
      </c>
      <c r="X19">
        <v>0</v>
      </c>
      <c r="Y19" t="s">
        <v>38</v>
      </c>
    </row>
    <row r="20" spans="1:25" x14ac:dyDescent="0.35">
      <c r="A20">
        <v>123211943</v>
      </c>
      <c r="B20" t="s">
        <v>127</v>
      </c>
      <c r="C20" t="s">
        <v>124</v>
      </c>
      <c r="D20" t="s">
        <v>125</v>
      </c>
      <c r="F20" t="str">
        <f>"1953957323"</f>
        <v>1953957323</v>
      </c>
      <c r="G20" t="str">
        <f>"9781953957320"</f>
        <v>9781953957320</v>
      </c>
      <c r="H20">
        <v>0</v>
      </c>
      <c r="I20">
        <v>4.57</v>
      </c>
      <c r="J20" t="s">
        <v>128</v>
      </c>
      <c r="K20" t="s">
        <v>29</v>
      </c>
      <c r="L20">
        <v>360</v>
      </c>
      <c r="M20">
        <v>2023</v>
      </c>
      <c r="P20" s="1">
        <v>45696</v>
      </c>
      <c r="Q20" t="s">
        <v>30</v>
      </c>
      <c r="R20" t="s">
        <v>129</v>
      </c>
      <c r="S20" t="s">
        <v>30</v>
      </c>
      <c r="W20">
        <v>0</v>
      </c>
      <c r="X20">
        <v>0</v>
      </c>
      <c r="Y20" t="s">
        <v>38</v>
      </c>
    </row>
    <row r="21" spans="1:25" x14ac:dyDescent="0.35">
      <c r="A21">
        <v>36327140</v>
      </c>
      <c r="B21" t="s">
        <v>130</v>
      </c>
      <c r="C21" t="s">
        <v>111</v>
      </c>
      <c r="D21" t="s">
        <v>112</v>
      </c>
      <c r="F21" t="str">
        <f>"1683701364"</f>
        <v>1683701364</v>
      </c>
      <c r="G21" t="str">
        <f>"9781683701361"</f>
        <v>9781683701361</v>
      </c>
      <c r="H21">
        <v>0</v>
      </c>
      <c r="I21">
        <v>4.0999999999999996</v>
      </c>
      <c r="J21" t="s">
        <v>131</v>
      </c>
      <c r="K21" t="s">
        <v>29</v>
      </c>
      <c r="L21">
        <v>332</v>
      </c>
      <c r="M21">
        <v>2018</v>
      </c>
      <c r="N21">
        <v>2018</v>
      </c>
      <c r="P21" s="1">
        <v>45696</v>
      </c>
      <c r="Q21" t="s">
        <v>30</v>
      </c>
      <c r="R21" t="s">
        <v>132</v>
      </c>
      <c r="S21" t="s">
        <v>30</v>
      </c>
      <c r="W21">
        <v>0</v>
      </c>
      <c r="X21">
        <v>0</v>
      </c>
      <c r="Y21" t="s">
        <v>38</v>
      </c>
    </row>
    <row r="22" spans="1:25" x14ac:dyDescent="0.35">
      <c r="A22">
        <v>249825</v>
      </c>
      <c r="B22" t="s">
        <v>133</v>
      </c>
      <c r="C22" t="s">
        <v>134</v>
      </c>
      <c r="D22" t="s">
        <v>135</v>
      </c>
      <c r="F22" t="str">
        <f>"0897333764"</f>
        <v>0897333764</v>
      </c>
      <c r="G22" t="str">
        <f>"9780897333764"</f>
        <v>9780897333764</v>
      </c>
      <c r="H22">
        <v>0</v>
      </c>
      <c r="I22">
        <v>4.41</v>
      </c>
      <c r="J22" t="s">
        <v>136</v>
      </c>
      <c r="K22" t="s">
        <v>29</v>
      </c>
      <c r="L22">
        <v>232</v>
      </c>
      <c r="M22">
        <v>1995</v>
      </c>
      <c r="N22">
        <v>1947</v>
      </c>
      <c r="P22" s="1">
        <v>45695</v>
      </c>
      <c r="Q22" t="s">
        <v>30</v>
      </c>
      <c r="R22" t="s">
        <v>137</v>
      </c>
      <c r="S22" t="s">
        <v>30</v>
      </c>
      <c r="W22">
        <v>0</v>
      </c>
      <c r="X22">
        <v>0</v>
      </c>
      <c r="Y22" t="s">
        <v>138</v>
      </c>
    </row>
    <row r="23" spans="1:25" x14ac:dyDescent="0.35">
      <c r="A23">
        <v>58302967</v>
      </c>
      <c r="B23" t="s">
        <v>139</v>
      </c>
      <c r="C23" t="s">
        <v>140</v>
      </c>
      <c r="D23" t="s">
        <v>141</v>
      </c>
      <c r="F23" t="str">
        <f>"0764237985"</f>
        <v>0764237985</v>
      </c>
      <c r="G23" t="str">
        <f>"9780764237980"</f>
        <v>9780764237980</v>
      </c>
      <c r="H23">
        <v>0</v>
      </c>
      <c r="I23">
        <v>4.13</v>
      </c>
      <c r="J23" t="s">
        <v>36</v>
      </c>
      <c r="K23" t="s">
        <v>29</v>
      </c>
      <c r="L23">
        <v>364</v>
      </c>
      <c r="M23">
        <v>2022</v>
      </c>
      <c r="N23">
        <v>2022</v>
      </c>
      <c r="P23" s="1">
        <v>45695</v>
      </c>
      <c r="Q23" t="s">
        <v>30</v>
      </c>
      <c r="R23" t="s">
        <v>142</v>
      </c>
      <c r="S23" t="s">
        <v>30</v>
      </c>
      <c r="W23">
        <v>0</v>
      </c>
      <c r="X23">
        <v>0</v>
      </c>
      <c r="Y23" t="s">
        <v>38</v>
      </c>
    </row>
    <row r="24" spans="1:25" x14ac:dyDescent="0.35">
      <c r="A24">
        <v>51115634</v>
      </c>
      <c r="B24" t="s">
        <v>143</v>
      </c>
      <c r="C24" t="s">
        <v>144</v>
      </c>
      <c r="D24" t="s">
        <v>145</v>
      </c>
      <c r="F24" t="str">
        <f>""</f>
        <v/>
      </c>
      <c r="G24" t="str">
        <f>""</f>
        <v/>
      </c>
      <c r="H24">
        <v>0</v>
      </c>
      <c r="I24">
        <v>4.3099999999999996</v>
      </c>
      <c r="K24" t="s">
        <v>85</v>
      </c>
      <c r="L24">
        <v>1496</v>
      </c>
      <c r="M24">
        <v>2020</v>
      </c>
      <c r="N24">
        <v>2020</v>
      </c>
      <c r="P24" s="1">
        <v>45695</v>
      </c>
      <c r="Q24" t="s">
        <v>30</v>
      </c>
      <c r="R24" t="s">
        <v>146</v>
      </c>
      <c r="S24" t="s">
        <v>30</v>
      </c>
      <c r="W24">
        <v>0</v>
      </c>
      <c r="X24">
        <v>0</v>
      </c>
      <c r="Y24" t="s">
        <v>38</v>
      </c>
    </row>
    <row r="25" spans="1:25" x14ac:dyDescent="0.35">
      <c r="A25">
        <v>208840724</v>
      </c>
      <c r="B25" t="s">
        <v>147</v>
      </c>
      <c r="C25" t="s">
        <v>148</v>
      </c>
      <c r="D25" t="s">
        <v>149</v>
      </c>
      <c r="F25" t="str">
        <f>"1250331684"</f>
        <v>1250331684</v>
      </c>
      <c r="G25" t="str">
        <f>"9781250331687"</f>
        <v>9781250331687</v>
      </c>
      <c r="H25">
        <v>0</v>
      </c>
      <c r="I25">
        <v>3.9</v>
      </c>
      <c r="J25" t="s">
        <v>150</v>
      </c>
      <c r="K25" t="s">
        <v>48</v>
      </c>
      <c r="L25">
        <v>368</v>
      </c>
      <c r="M25">
        <v>2025</v>
      </c>
      <c r="N25">
        <v>2025</v>
      </c>
      <c r="P25" s="1">
        <v>45695</v>
      </c>
      <c r="Q25" t="s">
        <v>30</v>
      </c>
      <c r="R25" t="s">
        <v>151</v>
      </c>
      <c r="S25" t="s">
        <v>30</v>
      </c>
      <c r="W25">
        <v>0</v>
      </c>
      <c r="X25">
        <v>0</v>
      </c>
      <c r="Y25" t="s">
        <v>38</v>
      </c>
    </row>
    <row r="26" spans="1:25" x14ac:dyDescent="0.35">
      <c r="A26">
        <v>1611657</v>
      </c>
      <c r="B26" t="s">
        <v>152</v>
      </c>
      <c r="C26" t="s">
        <v>153</v>
      </c>
      <c r="D26" t="s">
        <v>154</v>
      </c>
      <c r="F26" t="str">
        <f>"1400073847"</f>
        <v>1400073847</v>
      </c>
      <c r="G26" t="str">
        <f>"9781400073849"</f>
        <v>9781400073849</v>
      </c>
      <c r="H26">
        <v>5</v>
      </c>
      <c r="I26">
        <v>4.33</v>
      </c>
      <c r="J26" t="s">
        <v>155</v>
      </c>
      <c r="K26" t="s">
        <v>29</v>
      </c>
      <c r="L26">
        <v>290</v>
      </c>
      <c r="M26">
        <v>2008</v>
      </c>
      <c r="N26">
        <v>2008</v>
      </c>
      <c r="O26" s="1">
        <v>45684</v>
      </c>
      <c r="P26" s="1">
        <v>45584</v>
      </c>
      <c r="Q26" t="s">
        <v>156</v>
      </c>
      <c r="R26" t="s">
        <v>157</v>
      </c>
      <c r="S26" t="s">
        <v>51</v>
      </c>
      <c r="T26" t="s">
        <v>158</v>
      </c>
      <c r="W26">
        <v>1</v>
      </c>
      <c r="X26">
        <v>0</v>
      </c>
      <c r="Y26" t="s">
        <v>38</v>
      </c>
    </row>
    <row r="27" spans="1:25" x14ac:dyDescent="0.35">
      <c r="A27">
        <v>45020150</v>
      </c>
      <c r="B27" t="s">
        <v>159</v>
      </c>
      <c r="C27" t="s">
        <v>160</v>
      </c>
      <c r="D27" t="s">
        <v>161</v>
      </c>
      <c r="F27" t="str">
        <f>"070226038X"</f>
        <v>070226038X</v>
      </c>
      <c r="G27" t="str">
        <f>"9780702260384"</f>
        <v>9780702260384</v>
      </c>
      <c r="H27">
        <v>3</v>
      </c>
      <c r="I27">
        <v>4.08</v>
      </c>
      <c r="J27" t="s">
        <v>162</v>
      </c>
      <c r="K27" t="s">
        <v>29</v>
      </c>
      <c r="L27">
        <v>272</v>
      </c>
      <c r="M27">
        <v>2019</v>
      </c>
      <c r="N27">
        <v>2019</v>
      </c>
      <c r="O27" s="1">
        <v>45664</v>
      </c>
      <c r="P27" s="1">
        <v>45475</v>
      </c>
      <c r="Q27" t="s">
        <v>163</v>
      </c>
      <c r="R27" t="s">
        <v>164</v>
      </c>
      <c r="S27" t="s">
        <v>51</v>
      </c>
      <c r="T27" t="s">
        <v>165</v>
      </c>
      <c r="W27">
        <v>1</v>
      </c>
      <c r="X27">
        <v>0</v>
      </c>
      <c r="Y27" t="s">
        <v>38</v>
      </c>
    </row>
    <row r="28" spans="1:25" x14ac:dyDescent="0.35">
      <c r="A28">
        <v>703292</v>
      </c>
      <c r="B28" t="s">
        <v>166</v>
      </c>
      <c r="C28" t="s">
        <v>167</v>
      </c>
      <c r="D28" t="s">
        <v>168</v>
      </c>
      <c r="F28" t="str">
        <f>""</f>
        <v/>
      </c>
      <c r="G28" t="str">
        <f>""</f>
        <v/>
      </c>
      <c r="H28">
        <v>4</v>
      </c>
      <c r="I28">
        <v>4.0199999999999996</v>
      </c>
      <c r="J28" t="s">
        <v>169</v>
      </c>
      <c r="K28" t="s">
        <v>29</v>
      </c>
      <c r="L28">
        <v>256</v>
      </c>
      <c r="M28">
        <v>1978</v>
      </c>
      <c r="N28">
        <v>1958</v>
      </c>
      <c r="O28" s="1">
        <v>45662</v>
      </c>
      <c r="P28" s="1">
        <v>45547</v>
      </c>
      <c r="Q28" t="s">
        <v>170</v>
      </c>
      <c r="R28" t="s">
        <v>171</v>
      </c>
      <c r="S28" t="s">
        <v>51</v>
      </c>
      <c r="T28" t="s">
        <v>172</v>
      </c>
      <c r="W28">
        <v>1</v>
      </c>
      <c r="X28">
        <v>0</v>
      </c>
      <c r="Y28" t="s">
        <v>173</v>
      </c>
    </row>
    <row r="29" spans="1:25" x14ac:dyDescent="0.35">
      <c r="A29">
        <v>6744143</v>
      </c>
      <c r="B29" t="s">
        <v>174</v>
      </c>
      <c r="C29" t="s">
        <v>175</v>
      </c>
      <c r="D29" t="s">
        <v>176</v>
      </c>
      <c r="F29" t="str">
        <f>"0385736169"</f>
        <v>0385736169</v>
      </c>
      <c r="G29" t="str">
        <f>"9780385736169"</f>
        <v>9780385736169</v>
      </c>
      <c r="H29">
        <v>4</v>
      </c>
      <c r="I29">
        <v>3.64</v>
      </c>
      <c r="J29" t="s">
        <v>177</v>
      </c>
      <c r="K29" t="s">
        <v>48</v>
      </c>
      <c r="L29">
        <v>160</v>
      </c>
      <c r="M29">
        <v>2010</v>
      </c>
      <c r="N29">
        <v>2010</v>
      </c>
      <c r="O29" s="1">
        <v>45679</v>
      </c>
      <c r="P29" s="1">
        <v>45677</v>
      </c>
      <c r="Q29" t="s">
        <v>178</v>
      </c>
      <c r="R29" t="s">
        <v>179</v>
      </c>
      <c r="S29" t="s">
        <v>51</v>
      </c>
      <c r="T29" t="s">
        <v>180</v>
      </c>
      <c r="W29">
        <v>1</v>
      </c>
      <c r="X29">
        <v>0</v>
      </c>
      <c r="Y29" t="s">
        <v>38</v>
      </c>
    </row>
    <row r="30" spans="1:25" x14ac:dyDescent="0.35">
      <c r="A30">
        <v>34219873</v>
      </c>
      <c r="B30" t="s">
        <v>181</v>
      </c>
      <c r="C30" t="s">
        <v>182</v>
      </c>
      <c r="D30" t="s">
        <v>183</v>
      </c>
      <c r="E30" t="s">
        <v>184</v>
      </c>
      <c r="F30" t="str">
        <f>"0316439959"</f>
        <v>0316439959</v>
      </c>
      <c r="G30" t="str">
        <f>"9780316439954"</f>
        <v>9780316439954</v>
      </c>
      <c r="H30">
        <v>4</v>
      </c>
      <c r="I30">
        <v>4.32</v>
      </c>
      <c r="J30" t="s">
        <v>185</v>
      </c>
      <c r="K30" t="s">
        <v>48</v>
      </c>
      <c r="L30">
        <v>465</v>
      </c>
      <c r="M30">
        <v>2017</v>
      </c>
      <c r="N30">
        <v>2017</v>
      </c>
      <c r="O30" s="1">
        <v>45660</v>
      </c>
      <c r="P30" s="1">
        <v>45413</v>
      </c>
      <c r="Q30" t="s">
        <v>186</v>
      </c>
      <c r="R30" t="s">
        <v>187</v>
      </c>
      <c r="S30" t="s">
        <v>51</v>
      </c>
      <c r="T30" t="s">
        <v>188</v>
      </c>
      <c r="W30">
        <v>1</v>
      </c>
      <c r="X30">
        <v>0</v>
      </c>
      <c r="Y30" t="s">
        <v>38</v>
      </c>
    </row>
    <row r="31" spans="1:25" x14ac:dyDescent="0.35">
      <c r="A31">
        <v>39675426</v>
      </c>
      <c r="B31" t="s">
        <v>189</v>
      </c>
      <c r="C31" t="s">
        <v>182</v>
      </c>
      <c r="D31" t="s">
        <v>183</v>
      </c>
      <c r="F31" t="str">
        <f>"0316508934"</f>
        <v>0316508934</v>
      </c>
      <c r="G31" t="str">
        <f>""</f>
        <v/>
      </c>
      <c r="H31">
        <v>5</v>
      </c>
      <c r="I31">
        <v>4.47</v>
      </c>
      <c r="J31" t="s">
        <v>185</v>
      </c>
      <c r="K31" t="s">
        <v>85</v>
      </c>
      <c r="L31">
        <v>545</v>
      </c>
      <c r="M31">
        <v>2018</v>
      </c>
      <c r="N31">
        <v>2018</v>
      </c>
      <c r="O31" s="1">
        <v>45670</v>
      </c>
      <c r="P31" s="1">
        <v>45660</v>
      </c>
      <c r="Q31" t="s">
        <v>186</v>
      </c>
      <c r="R31" t="s">
        <v>190</v>
      </c>
      <c r="S31" t="s">
        <v>51</v>
      </c>
      <c r="T31" t="s">
        <v>191</v>
      </c>
      <c r="W31">
        <v>1</v>
      </c>
      <c r="X31">
        <v>0</v>
      </c>
      <c r="Y31" t="s">
        <v>38</v>
      </c>
    </row>
    <row r="32" spans="1:25" x14ac:dyDescent="0.35">
      <c r="A32">
        <v>172111</v>
      </c>
      <c r="B32" t="s">
        <v>192</v>
      </c>
      <c r="C32" t="s">
        <v>193</v>
      </c>
      <c r="D32" t="s">
        <v>194</v>
      </c>
      <c r="F32" t="str">
        <f>"0440802016"</f>
        <v>0440802016</v>
      </c>
      <c r="G32" t="str">
        <f>"9780440802013"</f>
        <v>9780440802013</v>
      </c>
      <c r="H32">
        <v>4</v>
      </c>
      <c r="I32">
        <v>3.7</v>
      </c>
      <c r="J32" t="s">
        <v>195</v>
      </c>
      <c r="K32" t="s">
        <v>29</v>
      </c>
      <c r="L32">
        <v>176</v>
      </c>
      <c r="M32">
        <v>1978</v>
      </c>
      <c r="N32">
        <v>1973</v>
      </c>
      <c r="O32" s="1">
        <v>45690</v>
      </c>
      <c r="P32" s="1">
        <v>45690</v>
      </c>
      <c r="Q32" t="s">
        <v>196</v>
      </c>
      <c r="R32" t="s">
        <v>197</v>
      </c>
      <c r="S32" t="s">
        <v>51</v>
      </c>
      <c r="W32">
        <v>1</v>
      </c>
      <c r="X32">
        <v>0</v>
      </c>
      <c r="Y32" t="s">
        <v>38</v>
      </c>
    </row>
    <row r="33" spans="1:25" x14ac:dyDescent="0.35">
      <c r="A33">
        <v>58150550</v>
      </c>
      <c r="B33" t="s">
        <v>198</v>
      </c>
      <c r="C33" t="s">
        <v>199</v>
      </c>
      <c r="D33" t="s">
        <v>200</v>
      </c>
      <c r="F33" t="str">
        <f>"1999128680"</f>
        <v>1999128680</v>
      </c>
      <c r="G33" t="str">
        <f>"9781999128685"</f>
        <v>9781999128685</v>
      </c>
      <c r="H33">
        <v>0</v>
      </c>
      <c r="I33">
        <v>4.22</v>
      </c>
      <c r="J33" t="s">
        <v>201</v>
      </c>
      <c r="K33" t="s">
        <v>29</v>
      </c>
      <c r="L33">
        <v>112</v>
      </c>
      <c r="M33">
        <v>2021</v>
      </c>
      <c r="P33" s="1">
        <v>45694</v>
      </c>
      <c r="Q33" t="s">
        <v>30</v>
      </c>
      <c r="R33" t="s">
        <v>202</v>
      </c>
      <c r="S33" t="s">
        <v>30</v>
      </c>
      <c r="W33">
        <v>0</v>
      </c>
      <c r="X33">
        <v>0</v>
      </c>
      <c r="Y33" t="s">
        <v>203</v>
      </c>
    </row>
    <row r="34" spans="1:25" x14ac:dyDescent="0.35">
      <c r="A34">
        <v>124272737</v>
      </c>
      <c r="B34" t="s">
        <v>204</v>
      </c>
      <c r="C34" t="s">
        <v>205</v>
      </c>
      <c r="D34" t="s">
        <v>206</v>
      </c>
      <c r="F34" t="str">
        <f>""</f>
        <v/>
      </c>
      <c r="G34" t="str">
        <f>""</f>
        <v/>
      </c>
      <c r="H34">
        <v>0</v>
      </c>
      <c r="I34">
        <v>4.28</v>
      </c>
      <c r="K34" t="s">
        <v>85</v>
      </c>
      <c r="L34">
        <v>241</v>
      </c>
      <c r="M34">
        <v>2023</v>
      </c>
      <c r="P34" s="1">
        <v>45693</v>
      </c>
      <c r="Q34" t="s">
        <v>30</v>
      </c>
      <c r="R34" t="s">
        <v>207</v>
      </c>
      <c r="S34" t="s">
        <v>30</v>
      </c>
      <c r="W34">
        <v>0</v>
      </c>
      <c r="X34">
        <v>0</v>
      </c>
      <c r="Y34" t="s">
        <v>173</v>
      </c>
    </row>
    <row r="35" spans="1:25" x14ac:dyDescent="0.35">
      <c r="A35">
        <v>53901470</v>
      </c>
      <c r="B35" t="s">
        <v>208</v>
      </c>
      <c r="C35" t="s">
        <v>140</v>
      </c>
      <c r="D35" t="s">
        <v>141</v>
      </c>
      <c r="F35" t="str">
        <f>"0764237977"</f>
        <v>0764237977</v>
      </c>
      <c r="G35" t="str">
        <f>"9780764237973"</f>
        <v>9780764237973</v>
      </c>
      <c r="H35">
        <v>0</v>
      </c>
      <c r="I35">
        <v>3.9</v>
      </c>
      <c r="J35" t="s">
        <v>36</v>
      </c>
      <c r="K35" t="s">
        <v>29</v>
      </c>
      <c r="L35">
        <v>364</v>
      </c>
      <c r="M35">
        <v>2021</v>
      </c>
      <c r="N35">
        <v>2021</v>
      </c>
      <c r="P35" s="1">
        <v>45693</v>
      </c>
      <c r="Q35" t="s">
        <v>30</v>
      </c>
      <c r="R35" t="s">
        <v>209</v>
      </c>
      <c r="S35" t="s">
        <v>30</v>
      </c>
      <c r="W35">
        <v>0</v>
      </c>
      <c r="X35">
        <v>0</v>
      </c>
      <c r="Y35" t="s">
        <v>38</v>
      </c>
    </row>
    <row r="36" spans="1:25" x14ac:dyDescent="0.35">
      <c r="A36">
        <v>6202556</v>
      </c>
      <c r="B36" t="s">
        <v>210</v>
      </c>
      <c r="C36" t="s">
        <v>211</v>
      </c>
      <c r="D36" t="s">
        <v>212</v>
      </c>
      <c r="F36" t="str">
        <f>"0805088415"</f>
        <v>0805088415</v>
      </c>
      <c r="G36" t="str">
        <f>"9780805088410"</f>
        <v>9780805088410</v>
      </c>
      <c r="H36">
        <v>0</v>
      </c>
      <c r="I36">
        <v>3.99</v>
      </c>
      <c r="J36" t="s">
        <v>213</v>
      </c>
      <c r="K36" t="s">
        <v>48</v>
      </c>
      <c r="L36">
        <v>344</v>
      </c>
      <c r="M36">
        <v>2009</v>
      </c>
      <c r="N36">
        <v>2009</v>
      </c>
      <c r="P36" s="1">
        <v>45692</v>
      </c>
      <c r="Q36" t="s">
        <v>30</v>
      </c>
      <c r="R36" t="s">
        <v>214</v>
      </c>
      <c r="S36" t="s">
        <v>30</v>
      </c>
      <c r="W36">
        <v>0</v>
      </c>
      <c r="X36">
        <v>0</v>
      </c>
      <c r="Y36" t="s">
        <v>38</v>
      </c>
    </row>
    <row r="37" spans="1:25" x14ac:dyDescent="0.35">
      <c r="A37">
        <v>207033756</v>
      </c>
      <c r="B37" t="s">
        <v>215</v>
      </c>
      <c r="C37" t="s">
        <v>216</v>
      </c>
      <c r="D37" t="s">
        <v>217</v>
      </c>
      <c r="E37" t="s">
        <v>218</v>
      </c>
      <c r="F37" t="str">
        <f>""</f>
        <v/>
      </c>
      <c r="G37" t="str">
        <f>""</f>
        <v/>
      </c>
      <c r="H37">
        <v>4</v>
      </c>
      <c r="I37">
        <v>3.82</v>
      </c>
      <c r="J37" t="s">
        <v>219</v>
      </c>
      <c r="K37" t="s">
        <v>220</v>
      </c>
      <c r="L37">
        <v>1</v>
      </c>
      <c r="M37">
        <v>2024</v>
      </c>
      <c r="N37">
        <v>2024</v>
      </c>
      <c r="O37" s="1">
        <v>45364</v>
      </c>
      <c r="P37" s="1">
        <v>45364</v>
      </c>
      <c r="Q37" t="s">
        <v>221</v>
      </c>
      <c r="R37" t="s">
        <v>222</v>
      </c>
      <c r="S37" t="s">
        <v>51</v>
      </c>
      <c r="T37" t="s">
        <v>223</v>
      </c>
      <c r="W37">
        <v>1</v>
      </c>
      <c r="X37">
        <v>0</v>
      </c>
      <c r="Y37" t="s">
        <v>38</v>
      </c>
    </row>
    <row r="38" spans="1:25" x14ac:dyDescent="0.35">
      <c r="A38">
        <v>27523</v>
      </c>
      <c r="B38" t="s">
        <v>224</v>
      </c>
      <c r="C38" t="s">
        <v>225</v>
      </c>
      <c r="D38" t="s">
        <v>226</v>
      </c>
      <c r="E38" t="s">
        <v>54</v>
      </c>
      <c r="F38" t="str">
        <f>"0842342702"</f>
        <v>0842342702</v>
      </c>
      <c r="G38" t="str">
        <f>"9780842342704"</f>
        <v>9780842342704</v>
      </c>
      <c r="H38">
        <v>4</v>
      </c>
      <c r="I38">
        <v>3.86</v>
      </c>
      <c r="J38" t="s">
        <v>227</v>
      </c>
      <c r="K38" t="s">
        <v>228</v>
      </c>
      <c r="L38">
        <v>470</v>
      </c>
      <c r="M38">
        <v>2000</v>
      </c>
      <c r="N38">
        <v>1995</v>
      </c>
      <c r="O38" s="1">
        <v>45367</v>
      </c>
      <c r="P38" s="1">
        <v>45366</v>
      </c>
      <c r="Q38" t="s">
        <v>229</v>
      </c>
      <c r="R38" t="s">
        <v>230</v>
      </c>
      <c r="S38" t="s">
        <v>51</v>
      </c>
      <c r="T38" t="s">
        <v>231</v>
      </c>
      <c r="W38">
        <v>1</v>
      </c>
      <c r="X38">
        <v>0</v>
      </c>
      <c r="Y38" t="s">
        <v>38</v>
      </c>
    </row>
    <row r="39" spans="1:25" x14ac:dyDescent="0.35">
      <c r="A39">
        <v>8414177</v>
      </c>
      <c r="B39" t="s">
        <v>232</v>
      </c>
      <c r="C39" t="s">
        <v>233</v>
      </c>
      <c r="D39" t="s">
        <v>234</v>
      </c>
      <c r="F39" t="str">
        <f>"0525951903"</f>
        <v>0525951903</v>
      </c>
      <c r="G39" t="str">
        <f>"9780525951902"</f>
        <v>9780525951902</v>
      </c>
      <c r="H39">
        <v>5</v>
      </c>
      <c r="I39">
        <v>4.24</v>
      </c>
      <c r="J39" t="s">
        <v>235</v>
      </c>
      <c r="K39" t="s">
        <v>48</v>
      </c>
      <c r="L39">
        <v>256</v>
      </c>
      <c r="M39">
        <v>2010</v>
      </c>
      <c r="N39">
        <v>2010</v>
      </c>
      <c r="O39" s="1">
        <v>45368</v>
      </c>
      <c r="P39" s="1">
        <v>45357</v>
      </c>
      <c r="Q39" t="s">
        <v>236</v>
      </c>
      <c r="R39" t="s">
        <v>237</v>
      </c>
      <c r="S39" t="s">
        <v>51</v>
      </c>
      <c r="W39">
        <v>1</v>
      </c>
      <c r="X39">
        <v>0</v>
      </c>
      <c r="Y39" t="s">
        <v>122</v>
      </c>
    </row>
    <row r="40" spans="1:25" x14ac:dyDescent="0.35">
      <c r="A40">
        <v>63005200</v>
      </c>
      <c r="B40" t="s">
        <v>238</v>
      </c>
      <c r="C40" t="s">
        <v>239</v>
      </c>
      <c r="D40" t="s">
        <v>240</v>
      </c>
      <c r="E40" t="s">
        <v>241</v>
      </c>
      <c r="F40" t="str">
        <f>"1250838819"</f>
        <v>1250838819</v>
      </c>
      <c r="G40" t="str">
        <f>"9781250838810"</f>
        <v>9781250838810</v>
      </c>
      <c r="H40">
        <v>5</v>
      </c>
      <c r="I40">
        <v>4.12</v>
      </c>
      <c r="J40" t="s">
        <v>242</v>
      </c>
      <c r="K40" t="s">
        <v>48</v>
      </c>
      <c r="L40">
        <v>215</v>
      </c>
      <c r="M40">
        <v>2023</v>
      </c>
      <c r="N40">
        <v>2023</v>
      </c>
      <c r="O40" s="1">
        <v>45374</v>
      </c>
      <c r="P40" s="1">
        <v>45357</v>
      </c>
      <c r="Q40" t="s">
        <v>243</v>
      </c>
      <c r="R40" t="s">
        <v>244</v>
      </c>
      <c r="S40" t="s">
        <v>51</v>
      </c>
      <c r="T40" t="s">
        <v>245</v>
      </c>
      <c r="W40">
        <v>1</v>
      </c>
      <c r="X40">
        <v>0</v>
      </c>
      <c r="Y40" t="s">
        <v>38</v>
      </c>
    </row>
    <row r="41" spans="1:25" x14ac:dyDescent="0.35">
      <c r="A41">
        <v>20736588</v>
      </c>
      <c r="B41" t="s">
        <v>246</v>
      </c>
      <c r="C41" t="s">
        <v>247</v>
      </c>
      <c r="D41" t="s">
        <v>248</v>
      </c>
      <c r="F41" t="str">
        <f>"1476746826"</f>
        <v>1476746826</v>
      </c>
      <c r="G41" t="str">
        <f>"9781476746821"</f>
        <v>9781476746821</v>
      </c>
      <c r="H41">
        <v>3</v>
      </c>
      <c r="I41">
        <v>4.09</v>
      </c>
      <c r="J41" t="s">
        <v>249</v>
      </c>
      <c r="K41" t="s">
        <v>48</v>
      </c>
      <c r="L41">
        <v>323</v>
      </c>
      <c r="M41">
        <v>2015</v>
      </c>
      <c r="N41">
        <v>2015</v>
      </c>
      <c r="O41" s="1">
        <v>45385</v>
      </c>
      <c r="P41" s="1">
        <v>45335</v>
      </c>
      <c r="Q41" t="s">
        <v>250</v>
      </c>
      <c r="R41" t="s">
        <v>251</v>
      </c>
      <c r="S41" t="s">
        <v>51</v>
      </c>
      <c r="T41" t="s">
        <v>252</v>
      </c>
      <c r="W41">
        <v>1</v>
      </c>
      <c r="X41">
        <v>0</v>
      </c>
      <c r="Y41" t="s">
        <v>38</v>
      </c>
    </row>
    <row r="42" spans="1:25" x14ac:dyDescent="0.35">
      <c r="A42">
        <v>27528</v>
      </c>
      <c r="B42" t="s">
        <v>253</v>
      </c>
      <c r="C42" t="s">
        <v>225</v>
      </c>
      <c r="D42" t="s">
        <v>226</v>
      </c>
      <c r="E42" t="s">
        <v>54</v>
      </c>
      <c r="F42" t="str">
        <f>"078622469X"</f>
        <v>078622469X</v>
      </c>
      <c r="G42" t="str">
        <f>"9780786224692"</f>
        <v>9780786224692</v>
      </c>
      <c r="H42">
        <v>0</v>
      </c>
      <c r="I42">
        <v>3.99</v>
      </c>
      <c r="J42" t="s">
        <v>254</v>
      </c>
      <c r="K42" t="s">
        <v>48</v>
      </c>
      <c r="L42">
        <v>530</v>
      </c>
      <c r="M42">
        <v>2000</v>
      </c>
      <c r="N42">
        <v>1997</v>
      </c>
      <c r="O42" s="1">
        <v>45381</v>
      </c>
      <c r="P42" s="1">
        <v>45381</v>
      </c>
      <c r="Q42" t="s">
        <v>229</v>
      </c>
      <c r="R42" t="s">
        <v>255</v>
      </c>
      <c r="S42" t="s">
        <v>51</v>
      </c>
      <c r="W42">
        <v>1</v>
      </c>
      <c r="X42">
        <v>0</v>
      </c>
      <c r="Y42" t="s">
        <v>38</v>
      </c>
    </row>
    <row r="43" spans="1:25" x14ac:dyDescent="0.35">
      <c r="A43">
        <v>59857157</v>
      </c>
      <c r="B43" t="s">
        <v>256</v>
      </c>
      <c r="C43" t="s">
        <v>257</v>
      </c>
      <c r="D43" t="s">
        <v>258</v>
      </c>
      <c r="F43" t="str">
        <f>"0800740173"</f>
        <v>0800740173</v>
      </c>
      <c r="G43" t="str">
        <f>"9780800740177"</f>
        <v>9780800740177</v>
      </c>
      <c r="H43">
        <v>5</v>
      </c>
      <c r="I43">
        <v>4.18</v>
      </c>
      <c r="J43" t="s">
        <v>259</v>
      </c>
      <c r="K43" t="s">
        <v>29</v>
      </c>
      <c r="L43">
        <v>346</v>
      </c>
      <c r="M43">
        <v>2022</v>
      </c>
      <c r="N43">
        <v>2022</v>
      </c>
      <c r="O43" s="1">
        <v>45376</v>
      </c>
      <c r="P43" s="1">
        <v>45328</v>
      </c>
      <c r="Q43" t="s">
        <v>260</v>
      </c>
      <c r="R43" t="s">
        <v>261</v>
      </c>
      <c r="S43" t="s">
        <v>51</v>
      </c>
      <c r="T43" t="s">
        <v>262</v>
      </c>
      <c r="W43">
        <v>1</v>
      </c>
      <c r="X43">
        <v>0</v>
      </c>
      <c r="Y43" t="s">
        <v>38</v>
      </c>
    </row>
    <row r="44" spans="1:25" x14ac:dyDescent="0.35">
      <c r="A44">
        <v>59808317</v>
      </c>
      <c r="B44" t="s">
        <v>263</v>
      </c>
      <c r="C44" t="s">
        <v>264</v>
      </c>
      <c r="D44" t="s">
        <v>265</v>
      </c>
      <c r="F44" t="str">
        <f>"1250842522"</f>
        <v>1250842522</v>
      </c>
      <c r="G44" t="str">
        <f>"9781250842527"</f>
        <v>9781250842527</v>
      </c>
      <c r="H44">
        <v>4</v>
      </c>
      <c r="I44">
        <v>3.54</v>
      </c>
      <c r="J44" t="s">
        <v>266</v>
      </c>
      <c r="K44" t="s">
        <v>29</v>
      </c>
      <c r="L44">
        <v>352</v>
      </c>
      <c r="M44">
        <v>2022</v>
      </c>
      <c r="N44">
        <v>2022</v>
      </c>
      <c r="O44" s="1">
        <v>45402</v>
      </c>
      <c r="P44" s="1">
        <v>45401</v>
      </c>
      <c r="Q44" t="s">
        <v>267</v>
      </c>
      <c r="R44" t="s">
        <v>268</v>
      </c>
      <c r="S44" t="s">
        <v>51</v>
      </c>
      <c r="T44" t="s">
        <v>269</v>
      </c>
      <c r="W44">
        <v>1</v>
      </c>
      <c r="X44">
        <v>0</v>
      </c>
      <c r="Y44" t="s">
        <v>38</v>
      </c>
    </row>
    <row r="45" spans="1:25" x14ac:dyDescent="0.35">
      <c r="A45">
        <v>5659</v>
      </c>
      <c r="B45" t="s">
        <v>270</v>
      </c>
      <c r="C45" t="s">
        <v>271</v>
      </c>
      <c r="D45" t="s">
        <v>272</v>
      </c>
      <c r="E45" t="s">
        <v>273</v>
      </c>
      <c r="F45" t="str">
        <f>"0143039091"</f>
        <v>0143039091</v>
      </c>
      <c r="G45" t="str">
        <f>"9780143039099"</f>
        <v>9780143039099</v>
      </c>
      <c r="H45">
        <v>4</v>
      </c>
      <c r="I45">
        <v>4.0199999999999996</v>
      </c>
      <c r="J45" t="s">
        <v>274</v>
      </c>
      <c r="K45" t="s">
        <v>29</v>
      </c>
      <c r="L45">
        <v>197</v>
      </c>
      <c r="M45">
        <v>2005</v>
      </c>
      <c r="N45">
        <v>1908</v>
      </c>
      <c r="O45" s="1">
        <v>45401</v>
      </c>
      <c r="P45" s="1">
        <v>45400</v>
      </c>
      <c r="Q45" t="s">
        <v>243</v>
      </c>
      <c r="R45" t="s">
        <v>275</v>
      </c>
      <c r="S45" t="s">
        <v>51</v>
      </c>
      <c r="W45">
        <v>1</v>
      </c>
      <c r="X45">
        <v>0</v>
      </c>
      <c r="Y45" t="s">
        <v>38</v>
      </c>
    </row>
    <row r="46" spans="1:25" x14ac:dyDescent="0.35">
      <c r="A46">
        <v>824204</v>
      </c>
      <c r="B46" t="s">
        <v>276</v>
      </c>
      <c r="C46" t="s">
        <v>277</v>
      </c>
      <c r="D46" t="s">
        <v>278</v>
      </c>
      <c r="E46" t="s">
        <v>279</v>
      </c>
      <c r="F46" t="str">
        <f>"0448405202"</f>
        <v>0448405202</v>
      </c>
      <c r="G46" t="str">
        <f>"9780448405209"</f>
        <v>9780448405209</v>
      </c>
      <c r="H46">
        <v>5</v>
      </c>
      <c r="I46">
        <v>4.1900000000000004</v>
      </c>
      <c r="J46" t="s">
        <v>280</v>
      </c>
      <c r="K46" t="s">
        <v>29</v>
      </c>
      <c r="L46">
        <v>48</v>
      </c>
      <c r="M46">
        <v>2006</v>
      </c>
      <c r="N46">
        <v>1930</v>
      </c>
      <c r="O46" s="1">
        <v>45397</v>
      </c>
      <c r="P46" s="1">
        <v>45400</v>
      </c>
      <c r="Q46" t="s">
        <v>281</v>
      </c>
      <c r="R46" t="s">
        <v>282</v>
      </c>
      <c r="S46" t="s">
        <v>51</v>
      </c>
      <c r="T46" t="s">
        <v>283</v>
      </c>
      <c r="W46">
        <v>1</v>
      </c>
      <c r="X46">
        <v>0</v>
      </c>
      <c r="Y46" t="s">
        <v>38</v>
      </c>
    </row>
    <row r="47" spans="1:25" x14ac:dyDescent="0.35">
      <c r="A47">
        <v>40605329</v>
      </c>
      <c r="B47" t="s">
        <v>284</v>
      </c>
      <c r="C47" t="s">
        <v>285</v>
      </c>
      <c r="D47" t="s">
        <v>286</v>
      </c>
      <c r="F47" t="str">
        <f>"0316032115"</f>
        <v>0316032115</v>
      </c>
      <c r="G47" t="str">
        <f>"9780316032117"</f>
        <v>9780316032117</v>
      </c>
      <c r="H47">
        <v>5</v>
      </c>
      <c r="I47">
        <v>4.2</v>
      </c>
      <c r="J47" t="s">
        <v>185</v>
      </c>
      <c r="K47" t="s">
        <v>85</v>
      </c>
      <c r="L47">
        <v>497</v>
      </c>
      <c r="M47">
        <v>2008</v>
      </c>
      <c r="N47">
        <v>2007</v>
      </c>
      <c r="O47" s="1">
        <v>45394</v>
      </c>
      <c r="P47" s="1">
        <v>45394</v>
      </c>
      <c r="Q47" t="s">
        <v>287</v>
      </c>
      <c r="R47" t="s">
        <v>288</v>
      </c>
      <c r="S47" t="s">
        <v>51</v>
      </c>
      <c r="W47">
        <v>1</v>
      </c>
      <c r="X47">
        <v>0</v>
      </c>
      <c r="Y47" t="s">
        <v>38</v>
      </c>
    </row>
    <row r="48" spans="1:25" x14ac:dyDescent="0.35">
      <c r="A48">
        <v>40940121</v>
      </c>
      <c r="B48" t="s">
        <v>289</v>
      </c>
      <c r="C48" t="s">
        <v>290</v>
      </c>
      <c r="D48" t="s">
        <v>291</v>
      </c>
      <c r="F48" t="str">
        <f>""</f>
        <v/>
      </c>
      <c r="G48" t="str">
        <f>""</f>
        <v/>
      </c>
      <c r="H48">
        <v>4</v>
      </c>
      <c r="I48">
        <v>4.05</v>
      </c>
      <c r="J48" t="s">
        <v>292</v>
      </c>
      <c r="K48" t="s">
        <v>85</v>
      </c>
      <c r="L48">
        <v>190</v>
      </c>
      <c r="M48">
        <v>2009</v>
      </c>
      <c r="N48">
        <v>1977</v>
      </c>
      <c r="O48" s="1">
        <v>45394</v>
      </c>
      <c r="P48" s="1">
        <v>45343</v>
      </c>
      <c r="Q48" t="s">
        <v>293</v>
      </c>
      <c r="R48" t="s">
        <v>294</v>
      </c>
      <c r="S48" t="s">
        <v>51</v>
      </c>
      <c r="T48" t="s">
        <v>295</v>
      </c>
      <c r="U48" t="b">
        <v>1</v>
      </c>
      <c r="W48">
        <v>1</v>
      </c>
      <c r="X48">
        <v>0</v>
      </c>
      <c r="Y48" t="s">
        <v>38</v>
      </c>
    </row>
    <row r="49" spans="1:25" x14ac:dyDescent="0.35">
      <c r="A49">
        <v>775597</v>
      </c>
      <c r="B49" t="s">
        <v>296</v>
      </c>
      <c r="C49" t="s">
        <v>297</v>
      </c>
      <c r="D49" t="s">
        <v>298</v>
      </c>
      <c r="F49" t="str">
        <f>"0064431436"</f>
        <v>0064431436</v>
      </c>
      <c r="G49" t="str">
        <f>"9780064431439"</f>
        <v>9780064431439</v>
      </c>
      <c r="H49">
        <v>5</v>
      </c>
      <c r="I49">
        <v>4.17</v>
      </c>
      <c r="J49" t="s">
        <v>292</v>
      </c>
      <c r="K49" t="s">
        <v>29</v>
      </c>
      <c r="L49">
        <v>48</v>
      </c>
      <c r="M49">
        <v>2015</v>
      </c>
      <c r="N49">
        <v>1940</v>
      </c>
      <c r="O49" s="1">
        <v>45413</v>
      </c>
      <c r="P49" s="1">
        <v>45400</v>
      </c>
      <c r="Q49" t="s">
        <v>281</v>
      </c>
      <c r="R49" t="s">
        <v>299</v>
      </c>
      <c r="S49" t="s">
        <v>51</v>
      </c>
      <c r="W49">
        <v>1</v>
      </c>
      <c r="X49">
        <v>0</v>
      </c>
      <c r="Y49" t="s">
        <v>300</v>
      </c>
    </row>
    <row r="50" spans="1:25" x14ac:dyDescent="0.35">
      <c r="A50">
        <v>228261</v>
      </c>
      <c r="B50" t="s">
        <v>301</v>
      </c>
      <c r="C50" t="s">
        <v>225</v>
      </c>
      <c r="D50" t="s">
        <v>226</v>
      </c>
      <c r="E50" t="s">
        <v>54</v>
      </c>
      <c r="F50" t="str">
        <f>"0842329250"</f>
        <v>0842329250</v>
      </c>
      <c r="G50" t="str">
        <f>"9780842329255"</f>
        <v>9780842329255</v>
      </c>
      <c r="H50">
        <v>4</v>
      </c>
      <c r="I50">
        <v>3.99</v>
      </c>
      <c r="J50" t="s">
        <v>302</v>
      </c>
      <c r="K50" t="s">
        <v>29</v>
      </c>
      <c r="L50">
        <v>424</v>
      </c>
      <c r="M50">
        <v>1998</v>
      </c>
      <c r="N50">
        <v>1998</v>
      </c>
      <c r="O50" s="1">
        <v>45413</v>
      </c>
      <c r="P50" s="1">
        <v>45381</v>
      </c>
      <c r="Q50" t="s">
        <v>229</v>
      </c>
      <c r="R50" t="s">
        <v>303</v>
      </c>
      <c r="S50" t="s">
        <v>51</v>
      </c>
      <c r="W50">
        <v>1</v>
      </c>
      <c r="X50">
        <v>0</v>
      </c>
      <c r="Y50" t="s">
        <v>38</v>
      </c>
    </row>
    <row r="51" spans="1:25" x14ac:dyDescent="0.35">
      <c r="A51">
        <v>61273821</v>
      </c>
      <c r="B51" t="s">
        <v>304</v>
      </c>
      <c r="C51" t="s">
        <v>305</v>
      </c>
      <c r="D51" t="s">
        <v>306</v>
      </c>
      <c r="F51" t="str">
        <f>"1982189495"</f>
        <v>1982189495</v>
      </c>
      <c r="G51" t="str">
        <f>"9781982189495"</f>
        <v>9781982189495</v>
      </c>
      <c r="H51">
        <v>5</v>
      </c>
      <c r="I51">
        <v>4.1399999999999997</v>
      </c>
      <c r="J51" t="s">
        <v>307</v>
      </c>
      <c r="K51" t="s">
        <v>48</v>
      </c>
      <c r="L51">
        <v>288</v>
      </c>
      <c r="M51">
        <v>2023</v>
      </c>
      <c r="N51">
        <v>2023</v>
      </c>
      <c r="P51" s="1">
        <v>45414</v>
      </c>
      <c r="Q51" t="s">
        <v>308</v>
      </c>
      <c r="R51" t="s">
        <v>309</v>
      </c>
      <c r="S51" t="s">
        <v>51</v>
      </c>
      <c r="T51" t="s">
        <v>310</v>
      </c>
      <c r="W51">
        <v>3</v>
      </c>
      <c r="X51">
        <v>0</v>
      </c>
      <c r="Y51" t="s">
        <v>311</v>
      </c>
    </row>
    <row r="52" spans="1:25" x14ac:dyDescent="0.35">
      <c r="A52">
        <v>266904</v>
      </c>
      <c r="B52" t="s">
        <v>312</v>
      </c>
      <c r="C52" t="s">
        <v>313</v>
      </c>
      <c r="D52" t="s">
        <v>314</v>
      </c>
      <c r="F52" t="str">
        <f>""</f>
        <v/>
      </c>
      <c r="G52" t="str">
        <f>""</f>
        <v/>
      </c>
      <c r="H52">
        <v>5</v>
      </c>
      <c r="I52">
        <v>4.1900000000000004</v>
      </c>
      <c r="J52" t="s">
        <v>315</v>
      </c>
      <c r="K52" t="s">
        <v>29</v>
      </c>
      <c r="L52">
        <v>262</v>
      </c>
      <c r="M52">
        <v>2007</v>
      </c>
      <c r="N52">
        <v>2005</v>
      </c>
      <c r="O52" s="1">
        <v>45419</v>
      </c>
      <c r="P52" s="1">
        <v>45410</v>
      </c>
      <c r="Q52" t="s">
        <v>243</v>
      </c>
      <c r="R52" t="s">
        <v>316</v>
      </c>
      <c r="S52" t="s">
        <v>51</v>
      </c>
      <c r="T52" t="s">
        <v>317</v>
      </c>
      <c r="W52">
        <v>1</v>
      </c>
      <c r="X52">
        <v>0</v>
      </c>
      <c r="Y52" t="s">
        <v>38</v>
      </c>
    </row>
    <row r="53" spans="1:25" x14ac:dyDescent="0.35">
      <c r="A53">
        <v>49090441</v>
      </c>
      <c r="B53" t="s">
        <v>318</v>
      </c>
      <c r="C53" t="s">
        <v>319</v>
      </c>
      <c r="D53" t="s">
        <v>320</v>
      </c>
      <c r="E53" t="s">
        <v>321</v>
      </c>
      <c r="F53" t="str">
        <f>"133857485X"</f>
        <v>133857485X</v>
      </c>
      <c r="G53" t="str">
        <f>"9781338574852"</f>
        <v>9781338574852</v>
      </c>
      <c r="H53">
        <v>4</v>
      </c>
      <c r="I53">
        <v>4.51</v>
      </c>
      <c r="J53" t="s">
        <v>322</v>
      </c>
      <c r="K53" t="s">
        <v>48</v>
      </c>
      <c r="L53">
        <v>40</v>
      </c>
      <c r="M53">
        <v>2020</v>
      </c>
      <c r="N53">
        <v>2020</v>
      </c>
      <c r="O53" s="1">
        <v>45421</v>
      </c>
      <c r="P53" s="1">
        <v>45421</v>
      </c>
      <c r="Q53" t="s">
        <v>323</v>
      </c>
      <c r="R53" t="s">
        <v>324</v>
      </c>
      <c r="S53" t="s">
        <v>51</v>
      </c>
      <c r="T53" t="s">
        <v>325</v>
      </c>
      <c r="W53">
        <v>1</v>
      </c>
      <c r="X53">
        <v>0</v>
      </c>
      <c r="Y53" t="s">
        <v>38</v>
      </c>
    </row>
    <row r="54" spans="1:25" x14ac:dyDescent="0.35">
      <c r="A54">
        <v>29102895</v>
      </c>
      <c r="B54" t="s">
        <v>326</v>
      </c>
      <c r="C54" t="s">
        <v>327</v>
      </c>
      <c r="D54" t="s">
        <v>328</v>
      </c>
      <c r="E54" t="s">
        <v>329</v>
      </c>
      <c r="F54" t="str">
        <f>"1250087953"</f>
        <v>1250087953</v>
      </c>
      <c r="G54" t="str">
        <f>"9781250087959"</f>
        <v>9781250087959</v>
      </c>
      <c r="H54">
        <v>5</v>
      </c>
      <c r="I54">
        <v>3.85</v>
      </c>
      <c r="J54" t="s">
        <v>330</v>
      </c>
      <c r="K54" t="s">
        <v>48</v>
      </c>
      <c r="L54">
        <v>48</v>
      </c>
      <c r="M54">
        <v>2017</v>
      </c>
      <c r="N54">
        <v>2017</v>
      </c>
      <c r="O54" s="1">
        <v>45421</v>
      </c>
      <c r="P54" s="1">
        <v>45420</v>
      </c>
      <c r="Q54" t="s">
        <v>281</v>
      </c>
      <c r="R54" t="s">
        <v>331</v>
      </c>
      <c r="S54" t="s">
        <v>51</v>
      </c>
      <c r="T54" t="s">
        <v>332</v>
      </c>
      <c r="W54">
        <v>1</v>
      </c>
      <c r="X54">
        <v>0</v>
      </c>
      <c r="Y54" t="s">
        <v>38</v>
      </c>
    </row>
    <row r="55" spans="1:25" x14ac:dyDescent="0.35">
      <c r="A55">
        <v>748279</v>
      </c>
      <c r="B55" t="s">
        <v>333</v>
      </c>
      <c r="C55" t="s">
        <v>334</v>
      </c>
      <c r="D55" t="s">
        <v>335</v>
      </c>
      <c r="F55" t="str">
        <f>"0802850820"</f>
        <v>0802850820</v>
      </c>
      <c r="G55" t="str">
        <f>"9780802850829"</f>
        <v>9780802850829</v>
      </c>
      <c r="H55">
        <v>5</v>
      </c>
      <c r="I55">
        <v>4.25</v>
      </c>
      <c r="J55" t="s">
        <v>336</v>
      </c>
      <c r="K55" t="s">
        <v>48</v>
      </c>
      <c r="L55">
        <v>32</v>
      </c>
      <c r="M55">
        <v>1994</v>
      </c>
      <c r="N55">
        <v>1994</v>
      </c>
      <c r="O55" s="1">
        <v>45421</v>
      </c>
      <c r="P55" s="1">
        <v>45420</v>
      </c>
      <c r="Q55" t="s">
        <v>281</v>
      </c>
      <c r="R55" t="s">
        <v>337</v>
      </c>
      <c r="S55" t="s">
        <v>51</v>
      </c>
      <c r="T55" t="s">
        <v>338</v>
      </c>
      <c r="W55">
        <v>1</v>
      </c>
      <c r="X55">
        <v>0</v>
      </c>
      <c r="Y55" t="s">
        <v>122</v>
      </c>
    </row>
    <row r="56" spans="1:25" x14ac:dyDescent="0.35">
      <c r="A56">
        <v>50374674</v>
      </c>
      <c r="B56" t="s">
        <v>339</v>
      </c>
      <c r="C56" t="s">
        <v>340</v>
      </c>
      <c r="D56" t="s">
        <v>341</v>
      </c>
      <c r="E56" t="s">
        <v>342</v>
      </c>
      <c r="F56" t="str">
        <f>""</f>
        <v/>
      </c>
      <c r="G56" t="str">
        <f>""</f>
        <v/>
      </c>
      <c r="H56">
        <v>3</v>
      </c>
      <c r="I56">
        <v>4.29</v>
      </c>
      <c r="J56" t="s">
        <v>343</v>
      </c>
      <c r="K56" t="s">
        <v>48</v>
      </c>
      <c r="M56">
        <v>2022</v>
      </c>
      <c r="N56">
        <v>2022</v>
      </c>
      <c r="O56" s="1">
        <v>45425</v>
      </c>
      <c r="P56" s="1">
        <v>45341</v>
      </c>
      <c r="Q56" t="s">
        <v>344</v>
      </c>
      <c r="R56" t="s">
        <v>345</v>
      </c>
      <c r="S56" t="s">
        <v>51</v>
      </c>
      <c r="T56" t="s">
        <v>346</v>
      </c>
      <c r="W56">
        <v>1</v>
      </c>
      <c r="X56">
        <v>0</v>
      </c>
      <c r="Y56" t="s">
        <v>38</v>
      </c>
    </row>
    <row r="57" spans="1:25" x14ac:dyDescent="0.35">
      <c r="A57">
        <v>61327512</v>
      </c>
      <c r="B57" t="s">
        <v>347</v>
      </c>
      <c r="C57" t="s">
        <v>348</v>
      </c>
      <c r="D57" t="s">
        <v>349</v>
      </c>
      <c r="F57" t="str">
        <f>"0593546172"</f>
        <v>0593546172</v>
      </c>
      <c r="G57" t="str">
        <f>"9780593546178"</f>
        <v>9780593546178</v>
      </c>
      <c r="H57">
        <v>5</v>
      </c>
      <c r="I57">
        <v>4.03</v>
      </c>
      <c r="J57" t="s">
        <v>350</v>
      </c>
      <c r="K57" t="s">
        <v>48</v>
      </c>
      <c r="L57">
        <v>339</v>
      </c>
      <c r="M57">
        <v>2023</v>
      </c>
      <c r="N57">
        <v>2023</v>
      </c>
      <c r="O57" s="1">
        <v>45442</v>
      </c>
      <c r="P57" s="1">
        <v>45424</v>
      </c>
      <c r="Q57" t="s">
        <v>351</v>
      </c>
      <c r="R57" t="s">
        <v>352</v>
      </c>
      <c r="S57" t="s">
        <v>51</v>
      </c>
      <c r="W57">
        <v>1</v>
      </c>
      <c r="X57">
        <v>0</v>
      </c>
      <c r="Y57" t="s">
        <v>38</v>
      </c>
    </row>
    <row r="58" spans="1:25" x14ac:dyDescent="0.35">
      <c r="A58">
        <v>35137934</v>
      </c>
      <c r="B58" t="s">
        <v>353</v>
      </c>
      <c r="C58" t="s">
        <v>354</v>
      </c>
      <c r="D58" t="s">
        <v>355</v>
      </c>
      <c r="F58" t="str">
        <f>"0545708575"</f>
        <v>0545708575</v>
      </c>
      <c r="G58" t="str">
        <f>"9780545708579"</f>
        <v>9780545708579</v>
      </c>
      <c r="H58">
        <v>5</v>
      </c>
      <c r="I58">
        <v>3.17</v>
      </c>
      <c r="J58" t="s">
        <v>356</v>
      </c>
      <c r="K58" t="s">
        <v>48</v>
      </c>
      <c r="L58">
        <v>40</v>
      </c>
      <c r="M58">
        <v>2018</v>
      </c>
      <c r="O58" s="1">
        <v>45442</v>
      </c>
      <c r="P58" s="1">
        <v>45442</v>
      </c>
      <c r="Q58" t="s">
        <v>281</v>
      </c>
      <c r="R58" t="s">
        <v>357</v>
      </c>
      <c r="S58" t="s">
        <v>51</v>
      </c>
      <c r="T58" t="s">
        <v>358</v>
      </c>
      <c r="W58">
        <v>1</v>
      </c>
      <c r="X58">
        <v>0</v>
      </c>
      <c r="Y58" t="s">
        <v>38</v>
      </c>
    </row>
    <row r="59" spans="1:25" x14ac:dyDescent="0.35">
      <c r="A59">
        <v>53399305</v>
      </c>
      <c r="B59" t="s">
        <v>359</v>
      </c>
      <c r="C59" t="s">
        <v>360</v>
      </c>
      <c r="D59" t="s">
        <v>361</v>
      </c>
      <c r="F59" t="str">
        <f>"0823447057"</f>
        <v>0823447057</v>
      </c>
      <c r="G59" t="str">
        <f>"9780823447053"</f>
        <v>9780823447053</v>
      </c>
      <c r="H59">
        <v>4</v>
      </c>
      <c r="I59">
        <v>4.57</v>
      </c>
      <c r="J59" t="s">
        <v>362</v>
      </c>
      <c r="K59" t="s">
        <v>48</v>
      </c>
      <c r="L59">
        <v>320</v>
      </c>
      <c r="M59">
        <v>2021</v>
      </c>
      <c r="N59">
        <v>2021</v>
      </c>
      <c r="O59" s="1">
        <v>45443</v>
      </c>
      <c r="P59" s="1">
        <v>45443</v>
      </c>
      <c r="Q59" t="s">
        <v>363</v>
      </c>
      <c r="R59" t="s">
        <v>364</v>
      </c>
      <c r="S59" t="s">
        <v>51</v>
      </c>
      <c r="T59" t="s">
        <v>365</v>
      </c>
      <c r="W59">
        <v>1</v>
      </c>
      <c r="X59">
        <v>0</v>
      </c>
      <c r="Y59" t="s">
        <v>38</v>
      </c>
    </row>
    <row r="60" spans="1:25" x14ac:dyDescent="0.35">
      <c r="A60">
        <v>205330</v>
      </c>
      <c r="B60" t="s">
        <v>366</v>
      </c>
      <c r="C60" t="s">
        <v>367</v>
      </c>
      <c r="D60" t="s">
        <v>368</v>
      </c>
      <c r="F60" t="str">
        <f>"0670869392"</f>
        <v>0670869392</v>
      </c>
      <c r="G60" t="str">
        <f>"9780670869398"</f>
        <v>9780670869398</v>
      </c>
      <c r="H60">
        <v>5</v>
      </c>
      <c r="I60">
        <v>4.24</v>
      </c>
      <c r="J60" t="s">
        <v>369</v>
      </c>
      <c r="K60" t="s">
        <v>48</v>
      </c>
      <c r="L60">
        <v>36</v>
      </c>
      <c r="M60">
        <v>1997</v>
      </c>
      <c r="N60">
        <v>1997</v>
      </c>
      <c r="O60" s="1">
        <v>45458</v>
      </c>
      <c r="P60" s="1">
        <v>45458</v>
      </c>
      <c r="Q60" t="s">
        <v>281</v>
      </c>
      <c r="R60" t="s">
        <v>370</v>
      </c>
      <c r="S60" t="s">
        <v>51</v>
      </c>
      <c r="T60" t="s">
        <v>371</v>
      </c>
      <c r="W60">
        <v>1</v>
      </c>
      <c r="X60">
        <v>0</v>
      </c>
      <c r="Y60" t="s">
        <v>38</v>
      </c>
    </row>
    <row r="61" spans="1:25" x14ac:dyDescent="0.35">
      <c r="A61">
        <v>43721059</v>
      </c>
      <c r="B61" t="s">
        <v>372</v>
      </c>
      <c r="C61" t="s">
        <v>373</v>
      </c>
      <c r="D61" t="s">
        <v>374</v>
      </c>
      <c r="F61" t="str">
        <f>"0062671200"</f>
        <v>0062671200</v>
      </c>
      <c r="G61" t="str">
        <f>"9780062671202"</f>
        <v>9780062671202</v>
      </c>
      <c r="H61">
        <v>3</v>
      </c>
      <c r="I61">
        <v>4.0999999999999996</v>
      </c>
      <c r="J61" t="s">
        <v>292</v>
      </c>
      <c r="K61" t="s">
        <v>375</v>
      </c>
      <c r="L61">
        <v>464</v>
      </c>
      <c r="M61">
        <v>2020</v>
      </c>
      <c r="N61">
        <v>2020</v>
      </c>
      <c r="O61" s="1">
        <v>45463</v>
      </c>
      <c r="P61" s="1">
        <v>45454</v>
      </c>
      <c r="Q61" t="s">
        <v>376</v>
      </c>
      <c r="R61" t="s">
        <v>377</v>
      </c>
      <c r="S61" t="s">
        <v>51</v>
      </c>
      <c r="T61" t="s">
        <v>378</v>
      </c>
      <c r="W61">
        <v>1</v>
      </c>
      <c r="X61">
        <v>0</v>
      </c>
      <c r="Y61" t="s">
        <v>38</v>
      </c>
    </row>
    <row r="62" spans="1:25" x14ac:dyDescent="0.35">
      <c r="A62">
        <v>57632516</v>
      </c>
      <c r="B62" t="s">
        <v>379</v>
      </c>
      <c r="C62" t="s">
        <v>380</v>
      </c>
      <c r="D62" t="s">
        <v>381</v>
      </c>
      <c r="F62" t="str">
        <f>"0825447135"</f>
        <v>0825447135</v>
      </c>
      <c r="G62" t="str">
        <f>"9780825447136"</f>
        <v>9780825447136</v>
      </c>
      <c r="H62">
        <v>4</v>
      </c>
      <c r="I62">
        <v>4.17</v>
      </c>
      <c r="J62" t="s">
        <v>382</v>
      </c>
      <c r="K62" t="s">
        <v>29</v>
      </c>
      <c r="L62">
        <v>312</v>
      </c>
      <c r="M62">
        <v>2021</v>
      </c>
      <c r="N62">
        <v>2021</v>
      </c>
      <c r="O62" s="1">
        <v>45474</v>
      </c>
      <c r="P62" s="1">
        <v>45320</v>
      </c>
      <c r="Q62" t="s">
        <v>383</v>
      </c>
      <c r="R62" t="s">
        <v>384</v>
      </c>
      <c r="S62" t="s">
        <v>51</v>
      </c>
      <c r="W62">
        <v>1</v>
      </c>
      <c r="X62">
        <v>0</v>
      </c>
      <c r="Y62" t="s">
        <v>38</v>
      </c>
    </row>
    <row r="63" spans="1:25" x14ac:dyDescent="0.35">
      <c r="A63">
        <v>56786084</v>
      </c>
      <c r="B63" t="s">
        <v>385</v>
      </c>
      <c r="C63" t="s">
        <v>386</v>
      </c>
      <c r="D63" t="s">
        <v>387</v>
      </c>
      <c r="F63" t="str">
        <f>"1984821539"</f>
        <v>1984821539</v>
      </c>
      <c r="G63" t="str">
        <f>"9781984821539"</f>
        <v>9781984821539</v>
      </c>
      <c r="H63">
        <v>3</v>
      </c>
      <c r="I63">
        <v>4.05</v>
      </c>
      <c r="J63" t="s">
        <v>388</v>
      </c>
      <c r="K63" t="s">
        <v>85</v>
      </c>
      <c r="L63">
        <v>256</v>
      </c>
      <c r="M63">
        <v>2021</v>
      </c>
      <c r="N63">
        <v>2021</v>
      </c>
      <c r="O63" s="1">
        <v>45490</v>
      </c>
      <c r="P63" s="1">
        <v>45490</v>
      </c>
      <c r="Q63" t="s">
        <v>389</v>
      </c>
      <c r="R63" t="s">
        <v>390</v>
      </c>
      <c r="S63" t="s">
        <v>51</v>
      </c>
      <c r="T63" t="s">
        <v>391</v>
      </c>
      <c r="W63">
        <v>1</v>
      </c>
      <c r="X63">
        <v>0</v>
      </c>
      <c r="Y63" t="s">
        <v>38</v>
      </c>
    </row>
    <row r="64" spans="1:25" x14ac:dyDescent="0.35">
      <c r="A64">
        <v>22749790</v>
      </c>
      <c r="B64" t="s">
        <v>392</v>
      </c>
      <c r="C64" t="s">
        <v>393</v>
      </c>
      <c r="D64" t="s">
        <v>394</v>
      </c>
      <c r="E64" t="s">
        <v>395</v>
      </c>
      <c r="F64" t="str">
        <f>"0544373170"</f>
        <v>0544373170</v>
      </c>
      <c r="G64" t="str">
        <f>"9780544373174"</f>
        <v>9780544373174</v>
      </c>
      <c r="H64">
        <v>5</v>
      </c>
      <c r="I64">
        <v>4.22</v>
      </c>
      <c r="J64" t="s">
        <v>396</v>
      </c>
      <c r="K64" t="s">
        <v>48</v>
      </c>
      <c r="L64">
        <v>288</v>
      </c>
      <c r="M64">
        <v>2015</v>
      </c>
      <c r="N64">
        <v>2015</v>
      </c>
      <c r="O64" s="1">
        <v>45493</v>
      </c>
      <c r="P64" s="1">
        <v>45406</v>
      </c>
      <c r="Q64" t="s">
        <v>397</v>
      </c>
      <c r="R64" t="s">
        <v>398</v>
      </c>
      <c r="S64" t="s">
        <v>51</v>
      </c>
      <c r="T64" t="s">
        <v>399</v>
      </c>
      <c r="W64">
        <v>3</v>
      </c>
      <c r="X64">
        <v>0</v>
      </c>
      <c r="Y64" t="s">
        <v>38</v>
      </c>
    </row>
    <row r="65" spans="1:25" x14ac:dyDescent="0.35">
      <c r="A65">
        <v>198096255</v>
      </c>
      <c r="B65" t="s">
        <v>400</v>
      </c>
      <c r="C65" t="s">
        <v>401</v>
      </c>
      <c r="D65" t="s">
        <v>402</v>
      </c>
      <c r="F65" t="str">
        <f>""</f>
        <v/>
      </c>
      <c r="G65" t="str">
        <f>""</f>
        <v/>
      </c>
      <c r="H65">
        <v>5</v>
      </c>
      <c r="I65">
        <v>4.22</v>
      </c>
      <c r="K65" t="s">
        <v>85</v>
      </c>
      <c r="L65">
        <v>208</v>
      </c>
      <c r="M65">
        <v>2023</v>
      </c>
      <c r="N65">
        <v>2023</v>
      </c>
      <c r="O65" s="1">
        <v>45495</v>
      </c>
      <c r="P65" s="1">
        <v>45406</v>
      </c>
      <c r="Q65" t="s">
        <v>403</v>
      </c>
      <c r="R65" t="s">
        <v>404</v>
      </c>
      <c r="S65" t="s">
        <v>51</v>
      </c>
      <c r="T65" t="s">
        <v>405</v>
      </c>
      <c r="W65">
        <v>1</v>
      </c>
      <c r="X65">
        <v>0</v>
      </c>
      <c r="Y65" t="s">
        <v>38</v>
      </c>
    </row>
    <row r="66" spans="1:25" x14ac:dyDescent="0.35">
      <c r="A66">
        <v>60915306</v>
      </c>
      <c r="B66" t="s">
        <v>406</v>
      </c>
      <c r="C66" t="s">
        <v>407</v>
      </c>
      <c r="D66" t="s">
        <v>408</v>
      </c>
      <c r="F66" t="str">
        <f>"1452389462"</f>
        <v>1452389462</v>
      </c>
      <c r="G66" t="str">
        <f>"9781452389462"</f>
        <v>9781452389462</v>
      </c>
      <c r="H66">
        <v>4</v>
      </c>
      <c r="I66">
        <v>3.95</v>
      </c>
      <c r="J66" t="s">
        <v>409</v>
      </c>
      <c r="K66" t="s">
        <v>375</v>
      </c>
      <c r="M66">
        <v>2022</v>
      </c>
      <c r="N66">
        <v>2009</v>
      </c>
      <c r="O66" s="1">
        <v>45516</v>
      </c>
      <c r="P66" s="1">
        <v>45515</v>
      </c>
      <c r="Q66" t="s">
        <v>410</v>
      </c>
      <c r="R66" t="s">
        <v>411</v>
      </c>
      <c r="S66" t="s">
        <v>51</v>
      </c>
      <c r="T66" t="s">
        <v>412</v>
      </c>
      <c r="W66">
        <v>1</v>
      </c>
      <c r="X66">
        <v>0</v>
      </c>
      <c r="Y66" t="s">
        <v>38</v>
      </c>
    </row>
    <row r="67" spans="1:25" x14ac:dyDescent="0.35">
      <c r="A67">
        <v>200499587</v>
      </c>
      <c r="B67" t="s">
        <v>413</v>
      </c>
      <c r="C67" t="s">
        <v>401</v>
      </c>
      <c r="D67" t="s">
        <v>402</v>
      </c>
      <c r="F67" t="str">
        <f>""</f>
        <v/>
      </c>
      <c r="G67" t="str">
        <f>""</f>
        <v/>
      </c>
      <c r="H67">
        <v>5</v>
      </c>
      <c r="I67">
        <v>4.3600000000000003</v>
      </c>
      <c r="K67" t="s">
        <v>85</v>
      </c>
      <c r="L67">
        <v>203</v>
      </c>
      <c r="M67">
        <v>2024</v>
      </c>
      <c r="N67">
        <v>2024</v>
      </c>
      <c r="O67" s="1">
        <v>45517</v>
      </c>
      <c r="P67" s="1">
        <v>45495</v>
      </c>
      <c r="Q67" t="s">
        <v>414</v>
      </c>
      <c r="R67" t="s">
        <v>415</v>
      </c>
      <c r="S67" t="s">
        <v>51</v>
      </c>
      <c r="W67">
        <v>1</v>
      </c>
      <c r="X67">
        <v>0</v>
      </c>
      <c r="Y67" t="s">
        <v>38</v>
      </c>
    </row>
    <row r="68" spans="1:25" x14ac:dyDescent="0.35">
      <c r="A68">
        <v>61140753</v>
      </c>
      <c r="B68" t="s">
        <v>416</v>
      </c>
      <c r="C68" t="s">
        <v>417</v>
      </c>
      <c r="D68" t="s">
        <v>418</v>
      </c>
      <c r="F68" t="str">
        <f>"076424020X"</f>
        <v>076424020X</v>
      </c>
      <c r="G68" t="str">
        <f>"9780764240201"</f>
        <v>9780764240201</v>
      </c>
      <c r="H68">
        <v>4</v>
      </c>
      <c r="I68">
        <v>4.18</v>
      </c>
      <c r="J68" t="s">
        <v>419</v>
      </c>
      <c r="K68" t="s">
        <v>29</v>
      </c>
      <c r="L68">
        <v>358</v>
      </c>
      <c r="M68">
        <v>2023</v>
      </c>
      <c r="N68">
        <v>2023</v>
      </c>
      <c r="O68" s="1">
        <v>45519</v>
      </c>
      <c r="P68" s="1">
        <v>45519</v>
      </c>
      <c r="Q68" t="s">
        <v>420</v>
      </c>
      <c r="R68" t="s">
        <v>421</v>
      </c>
      <c r="S68" t="s">
        <v>51</v>
      </c>
      <c r="T68" t="s">
        <v>422</v>
      </c>
      <c r="W68">
        <v>1</v>
      </c>
      <c r="X68">
        <v>0</v>
      </c>
      <c r="Y68" t="s">
        <v>38</v>
      </c>
    </row>
    <row r="69" spans="1:25" x14ac:dyDescent="0.35">
      <c r="A69">
        <v>561909</v>
      </c>
      <c r="B69" t="s">
        <v>423</v>
      </c>
      <c r="C69" t="s">
        <v>424</v>
      </c>
      <c r="D69" t="s">
        <v>425</v>
      </c>
      <c r="E69" t="s">
        <v>426</v>
      </c>
      <c r="F69" t="str">
        <f>"0553256696"</f>
        <v>0553256696</v>
      </c>
      <c r="G69" t="str">
        <f>"9780553256697"</f>
        <v>9780553256697</v>
      </c>
      <c r="H69">
        <v>5</v>
      </c>
      <c r="I69">
        <v>4.47</v>
      </c>
      <c r="J69" t="s">
        <v>427</v>
      </c>
      <c r="K69" t="s">
        <v>228</v>
      </c>
      <c r="L69">
        <v>242</v>
      </c>
      <c r="M69">
        <v>1974</v>
      </c>
      <c r="N69">
        <v>1971</v>
      </c>
      <c r="O69" s="1">
        <v>45531</v>
      </c>
      <c r="P69" s="1">
        <v>45531</v>
      </c>
      <c r="Q69" t="s">
        <v>221</v>
      </c>
      <c r="R69" t="s">
        <v>428</v>
      </c>
      <c r="S69" t="s">
        <v>51</v>
      </c>
      <c r="W69">
        <v>1</v>
      </c>
      <c r="X69">
        <v>0</v>
      </c>
      <c r="Y69" t="s">
        <v>138</v>
      </c>
    </row>
    <row r="70" spans="1:25" x14ac:dyDescent="0.35">
      <c r="A70">
        <v>6164358</v>
      </c>
      <c r="B70" t="s">
        <v>429</v>
      </c>
      <c r="C70" t="s">
        <v>285</v>
      </c>
      <c r="D70" t="s">
        <v>286</v>
      </c>
      <c r="E70" t="s">
        <v>430</v>
      </c>
      <c r="F70" t="str">
        <f>"0307582396"</f>
        <v>0307582396</v>
      </c>
      <c r="G70" t="str">
        <f>"9780307582393"</f>
        <v>9780307582393</v>
      </c>
      <c r="H70">
        <v>4</v>
      </c>
      <c r="I70">
        <v>4.29</v>
      </c>
      <c r="J70" t="s">
        <v>185</v>
      </c>
      <c r="K70" t="s">
        <v>29</v>
      </c>
      <c r="L70">
        <v>400</v>
      </c>
      <c r="M70">
        <v>2009</v>
      </c>
      <c r="N70">
        <v>2009</v>
      </c>
      <c r="O70" s="1">
        <v>45538</v>
      </c>
      <c r="P70" s="1">
        <v>45532</v>
      </c>
      <c r="Q70" t="s">
        <v>287</v>
      </c>
      <c r="R70" t="s">
        <v>431</v>
      </c>
      <c r="S70" t="s">
        <v>51</v>
      </c>
      <c r="W70">
        <v>1</v>
      </c>
      <c r="X70">
        <v>0</v>
      </c>
      <c r="Y70" t="s">
        <v>38</v>
      </c>
    </row>
    <row r="71" spans="1:25" x14ac:dyDescent="0.35">
      <c r="A71">
        <v>28389305</v>
      </c>
      <c r="B71" t="s">
        <v>432</v>
      </c>
      <c r="C71" t="s">
        <v>433</v>
      </c>
      <c r="D71" t="s">
        <v>434</v>
      </c>
      <c r="F71" t="str">
        <f>"1492637254"</f>
        <v>1492637254</v>
      </c>
      <c r="G71" t="str">
        <f>"9781492637257"</f>
        <v>9781492637257</v>
      </c>
      <c r="H71">
        <v>4</v>
      </c>
      <c r="I71">
        <v>3.86</v>
      </c>
      <c r="J71" t="s">
        <v>435</v>
      </c>
      <c r="K71" t="s">
        <v>48</v>
      </c>
      <c r="L71">
        <v>304</v>
      </c>
      <c r="M71">
        <v>2016</v>
      </c>
      <c r="N71">
        <v>2016</v>
      </c>
      <c r="O71" s="1">
        <v>45540</v>
      </c>
      <c r="P71" s="1">
        <v>45540</v>
      </c>
      <c r="Q71" t="s">
        <v>221</v>
      </c>
      <c r="R71" t="s">
        <v>436</v>
      </c>
      <c r="S71" t="s">
        <v>51</v>
      </c>
      <c r="T71" t="s">
        <v>437</v>
      </c>
      <c r="W71">
        <v>1</v>
      </c>
      <c r="X71">
        <v>0</v>
      </c>
      <c r="Y71" t="s">
        <v>38</v>
      </c>
    </row>
    <row r="72" spans="1:25" x14ac:dyDescent="0.35">
      <c r="A72">
        <v>52041374</v>
      </c>
      <c r="B72" t="s">
        <v>438</v>
      </c>
      <c r="C72" t="s">
        <v>439</v>
      </c>
      <c r="D72" t="s">
        <v>440</v>
      </c>
      <c r="F72" t="str">
        <f>"1538736136"</f>
        <v>1538736136</v>
      </c>
      <c r="G72" t="str">
        <f>"9781538736135"</f>
        <v>9781538736135</v>
      </c>
      <c r="H72">
        <v>4</v>
      </c>
      <c r="I72">
        <v>3.44</v>
      </c>
      <c r="J72" t="s">
        <v>441</v>
      </c>
      <c r="K72" t="s">
        <v>29</v>
      </c>
      <c r="L72">
        <v>352</v>
      </c>
      <c r="M72">
        <v>2020</v>
      </c>
      <c r="N72">
        <v>2020</v>
      </c>
      <c r="O72" s="1">
        <v>45547</v>
      </c>
      <c r="P72" s="1">
        <v>45547</v>
      </c>
      <c r="Q72" t="s">
        <v>442</v>
      </c>
      <c r="R72" t="s">
        <v>443</v>
      </c>
      <c r="S72" t="s">
        <v>51</v>
      </c>
      <c r="W72">
        <v>1</v>
      </c>
      <c r="X72">
        <v>0</v>
      </c>
      <c r="Y72" t="s">
        <v>444</v>
      </c>
    </row>
    <row r="73" spans="1:25" x14ac:dyDescent="0.35">
      <c r="A73">
        <v>36186930</v>
      </c>
      <c r="B73" t="s">
        <v>445</v>
      </c>
      <c r="C73" t="s">
        <v>446</v>
      </c>
      <c r="D73" t="s">
        <v>447</v>
      </c>
      <c r="F73" t="str">
        <f>"0648080110"</f>
        <v>0648080110</v>
      </c>
      <c r="G73" t="str">
        <f>"9780648080114"</f>
        <v>9780648080114</v>
      </c>
      <c r="H73">
        <v>3</v>
      </c>
      <c r="I73">
        <v>4.21</v>
      </c>
      <c r="J73" t="s">
        <v>448</v>
      </c>
      <c r="K73" t="s">
        <v>85</v>
      </c>
      <c r="L73">
        <v>346</v>
      </c>
      <c r="M73">
        <v>2017</v>
      </c>
      <c r="N73">
        <v>2017</v>
      </c>
      <c r="O73" s="1">
        <v>45546</v>
      </c>
      <c r="P73" s="1">
        <v>45543</v>
      </c>
      <c r="Q73" t="s">
        <v>449</v>
      </c>
      <c r="R73" t="s">
        <v>450</v>
      </c>
      <c r="S73" t="s">
        <v>51</v>
      </c>
      <c r="W73">
        <v>1</v>
      </c>
      <c r="X73">
        <v>0</v>
      </c>
      <c r="Y73" t="s">
        <v>38</v>
      </c>
    </row>
    <row r="74" spans="1:25" x14ac:dyDescent="0.35">
      <c r="A74">
        <v>50398</v>
      </c>
      <c r="B74" t="s">
        <v>451</v>
      </c>
      <c r="C74" t="s">
        <v>452</v>
      </c>
      <c r="D74" t="s">
        <v>453</v>
      </c>
      <c r="E74" t="s">
        <v>454</v>
      </c>
      <c r="F74" t="str">
        <f>"1593082649"</f>
        <v>1593082649</v>
      </c>
      <c r="G74" t="str">
        <f>"9781593082642"</f>
        <v>9781593082642</v>
      </c>
      <c r="H74">
        <v>5</v>
      </c>
      <c r="I74">
        <v>3.85</v>
      </c>
      <c r="J74" t="s">
        <v>455</v>
      </c>
      <c r="K74" t="s">
        <v>29</v>
      </c>
      <c r="L74">
        <v>260</v>
      </c>
      <c r="M74">
        <v>2005</v>
      </c>
      <c r="N74">
        <v>1817</v>
      </c>
      <c r="O74" s="1">
        <v>45548</v>
      </c>
      <c r="P74" s="1">
        <v>45547</v>
      </c>
      <c r="Q74" t="s">
        <v>456</v>
      </c>
      <c r="R74" t="s">
        <v>457</v>
      </c>
      <c r="S74" t="s">
        <v>51</v>
      </c>
      <c r="W74">
        <v>1</v>
      </c>
      <c r="X74">
        <v>0</v>
      </c>
      <c r="Y74" t="s">
        <v>38</v>
      </c>
    </row>
    <row r="75" spans="1:25" x14ac:dyDescent="0.35">
      <c r="A75">
        <v>57840571</v>
      </c>
      <c r="B75" t="s">
        <v>458</v>
      </c>
      <c r="C75" t="s">
        <v>459</v>
      </c>
      <c r="D75" t="s">
        <v>460</v>
      </c>
      <c r="F75" t="str">
        <f>""</f>
        <v/>
      </c>
      <c r="G75" t="str">
        <f>""</f>
        <v/>
      </c>
      <c r="H75">
        <v>4</v>
      </c>
      <c r="I75">
        <v>3.84</v>
      </c>
      <c r="J75" t="s">
        <v>350</v>
      </c>
      <c r="K75" t="s">
        <v>48</v>
      </c>
      <c r="L75">
        <v>352</v>
      </c>
      <c r="M75">
        <v>2022</v>
      </c>
      <c r="N75">
        <v>2022</v>
      </c>
      <c r="O75" s="1">
        <v>45551</v>
      </c>
      <c r="P75" s="1">
        <v>45485</v>
      </c>
      <c r="Q75" t="s">
        <v>221</v>
      </c>
      <c r="R75" t="s">
        <v>461</v>
      </c>
      <c r="S75" t="s">
        <v>51</v>
      </c>
      <c r="W75">
        <v>1</v>
      </c>
      <c r="X75">
        <v>0</v>
      </c>
      <c r="Y75" t="s">
        <v>38</v>
      </c>
    </row>
    <row r="76" spans="1:25" x14ac:dyDescent="0.35">
      <c r="A76">
        <v>29540876</v>
      </c>
      <c r="B76" t="s">
        <v>462</v>
      </c>
      <c r="C76" t="s">
        <v>463</v>
      </c>
      <c r="D76" t="s">
        <v>464</v>
      </c>
      <c r="E76" t="s">
        <v>465</v>
      </c>
      <c r="F76" t="str">
        <f>"1250123895"</f>
        <v>1250123895</v>
      </c>
      <c r="G76" t="str">
        <f>"9781250123893"</f>
        <v>9781250123893</v>
      </c>
      <c r="H76">
        <v>4</v>
      </c>
      <c r="I76">
        <v>3.94</v>
      </c>
      <c r="J76" t="s">
        <v>150</v>
      </c>
      <c r="K76" t="s">
        <v>85</v>
      </c>
      <c r="L76">
        <v>384</v>
      </c>
      <c r="M76">
        <v>2018</v>
      </c>
      <c r="N76">
        <v>2018</v>
      </c>
      <c r="O76" s="1">
        <v>45687</v>
      </c>
      <c r="P76" s="1">
        <v>45684</v>
      </c>
      <c r="Q76" t="s">
        <v>466</v>
      </c>
      <c r="R76" t="s">
        <v>467</v>
      </c>
      <c r="S76" t="s">
        <v>51</v>
      </c>
      <c r="T76" t="s">
        <v>468</v>
      </c>
      <c r="W76">
        <v>1</v>
      </c>
      <c r="X76">
        <v>0</v>
      </c>
      <c r="Y76" t="s">
        <v>38</v>
      </c>
    </row>
    <row r="77" spans="1:25" x14ac:dyDescent="0.35">
      <c r="A77">
        <v>205181098</v>
      </c>
      <c r="B77" t="s">
        <v>469</v>
      </c>
      <c r="C77" t="s">
        <v>470</v>
      </c>
      <c r="D77" t="s">
        <v>471</v>
      </c>
      <c r="F77" t="str">
        <f>"0593482581"</f>
        <v>0593482581</v>
      </c>
      <c r="G77" t="str">
        <f>"9780593482582"</f>
        <v>9780593482582</v>
      </c>
      <c r="H77">
        <v>0</v>
      </c>
      <c r="I77">
        <v>4.1100000000000003</v>
      </c>
      <c r="J77" t="s">
        <v>472</v>
      </c>
      <c r="K77" t="s">
        <v>48</v>
      </c>
      <c r="L77">
        <v>512</v>
      </c>
      <c r="M77">
        <v>2024</v>
      </c>
      <c r="N77">
        <v>2024</v>
      </c>
      <c r="P77" s="1">
        <v>45691</v>
      </c>
      <c r="Q77" t="s">
        <v>30</v>
      </c>
      <c r="R77" t="s">
        <v>473</v>
      </c>
      <c r="S77" t="s">
        <v>30</v>
      </c>
      <c r="W77">
        <v>0</v>
      </c>
      <c r="X77">
        <v>0</v>
      </c>
      <c r="Y77" t="s">
        <v>38</v>
      </c>
    </row>
    <row r="78" spans="1:25" x14ac:dyDescent="0.35">
      <c r="A78">
        <v>201129898</v>
      </c>
      <c r="B78" t="s">
        <v>474</v>
      </c>
      <c r="C78" t="s">
        <v>475</v>
      </c>
      <c r="D78" t="s">
        <v>476</v>
      </c>
      <c r="F78" t="str">
        <f>"0593815726"</f>
        <v>0593815726</v>
      </c>
      <c r="G78" t="str">
        <f>"9780593815724"</f>
        <v>9780593815724</v>
      </c>
      <c r="H78">
        <v>0</v>
      </c>
      <c r="I78">
        <v>3.8</v>
      </c>
      <c r="J78" t="s">
        <v>477</v>
      </c>
      <c r="K78" t="s">
        <v>48</v>
      </c>
      <c r="L78">
        <v>432</v>
      </c>
      <c r="M78">
        <v>2024</v>
      </c>
      <c r="N78">
        <v>2024</v>
      </c>
      <c r="P78" s="1">
        <v>45691</v>
      </c>
      <c r="Q78" t="s">
        <v>30</v>
      </c>
      <c r="R78" t="s">
        <v>478</v>
      </c>
      <c r="S78" t="s">
        <v>30</v>
      </c>
      <c r="W78">
        <v>0</v>
      </c>
      <c r="X78">
        <v>0</v>
      </c>
      <c r="Y78" t="s">
        <v>38</v>
      </c>
    </row>
    <row r="79" spans="1:25" x14ac:dyDescent="0.35">
      <c r="A79">
        <v>36645440</v>
      </c>
      <c r="B79" t="s">
        <v>479</v>
      </c>
      <c r="C79" t="s">
        <v>480</v>
      </c>
      <c r="D79" t="s">
        <v>481</v>
      </c>
      <c r="F79" t="str">
        <f>""</f>
        <v/>
      </c>
      <c r="G79" t="str">
        <f>""</f>
        <v/>
      </c>
      <c r="H79">
        <v>0</v>
      </c>
      <c r="I79">
        <v>4.0999999999999996</v>
      </c>
      <c r="J79" t="s">
        <v>482</v>
      </c>
      <c r="K79" t="s">
        <v>29</v>
      </c>
      <c r="L79">
        <v>392</v>
      </c>
      <c r="M79">
        <v>2017</v>
      </c>
      <c r="N79">
        <v>1972</v>
      </c>
      <c r="P79" s="1">
        <v>45691</v>
      </c>
      <c r="Q79" t="s">
        <v>30</v>
      </c>
      <c r="R79" t="s">
        <v>483</v>
      </c>
      <c r="S79" t="s">
        <v>30</v>
      </c>
      <c r="W79">
        <v>0</v>
      </c>
      <c r="X79">
        <v>0</v>
      </c>
      <c r="Y79" t="s">
        <v>38</v>
      </c>
    </row>
    <row r="80" spans="1:25" x14ac:dyDescent="0.35">
      <c r="A80">
        <v>53457092</v>
      </c>
      <c r="B80" t="s">
        <v>484</v>
      </c>
      <c r="C80" t="s">
        <v>485</v>
      </c>
      <c r="D80" t="s">
        <v>486</v>
      </c>
      <c r="F80" t="str">
        <f>"0593300939"</f>
        <v>0593300939</v>
      </c>
      <c r="G80" t="str">
        <f>"9780593300930"</f>
        <v>9780593300930</v>
      </c>
      <c r="H80">
        <v>0</v>
      </c>
      <c r="I80">
        <v>4.1900000000000004</v>
      </c>
      <c r="J80" t="s">
        <v>487</v>
      </c>
      <c r="K80" t="s">
        <v>375</v>
      </c>
      <c r="L80">
        <v>454</v>
      </c>
      <c r="M80">
        <v>2021</v>
      </c>
      <c r="N80">
        <v>2021</v>
      </c>
      <c r="P80" s="1">
        <v>45691</v>
      </c>
      <c r="Q80" t="s">
        <v>30</v>
      </c>
      <c r="R80" t="s">
        <v>488</v>
      </c>
      <c r="S80" t="s">
        <v>30</v>
      </c>
      <c r="W80">
        <v>0</v>
      </c>
      <c r="X80">
        <v>0</v>
      </c>
      <c r="Y80" t="s">
        <v>38</v>
      </c>
    </row>
    <row r="81" spans="1:25" x14ac:dyDescent="0.35">
      <c r="A81">
        <v>204623723</v>
      </c>
      <c r="B81" t="s">
        <v>489</v>
      </c>
      <c r="C81" t="s">
        <v>490</v>
      </c>
      <c r="D81" t="s">
        <v>491</v>
      </c>
      <c r="F81" t="str">
        <f>""</f>
        <v/>
      </c>
      <c r="G81" t="str">
        <f>""</f>
        <v/>
      </c>
      <c r="H81">
        <v>0</v>
      </c>
      <c r="I81">
        <v>4.34</v>
      </c>
      <c r="K81" t="s">
        <v>85</v>
      </c>
      <c r="L81">
        <v>248</v>
      </c>
      <c r="M81">
        <v>2024</v>
      </c>
      <c r="P81" s="1">
        <v>45691</v>
      </c>
      <c r="Q81" t="s">
        <v>30</v>
      </c>
      <c r="R81" t="s">
        <v>492</v>
      </c>
      <c r="S81" t="s">
        <v>30</v>
      </c>
      <c r="W81">
        <v>0</v>
      </c>
      <c r="X81">
        <v>0</v>
      </c>
      <c r="Y81" t="s">
        <v>38</v>
      </c>
    </row>
    <row r="82" spans="1:25" x14ac:dyDescent="0.35">
      <c r="A82">
        <v>43822062</v>
      </c>
      <c r="B82" t="s">
        <v>493</v>
      </c>
      <c r="C82" t="s">
        <v>494</v>
      </c>
      <c r="D82" t="s">
        <v>495</v>
      </c>
      <c r="F82" t="str">
        <f>"1501137573"</f>
        <v>1501137573</v>
      </c>
      <c r="G82" t="str">
        <f>"9781501137570"</f>
        <v>9781501137570</v>
      </c>
      <c r="H82">
        <v>0</v>
      </c>
      <c r="I82">
        <v>4.18</v>
      </c>
      <c r="J82" t="s">
        <v>496</v>
      </c>
      <c r="K82" t="s">
        <v>48</v>
      </c>
      <c r="L82">
        <v>372</v>
      </c>
      <c r="M82">
        <v>2019</v>
      </c>
      <c r="N82">
        <v>2019</v>
      </c>
      <c r="P82" s="1">
        <v>45690</v>
      </c>
      <c r="Q82" t="s">
        <v>30</v>
      </c>
      <c r="R82" t="s">
        <v>497</v>
      </c>
      <c r="S82" t="s">
        <v>30</v>
      </c>
      <c r="W82">
        <v>0</v>
      </c>
      <c r="X82">
        <v>0</v>
      </c>
      <c r="Y82" t="s">
        <v>38</v>
      </c>
    </row>
    <row r="83" spans="1:25" x14ac:dyDescent="0.35">
      <c r="A83">
        <v>53402104</v>
      </c>
      <c r="B83" t="s">
        <v>498</v>
      </c>
      <c r="C83" t="s">
        <v>499</v>
      </c>
      <c r="D83" t="s">
        <v>500</v>
      </c>
      <c r="E83" t="s">
        <v>501</v>
      </c>
      <c r="F83" t="str">
        <f>"0062869949"</f>
        <v>0062869949</v>
      </c>
      <c r="G83" t="str">
        <f>"9780062869944"</f>
        <v>9780062869944</v>
      </c>
      <c r="H83">
        <v>0</v>
      </c>
      <c r="I83">
        <v>4.2</v>
      </c>
      <c r="J83" t="s">
        <v>502</v>
      </c>
      <c r="K83" t="s">
        <v>48</v>
      </c>
      <c r="L83">
        <v>320</v>
      </c>
      <c r="M83">
        <v>2021</v>
      </c>
      <c r="N83">
        <v>2021</v>
      </c>
      <c r="P83" s="1">
        <v>45690</v>
      </c>
      <c r="Q83" t="s">
        <v>30</v>
      </c>
      <c r="R83" t="s">
        <v>503</v>
      </c>
      <c r="S83" t="s">
        <v>30</v>
      </c>
      <c r="W83">
        <v>0</v>
      </c>
      <c r="X83">
        <v>0</v>
      </c>
      <c r="Y83" t="s">
        <v>504</v>
      </c>
    </row>
    <row r="84" spans="1:25" x14ac:dyDescent="0.35">
      <c r="A84">
        <v>33295675</v>
      </c>
      <c r="B84" t="s">
        <v>505</v>
      </c>
      <c r="C84" t="s">
        <v>506</v>
      </c>
      <c r="D84" t="s">
        <v>507</v>
      </c>
      <c r="F84" t="str">
        <f>"0062642057"</f>
        <v>0062642057</v>
      </c>
      <c r="G84" t="str">
        <f>"9780062642059"</f>
        <v>9780062642059</v>
      </c>
      <c r="H84">
        <v>0</v>
      </c>
      <c r="I84">
        <v>4.21</v>
      </c>
      <c r="J84" t="s">
        <v>292</v>
      </c>
      <c r="K84" t="s">
        <v>85</v>
      </c>
      <c r="L84">
        <v>352</v>
      </c>
      <c r="M84">
        <v>2017</v>
      </c>
      <c r="N84">
        <v>2016</v>
      </c>
      <c r="P84" s="1">
        <v>45690</v>
      </c>
      <c r="Q84" t="s">
        <v>30</v>
      </c>
      <c r="R84" t="s">
        <v>508</v>
      </c>
      <c r="S84" t="s">
        <v>30</v>
      </c>
      <c r="W84">
        <v>0</v>
      </c>
      <c r="X84">
        <v>0</v>
      </c>
      <c r="Y84" t="s">
        <v>38</v>
      </c>
    </row>
    <row r="85" spans="1:25" x14ac:dyDescent="0.35">
      <c r="A85">
        <v>843808</v>
      </c>
      <c r="B85" t="s">
        <v>509</v>
      </c>
      <c r="C85" t="s">
        <v>510</v>
      </c>
      <c r="D85" t="s">
        <v>511</v>
      </c>
      <c r="E85" t="s">
        <v>512</v>
      </c>
      <c r="F85" t="str">
        <f>"0688166768"</f>
        <v>0688166768</v>
      </c>
      <c r="G85" t="str">
        <f>"9780688166762"</f>
        <v>9780688166762</v>
      </c>
      <c r="H85">
        <v>0</v>
      </c>
      <c r="I85">
        <v>3.87</v>
      </c>
      <c r="J85" t="s">
        <v>292</v>
      </c>
      <c r="L85">
        <v>208</v>
      </c>
      <c r="M85">
        <v>1999</v>
      </c>
      <c r="N85">
        <v>1984</v>
      </c>
      <c r="P85" s="1">
        <v>45690</v>
      </c>
      <c r="Q85" t="s">
        <v>30</v>
      </c>
      <c r="R85" t="s">
        <v>513</v>
      </c>
      <c r="S85" t="s">
        <v>30</v>
      </c>
      <c r="W85">
        <v>0</v>
      </c>
      <c r="X85">
        <v>0</v>
      </c>
      <c r="Y85" t="s">
        <v>32</v>
      </c>
    </row>
    <row r="86" spans="1:25" x14ac:dyDescent="0.35">
      <c r="A86">
        <v>7879278</v>
      </c>
      <c r="B86" t="s">
        <v>514</v>
      </c>
      <c r="C86" t="s">
        <v>515</v>
      </c>
      <c r="D86" t="s">
        <v>516</v>
      </c>
      <c r="F86" t="str">
        <f>"1434764338"</f>
        <v>1434764338</v>
      </c>
      <c r="G86" t="str">
        <f>"9781434764331"</f>
        <v>9781434764331</v>
      </c>
      <c r="H86">
        <v>0</v>
      </c>
      <c r="I86">
        <v>4.0199999999999996</v>
      </c>
      <c r="J86" t="s">
        <v>517</v>
      </c>
      <c r="K86" t="s">
        <v>29</v>
      </c>
      <c r="L86">
        <v>369</v>
      </c>
      <c r="M86">
        <v>2011</v>
      </c>
      <c r="N86">
        <v>2011</v>
      </c>
      <c r="P86" s="1">
        <v>45690</v>
      </c>
      <c r="Q86" t="s">
        <v>30</v>
      </c>
      <c r="R86" t="s">
        <v>518</v>
      </c>
      <c r="S86" t="s">
        <v>30</v>
      </c>
      <c r="W86">
        <v>0</v>
      </c>
      <c r="X86">
        <v>0</v>
      </c>
      <c r="Y86" t="s">
        <v>38</v>
      </c>
    </row>
    <row r="87" spans="1:25" x14ac:dyDescent="0.35">
      <c r="A87">
        <v>55643294</v>
      </c>
      <c r="B87" t="s">
        <v>519</v>
      </c>
      <c r="C87" t="s">
        <v>520</v>
      </c>
      <c r="D87" t="s">
        <v>521</v>
      </c>
      <c r="F87" t="str">
        <f>"0316592994"</f>
        <v>0316592994</v>
      </c>
      <c r="G87" t="str">
        <f>"9780316592994"</f>
        <v>9780316592994</v>
      </c>
      <c r="H87">
        <v>0</v>
      </c>
      <c r="I87">
        <v>3.33</v>
      </c>
      <c r="J87" t="s">
        <v>522</v>
      </c>
      <c r="K87" t="s">
        <v>48</v>
      </c>
      <c r="L87">
        <v>320</v>
      </c>
      <c r="M87">
        <v>2021</v>
      </c>
      <c r="N87">
        <v>2021</v>
      </c>
      <c r="P87" s="1">
        <v>45690</v>
      </c>
      <c r="Q87" t="s">
        <v>30</v>
      </c>
      <c r="R87" t="s">
        <v>523</v>
      </c>
      <c r="S87" t="s">
        <v>30</v>
      </c>
      <c r="W87">
        <v>0</v>
      </c>
      <c r="X87">
        <v>0</v>
      </c>
      <c r="Y87" t="s">
        <v>38</v>
      </c>
    </row>
    <row r="88" spans="1:25" x14ac:dyDescent="0.35">
      <c r="A88">
        <v>56973115</v>
      </c>
      <c r="B88" t="s">
        <v>524</v>
      </c>
      <c r="C88" t="s">
        <v>525</v>
      </c>
      <c r="D88" t="s">
        <v>526</v>
      </c>
      <c r="F88" t="str">
        <f>"0764238000"</f>
        <v>0764238000</v>
      </c>
      <c r="G88" t="str">
        <f>"9780764238000"</f>
        <v>9780764238000</v>
      </c>
      <c r="H88">
        <v>0</v>
      </c>
      <c r="I88">
        <v>4.3099999999999996</v>
      </c>
      <c r="J88" t="s">
        <v>36</v>
      </c>
      <c r="K88" t="s">
        <v>29</v>
      </c>
      <c r="L88">
        <v>332</v>
      </c>
      <c r="M88">
        <v>2021</v>
      </c>
      <c r="N88">
        <v>2021</v>
      </c>
      <c r="P88" s="1">
        <v>45690</v>
      </c>
      <c r="Q88" t="s">
        <v>30</v>
      </c>
      <c r="R88" t="s">
        <v>527</v>
      </c>
      <c r="S88" t="s">
        <v>30</v>
      </c>
      <c r="W88">
        <v>0</v>
      </c>
      <c r="X88">
        <v>0</v>
      </c>
      <c r="Y88" t="s">
        <v>38</v>
      </c>
    </row>
    <row r="89" spans="1:25" x14ac:dyDescent="0.35">
      <c r="A89">
        <v>46117247</v>
      </c>
      <c r="B89" t="s">
        <v>528</v>
      </c>
      <c r="C89" t="s">
        <v>529</v>
      </c>
      <c r="D89" t="s">
        <v>530</v>
      </c>
      <c r="F89" t="str">
        <f>"1496720393"</f>
        <v>1496720393</v>
      </c>
      <c r="G89" t="str">
        <f>"9781496720399"</f>
        <v>9781496720399</v>
      </c>
      <c r="H89">
        <v>0</v>
      </c>
      <c r="I89">
        <v>4.0999999999999996</v>
      </c>
      <c r="J89" t="s">
        <v>531</v>
      </c>
      <c r="K89" t="s">
        <v>29</v>
      </c>
      <c r="L89">
        <v>304</v>
      </c>
      <c r="M89">
        <v>2020</v>
      </c>
      <c r="N89">
        <v>2020</v>
      </c>
      <c r="P89" s="1">
        <v>45690</v>
      </c>
      <c r="Q89" t="s">
        <v>30</v>
      </c>
      <c r="R89" t="s">
        <v>532</v>
      </c>
      <c r="S89" t="s">
        <v>30</v>
      </c>
      <c r="W89">
        <v>0</v>
      </c>
      <c r="X89">
        <v>0</v>
      </c>
      <c r="Y89" t="s">
        <v>38</v>
      </c>
    </row>
    <row r="90" spans="1:25" x14ac:dyDescent="0.35">
      <c r="A90">
        <v>59047865</v>
      </c>
      <c r="B90" t="s">
        <v>533</v>
      </c>
      <c r="C90" t="s">
        <v>534</v>
      </c>
      <c r="D90" t="s">
        <v>535</v>
      </c>
      <c r="F90" t="str">
        <f>""</f>
        <v/>
      </c>
      <c r="G90" t="str">
        <f>""</f>
        <v/>
      </c>
      <c r="H90">
        <v>0</v>
      </c>
      <c r="I90">
        <v>3.99</v>
      </c>
      <c r="J90" t="s">
        <v>536</v>
      </c>
      <c r="K90" t="s">
        <v>85</v>
      </c>
      <c r="L90">
        <v>436</v>
      </c>
      <c r="M90">
        <v>2022</v>
      </c>
      <c r="N90">
        <v>2022</v>
      </c>
      <c r="P90" s="1">
        <v>45690</v>
      </c>
      <c r="Q90" t="s">
        <v>30</v>
      </c>
      <c r="R90" t="s">
        <v>537</v>
      </c>
      <c r="S90" t="s">
        <v>30</v>
      </c>
      <c r="W90">
        <v>0</v>
      </c>
      <c r="X90">
        <v>0</v>
      </c>
      <c r="Y90" t="s">
        <v>38</v>
      </c>
    </row>
    <row r="91" spans="1:25" x14ac:dyDescent="0.35">
      <c r="A91">
        <v>870260</v>
      </c>
      <c r="B91" t="s">
        <v>538</v>
      </c>
      <c r="C91" t="s">
        <v>60</v>
      </c>
      <c r="D91" t="s">
        <v>61</v>
      </c>
      <c r="E91" t="s">
        <v>539</v>
      </c>
      <c r="F91" t="str">
        <f>"0689879105"</f>
        <v>0689879105</v>
      </c>
      <c r="G91" t="str">
        <f>"9780689879104"</f>
        <v>9780689879104</v>
      </c>
      <c r="H91">
        <v>0</v>
      </c>
      <c r="I91">
        <v>3.92</v>
      </c>
      <c r="J91" t="s">
        <v>540</v>
      </c>
      <c r="K91" t="s">
        <v>29</v>
      </c>
      <c r="L91">
        <v>106</v>
      </c>
      <c r="M91">
        <v>2006</v>
      </c>
      <c r="N91">
        <v>1994</v>
      </c>
      <c r="P91" s="1">
        <v>45690</v>
      </c>
      <c r="Q91" t="s">
        <v>30</v>
      </c>
      <c r="R91" t="s">
        <v>541</v>
      </c>
      <c r="S91" t="s">
        <v>30</v>
      </c>
      <c r="W91">
        <v>0</v>
      </c>
      <c r="X91">
        <v>0</v>
      </c>
      <c r="Y91" t="s">
        <v>542</v>
      </c>
    </row>
    <row r="92" spans="1:25" x14ac:dyDescent="0.35">
      <c r="A92">
        <v>22546133</v>
      </c>
      <c r="B92" t="s">
        <v>543</v>
      </c>
      <c r="C92" t="s">
        <v>60</v>
      </c>
      <c r="D92" t="s">
        <v>61</v>
      </c>
      <c r="E92" t="s">
        <v>544</v>
      </c>
      <c r="F92" t="str">
        <f>"1442494972"</f>
        <v>1442494972</v>
      </c>
      <c r="G92" t="str">
        <f>"9781442494978"</f>
        <v>9781442494978</v>
      </c>
      <c r="H92">
        <v>0</v>
      </c>
      <c r="I92">
        <v>4.0999999999999996</v>
      </c>
      <c r="J92" t="s">
        <v>545</v>
      </c>
      <c r="K92" t="s">
        <v>48</v>
      </c>
      <c r="L92">
        <v>320</v>
      </c>
      <c r="M92">
        <v>2015</v>
      </c>
      <c r="N92">
        <v>2015</v>
      </c>
      <c r="P92" s="1">
        <v>45690</v>
      </c>
      <c r="Q92" t="s">
        <v>30</v>
      </c>
      <c r="R92" t="s">
        <v>546</v>
      </c>
      <c r="S92" t="s">
        <v>30</v>
      </c>
      <c r="W92">
        <v>0</v>
      </c>
      <c r="X92">
        <v>0</v>
      </c>
      <c r="Y92" t="s">
        <v>38</v>
      </c>
    </row>
    <row r="93" spans="1:25" x14ac:dyDescent="0.35">
      <c r="A93">
        <v>34020199</v>
      </c>
      <c r="B93" t="s">
        <v>547</v>
      </c>
      <c r="C93" t="s">
        <v>548</v>
      </c>
      <c r="D93" t="s">
        <v>549</v>
      </c>
      <c r="F93" t="str">
        <f>"076423028X"</f>
        <v>076423028X</v>
      </c>
      <c r="G93" t="str">
        <f>"9780764230288"</f>
        <v>9780764230288</v>
      </c>
      <c r="H93">
        <v>5</v>
      </c>
      <c r="I93">
        <v>3.93</v>
      </c>
      <c r="J93" t="s">
        <v>36</v>
      </c>
      <c r="K93" t="s">
        <v>29</v>
      </c>
      <c r="L93">
        <v>364</v>
      </c>
      <c r="M93">
        <v>2017</v>
      </c>
      <c r="N93">
        <v>2017</v>
      </c>
      <c r="O93" s="1">
        <v>45555</v>
      </c>
      <c r="P93" s="1">
        <v>45552</v>
      </c>
      <c r="Q93" t="s">
        <v>260</v>
      </c>
      <c r="R93" t="s">
        <v>550</v>
      </c>
      <c r="S93" t="s">
        <v>51</v>
      </c>
      <c r="T93" t="s">
        <v>551</v>
      </c>
      <c r="W93">
        <v>1</v>
      </c>
      <c r="X93">
        <v>0</v>
      </c>
      <c r="Y93" t="s">
        <v>38</v>
      </c>
    </row>
    <row r="94" spans="1:25" x14ac:dyDescent="0.35">
      <c r="A94">
        <v>36809135</v>
      </c>
      <c r="B94" t="s">
        <v>552</v>
      </c>
      <c r="C94" t="s">
        <v>553</v>
      </c>
      <c r="D94" t="s">
        <v>554</v>
      </c>
      <c r="F94" t="str">
        <f>"0735219117"</f>
        <v>0735219117</v>
      </c>
      <c r="G94" t="str">
        <f>"9780735219113"</f>
        <v>9780735219113</v>
      </c>
      <c r="H94">
        <v>4</v>
      </c>
      <c r="I94">
        <v>4.38</v>
      </c>
      <c r="J94" t="s">
        <v>555</v>
      </c>
      <c r="K94" t="s">
        <v>375</v>
      </c>
      <c r="L94">
        <v>384</v>
      </c>
      <c r="M94">
        <v>2018</v>
      </c>
      <c r="N94">
        <v>2018</v>
      </c>
      <c r="O94" s="1">
        <v>45559</v>
      </c>
      <c r="P94" s="1">
        <v>45490</v>
      </c>
      <c r="Q94" t="s">
        <v>221</v>
      </c>
      <c r="R94" t="s">
        <v>556</v>
      </c>
      <c r="S94" t="s">
        <v>51</v>
      </c>
      <c r="T94" t="s">
        <v>557</v>
      </c>
      <c r="W94">
        <v>1</v>
      </c>
      <c r="X94">
        <v>0</v>
      </c>
      <c r="Y94" t="s">
        <v>38</v>
      </c>
    </row>
    <row r="95" spans="1:25" x14ac:dyDescent="0.35">
      <c r="A95">
        <v>26158345</v>
      </c>
      <c r="B95" t="s">
        <v>558</v>
      </c>
      <c r="C95" t="s">
        <v>559</v>
      </c>
      <c r="D95" t="s">
        <v>560</v>
      </c>
      <c r="E95" t="s">
        <v>561</v>
      </c>
      <c r="F95" t="str">
        <f>""</f>
        <v/>
      </c>
      <c r="G95" t="str">
        <f>""</f>
        <v/>
      </c>
      <c r="H95">
        <v>5</v>
      </c>
      <c r="I95">
        <v>3.97</v>
      </c>
      <c r="J95" t="s">
        <v>562</v>
      </c>
      <c r="K95" t="s">
        <v>48</v>
      </c>
      <c r="L95">
        <v>32</v>
      </c>
      <c r="M95">
        <v>2017</v>
      </c>
      <c r="N95">
        <v>2017</v>
      </c>
      <c r="O95" s="1">
        <v>45565</v>
      </c>
      <c r="P95" s="1">
        <v>45565</v>
      </c>
      <c r="Q95" t="s">
        <v>323</v>
      </c>
      <c r="R95" t="s">
        <v>563</v>
      </c>
      <c r="S95" t="s">
        <v>51</v>
      </c>
      <c r="T95" t="s">
        <v>564</v>
      </c>
      <c r="W95">
        <v>1</v>
      </c>
      <c r="X95">
        <v>0</v>
      </c>
      <c r="Y95" t="s">
        <v>38</v>
      </c>
    </row>
    <row r="96" spans="1:25" x14ac:dyDescent="0.35">
      <c r="A96">
        <v>56817365</v>
      </c>
      <c r="B96" t="s">
        <v>565</v>
      </c>
      <c r="C96" t="s">
        <v>566</v>
      </c>
      <c r="D96" t="s">
        <v>567</v>
      </c>
      <c r="F96" t="str">
        <f>"1646140893"</f>
        <v>1646140893</v>
      </c>
      <c r="G96" t="str">
        <f>"9781646140893"</f>
        <v>9781646140893</v>
      </c>
      <c r="H96">
        <v>4</v>
      </c>
      <c r="I96">
        <v>4.0599999999999996</v>
      </c>
      <c r="J96" t="s">
        <v>568</v>
      </c>
      <c r="K96" t="s">
        <v>48</v>
      </c>
      <c r="L96">
        <v>320</v>
      </c>
      <c r="M96">
        <v>2021</v>
      </c>
      <c r="N96">
        <v>2021</v>
      </c>
      <c r="O96" s="1">
        <v>45575</v>
      </c>
      <c r="P96" s="1">
        <v>45569</v>
      </c>
      <c r="Q96" t="s">
        <v>569</v>
      </c>
      <c r="R96" t="s">
        <v>570</v>
      </c>
      <c r="S96" t="s">
        <v>51</v>
      </c>
      <c r="W96">
        <v>1</v>
      </c>
      <c r="X96">
        <v>0</v>
      </c>
      <c r="Y96" t="s">
        <v>38</v>
      </c>
    </row>
    <row r="97" spans="1:25" x14ac:dyDescent="0.35">
      <c r="A97">
        <v>28186322</v>
      </c>
      <c r="B97" t="s">
        <v>571</v>
      </c>
      <c r="C97" t="s">
        <v>572</v>
      </c>
      <c r="D97" t="s">
        <v>573</v>
      </c>
      <c r="F97" t="str">
        <f>"0451476026"</f>
        <v>0451476026</v>
      </c>
      <c r="G97" t="str">
        <f>"9780451476029"</f>
        <v>9780451476029</v>
      </c>
      <c r="H97">
        <v>4</v>
      </c>
      <c r="I97">
        <v>3.96</v>
      </c>
      <c r="J97" t="s">
        <v>350</v>
      </c>
      <c r="K97" t="s">
        <v>29</v>
      </c>
      <c r="L97">
        <v>339</v>
      </c>
      <c r="M97">
        <v>2016</v>
      </c>
      <c r="N97">
        <v>2015</v>
      </c>
      <c r="O97" s="1">
        <v>45578</v>
      </c>
      <c r="P97" s="1">
        <v>45574</v>
      </c>
      <c r="Q97" t="s">
        <v>574</v>
      </c>
      <c r="R97" t="s">
        <v>575</v>
      </c>
      <c r="S97" t="s">
        <v>51</v>
      </c>
      <c r="W97">
        <v>1</v>
      </c>
      <c r="X97">
        <v>0</v>
      </c>
      <c r="Y97" t="s">
        <v>38</v>
      </c>
    </row>
    <row r="98" spans="1:25" x14ac:dyDescent="0.35">
      <c r="A98">
        <v>30008834</v>
      </c>
      <c r="B98" t="s">
        <v>576</v>
      </c>
      <c r="C98" t="s">
        <v>572</v>
      </c>
      <c r="D98" t="s">
        <v>573</v>
      </c>
      <c r="F98" t="str">
        <f>"0451476158"</f>
        <v>0451476158</v>
      </c>
      <c r="G98" t="str">
        <f>"9780451476159"</f>
        <v>9780451476159</v>
      </c>
      <c r="H98">
        <v>4</v>
      </c>
      <c r="I98">
        <v>4.09</v>
      </c>
      <c r="J98" t="s">
        <v>350</v>
      </c>
      <c r="K98" t="s">
        <v>48</v>
      </c>
      <c r="L98">
        <v>338</v>
      </c>
      <c r="M98">
        <v>2017</v>
      </c>
      <c r="N98">
        <v>2017</v>
      </c>
      <c r="O98" s="1">
        <v>45581</v>
      </c>
      <c r="P98" s="1">
        <v>45581</v>
      </c>
      <c r="Q98" t="s">
        <v>577</v>
      </c>
      <c r="R98" t="s">
        <v>578</v>
      </c>
      <c r="S98" t="s">
        <v>51</v>
      </c>
      <c r="W98">
        <v>1</v>
      </c>
      <c r="X98">
        <v>0</v>
      </c>
      <c r="Y98" t="s">
        <v>38</v>
      </c>
    </row>
    <row r="99" spans="1:25" x14ac:dyDescent="0.35">
      <c r="A99">
        <v>61423989</v>
      </c>
      <c r="B99" t="s">
        <v>579</v>
      </c>
      <c r="C99" t="s">
        <v>580</v>
      </c>
      <c r="D99" t="s">
        <v>581</v>
      </c>
      <c r="F99" t="str">
        <f>"0735225265"</f>
        <v>0735225265</v>
      </c>
      <c r="G99" t="str">
        <f>"9780735225268"</f>
        <v>9780735225268</v>
      </c>
      <c r="H99">
        <v>0</v>
      </c>
      <c r="I99">
        <v>4.37</v>
      </c>
      <c r="J99" t="s">
        <v>235</v>
      </c>
      <c r="K99" t="s">
        <v>48</v>
      </c>
      <c r="L99">
        <v>432</v>
      </c>
      <c r="M99">
        <v>2023</v>
      </c>
      <c r="N99">
        <v>2023</v>
      </c>
      <c r="P99" s="1">
        <v>45690</v>
      </c>
      <c r="Q99" t="s">
        <v>30</v>
      </c>
      <c r="R99" t="s">
        <v>582</v>
      </c>
      <c r="S99" t="s">
        <v>30</v>
      </c>
      <c r="W99">
        <v>0</v>
      </c>
      <c r="X99">
        <v>0</v>
      </c>
      <c r="Y99" t="s">
        <v>203</v>
      </c>
    </row>
    <row r="100" spans="1:25" x14ac:dyDescent="0.35">
      <c r="A100">
        <v>191197254</v>
      </c>
      <c r="B100" t="s">
        <v>583</v>
      </c>
      <c r="C100" t="s">
        <v>584</v>
      </c>
      <c r="D100" t="s">
        <v>585</v>
      </c>
      <c r="F100" t="str">
        <f>""</f>
        <v/>
      </c>
      <c r="G100" t="str">
        <f>""</f>
        <v/>
      </c>
      <c r="H100">
        <v>0</v>
      </c>
      <c r="I100">
        <v>4.05</v>
      </c>
      <c r="K100" t="s">
        <v>85</v>
      </c>
      <c r="L100">
        <v>318</v>
      </c>
      <c r="M100">
        <v>2024</v>
      </c>
      <c r="P100" s="1">
        <v>45690</v>
      </c>
      <c r="Q100" t="s">
        <v>30</v>
      </c>
      <c r="R100" t="s">
        <v>586</v>
      </c>
      <c r="S100" t="s">
        <v>30</v>
      </c>
      <c r="W100">
        <v>0</v>
      </c>
      <c r="X100">
        <v>0</v>
      </c>
      <c r="Y100" t="s">
        <v>38</v>
      </c>
    </row>
    <row r="101" spans="1:25" x14ac:dyDescent="0.35">
      <c r="A101">
        <v>40390742</v>
      </c>
      <c r="B101" t="s">
        <v>587</v>
      </c>
      <c r="C101" t="s">
        <v>548</v>
      </c>
      <c r="D101" t="s">
        <v>549</v>
      </c>
      <c r="F101" t="str">
        <f>"0764230301"</f>
        <v>0764230301</v>
      </c>
      <c r="G101" t="str">
        <f>"9780764230301"</f>
        <v>9780764230301</v>
      </c>
      <c r="H101">
        <v>4</v>
      </c>
      <c r="I101">
        <v>4.0999999999999996</v>
      </c>
      <c r="J101" t="s">
        <v>36</v>
      </c>
      <c r="K101" t="s">
        <v>29</v>
      </c>
      <c r="L101">
        <v>383</v>
      </c>
      <c r="M101">
        <v>2019</v>
      </c>
      <c r="N101">
        <v>2019</v>
      </c>
      <c r="O101" s="1">
        <v>45583</v>
      </c>
      <c r="P101" s="1">
        <v>45547</v>
      </c>
      <c r="Q101" t="s">
        <v>260</v>
      </c>
      <c r="R101" t="s">
        <v>588</v>
      </c>
      <c r="S101" t="s">
        <v>51</v>
      </c>
      <c r="W101">
        <v>1</v>
      </c>
      <c r="X101">
        <v>0</v>
      </c>
      <c r="Y101" t="s">
        <v>38</v>
      </c>
    </row>
    <row r="102" spans="1:25" x14ac:dyDescent="0.35">
      <c r="A102">
        <v>58322679</v>
      </c>
      <c r="B102" t="s">
        <v>589</v>
      </c>
      <c r="C102" t="s">
        <v>548</v>
      </c>
      <c r="D102" t="s">
        <v>549</v>
      </c>
      <c r="F102" t="str">
        <f>"0764238329"</f>
        <v>0764238329</v>
      </c>
      <c r="G102" t="str">
        <f>"9780764238321"</f>
        <v>9780764238321</v>
      </c>
      <c r="H102">
        <v>0</v>
      </c>
      <c r="I102">
        <v>4.2699999999999996</v>
      </c>
      <c r="J102" t="s">
        <v>36</v>
      </c>
      <c r="K102" t="s">
        <v>29</v>
      </c>
      <c r="L102">
        <v>383</v>
      </c>
      <c r="M102">
        <v>2022</v>
      </c>
      <c r="N102">
        <v>2022</v>
      </c>
      <c r="O102" s="1">
        <v>45622</v>
      </c>
      <c r="P102" s="1">
        <v>45556</v>
      </c>
      <c r="Q102" t="s">
        <v>590</v>
      </c>
      <c r="R102" t="s">
        <v>591</v>
      </c>
      <c r="S102" t="s">
        <v>51</v>
      </c>
      <c r="W102">
        <v>1</v>
      </c>
      <c r="X102">
        <v>0</v>
      </c>
      <c r="Y102" t="s">
        <v>38</v>
      </c>
    </row>
    <row r="103" spans="1:25" x14ac:dyDescent="0.35">
      <c r="A103">
        <v>199269577</v>
      </c>
      <c r="B103" t="s">
        <v>592</v>
      </c>
      <c r="C103" t="s">
        <v>593</v>
      </c>
      <c r="D103" t="s">
        <v>594</v>
      </c>
      <c r="F103" t="str">
        <f>""</f>
        <v/>
      </c>
      <c r="G103" t="str">
        <f>""</f>
        <v/>
      </c>
      <c r="H103">
        <v>2</v>
      </c>
      <c r="I103">
        <v>4.0599999999999996</v>
      </c>
      <c r="J103" t="s">
        <v>595</v>
      </c>
      <c r="K103" t="s">
        <v>48</v>
      </c>
      <c r="L103">
        <v>384</v>
      </c>
      <c r="M103">
        <v>2024</v>
      </c>
      <c r="N103">
        <v>2024</v>
      </c>
      <c r="O103" s="1">
        <v>45584</v>
      </c>
      <c r="P103" s="1">
        <v>45583</v>
      </c>
      <c r="Q103" t="s">
        <v>596</v>
      </c>
      <c r="R103" t="s">
        <v>597</v>
      </c>
      <c r="S103" t="s">
        <v>51</v>
      </c>
      <c r="T103" t="s">
        <v>598</v>
      </c>
      <c r="U103" t="b">
        <v>1</v>
      </c>
      <c r="W103">
        <v>1</v>
      </c>
      <c r="X103">
        <v>0</v>
      </c>
      <c r="Y103" t="s">
        <v>38</v>
      </c>
    </row>
    <row r="104" spans="1:25" x14ac:dyDescent="0.35">
      <c r="A104">
        <v>26244626</v>
      </c>
      <c r="B104" t="s">
        <v>599</v>
      </c>
      <c r="C104" t="s">
        <v>572</v>
      </c>
      <c r="D104" t="s">
        <v>573</v>
      </c>
      <c r="F104" t="str">
        <f>"0451476174"</f>
        <v>0451476174</v>
      </c>
      <c r="G104" t="str">
        <f>"9780451476173"</f>
        <v>9780451476173</v>
      </c>
      <c r="H104">
        <v>0</v>
      </c>
      <c r="I104">
        <v>4.1500000000000004</v>
      </c>
      <c r="J104" t="s">
        <v>350</v>
      </c>
      <c r="K104" t="s">
        <v>48</v>
      </c>
      <c r="L104">
        <v>308</v>
      </c>
      <c r="M104">
        <v>2018</v>
      </c>
      <c r="N104">
        <v>2018</v>
      </c>
      <c r="O104" s="1">
        <v>45589</v>
      </c>
      <c r="P104" s="1">
        <v>45581</v>
      </c>
      <c r="Q104" t="s">
        <v>600</v>
      </c>
      <c r="R104" t="s">
        <v>601</v>
      </c>
      <c r="S104" t="s">
        <v>51</v>
      </c>
      <c r="W104">
        <v>1</v>
      </c>
      <c r="X104">
        <v>0</v>
      </c>
      <c r="Y104" t="s">
        <v>38</v>
      </c>
    </row>
    <row r="105" spans="1:25" x14ac:dyDescent="0.35">
      <c r="A105">
        <v>35530507</v>
      </c>
      <c r="B105" t="s">
        <v>602</v>
      </c>
      <c r="C105" t="s">
        <v>572</v>
      </c>
      <c r="D105" t="s">
        <v>573</v>
      </c>
      <c r="F105" t="str">
        <f>"0451490762"</f>
        <v>0451490762</v>
      </c>
      <c r="G105" t="str">
        <f>"9780451490766"</f>
        <v>9780451490766</v>
      </c>
      <c r="H105">
        <v>0</v>
      </c>
      <c r="I105">
        <v>4.1399999999999997</v>
      </c>
      <c r="J105" t="s">
        <v>350</v>
      </c>
      <c r="K105" t="s">
        <v>375</v>
      </c>
      <c r="L105">
        <v>320</v>
      </c>
      <c r="M105">
        <v>2020</v>
      </c>
      <c r="N105">
        <v>2020</v>
      </c>
      <c r="O105" s="1">
        <v>45599</v>
      </c>
      <c r="P105" s="1">
        <v>45581</v>
      </c>
      <c r="Q105" t="s">
        <v>600</v>
      </c>
      <c r="R105" t="s">
        <v>603</v>
      </c>
      <c r="S105" t="s">
        <v>51</v>
      </c>
      <c r="W105">
        <v>1</v>
      </c>
      <c r="X105">
        <v>0</v>
      </c>
      <c r="Y105" t="s">
        <v>38</v>
      </c>
    </row>
    <row r="106" spans="1:25" x14ac:dyDescent="0.35">
      <c r="A106">
        <v>90251201</v>
      </c>
      <c r="B106" t="s">
        <v>604</v>
      </c>
      <c r="C106" t="s">
        <v>605</v>
      </c>
      <c r="D106" t="s">
        <v>606</v>
      </c>
      <c r="F106" t="str">
        <f>"0764242067"</f>
        <v>0764242067</v>
      </c>
      <c r="G106" t="str">
        <f>"9781493443789"</f>
        <v>9781493443789</v>
      </c>
      <c r="H106">
        <v>4</v>
      </c>
      <c r="I106">
        <v>3.37</v>
      </c>
      <c r="J106" t="s">
        <v>36</v>
      </c>
      <c r="K106" t="s">
        <v>375</v>
      </c>
      <c r="L106">
        <v>208</v>
      </c>
      <c r="M106">
        <v>2023</v>
      </c>
      <c r="N106">
        <v>2023</v>
      </c>
      <c r="O106" s="1">
        <v>45633</v>
      </c>
      <c r="P106" s="1">
        <v>45630</v>
      </c>
      <c r="Q106" t="s">
        <v>607</v>
      </c>
      <c r="R106" t="s">
        <v>608</v>
      </c>
      <c r="S106" t="s">
        <v>51</v>
      </c>
      <c r="T106" t="s">
        <v>609</v>
      </c>
      <c r="W106">
        <v>1</v>
      </c>
      <c r="X106">
        <v>0</v>
      </c>
      <c r="Y106" t="s">
        <v>38</v>
      </c>
    </row>
    <row r="107" spans="1:25" x14ac:dyDescent="0.35">
      <c r="A107">
        <v>311096</v>
      </c>
      <c r="B107" t="s">
        <v>610</v>
      </c>
      <c r="C107" t="s">
        <v>480</v>
      </c>
      <c r="D107" t="s">
        <v>481</v>
      </c>
      <c r="F107" t="str">
        <f>"0099468077"</f>
        <v>0099468077</v>
      </c>
      <c r="G107" t="str">
        <f>"9780099468073"</f>
        <v>9780099468073</v>
      </c>
      <c r="H107">
        <v>4</v>
      </c>
      <c r="I107">
        <v>3.92</v>
      </c>
      <c r="J107" t="s">
        <v>611</v>
      </c>
      <c r="K107" t="s">
        <v>29</v>
      </c>
      <c r="L107">
        <v>278</v>
      </c>
      <c r="M107">
        <v>2004</v>
      </c>
      <c r="N107">
        <v>1946</v>
      </c>
      <c r="O107" s="1">
        <v>45634</v>
      </c>
      <c r="P107" s="1">
        <v>45441</v>
      </c>
      <c r="Q107" t="s">
        <v>612</v>
      </c>
      <c r="R107" t="s">
        <v>613</v>
      </c>
      <c r="S107" t="s">
        <v>51</v>
      </c>
      <c r="W107">
        <v>1</v>
      </c>
      <c r="X107">
        <v>0</v>
      </c>
      <c r="Y107" t="s">
        <v>38</v>
      </c>
    </row>
    <row r="108" spans="1:25" x14ac:dyDescent="0.35">
      <c r="A108">
        <v>150351878</v>
      </c>
      <c r="B108" t="s">
        <v>614</v>
      </c>
      <c r="C108" t="s">
        <v>116</v>
      </c>
      <c r="D108" t="s">
        <v>117</v>
      </c>
      <c r="E108" t="s">
        <v>615</v>
      </c>
      <c r="F108" t="str">
        <f>"0063326698"</f>
        <v>0063326698</v>
      </c>
      <c r="G108" t="str">
        <f>"9780063326699"</f>
        <v>9780063326699</v>
      </c>
      <c r="H108">
        <v>0</v>
      </c>
      <c r="I108">
        <v>4.09</v>
      </c>
      <c r="J108" t="s">
        <v>119</v>
      </c>
      <c r="K108" t="s">
        <v>48</v>
      </c>
      <c r="L108">
        <v>153</v>
      </c>
      <c r="M108">
        <v>2024</v>
      </c>
      <c r="N108">
        <v>2024</v>
      </c>
      <c r="P108" s="1">
        <v>45690</v>
      </c>
      <c r="Q108" t="s">
        <v>30</v>
      </c>
      <c r="R108" t="s">
        <v>616</v>
      </c>
      <c r="S108" t="s">
        <v>30</v>
      </c>
      <c r="W108">
        <v>0</v>
      </c>
      <c r="X108">
        <v>0</v>
      </c>
      <c r="Y108" t="s">
        <v>38</v>
      </c>
    </row>
    <row r="109" spans="1:25" x14ac:dyDescent="0.35">
      <c r="A109">
        <v>204484207</v>
      </c>
      <c r="B109" t="s">
        <v>617</v>
      </c>
      <c r="C109" t="s">
        <v>401</v>
      </c>
      <c r="D109" t="s">
        <v>402</v>
      </c>
      <c r="F109" t="str">
        <f>""</f>
        <v/>
      </c>
      <c r="G109" t="str">
        <f>""</f>
        <v/>
      </c>
      <c r="H109">
        <v>5</v>
      </c>
      <c r="I109">
        <v>4.43</v>
      </c>
      <c r="K109" t="s">
        <v>85</v>
      </c>
      <c r="L109">
        <v>260</v>
      </c>
      <c r="M109">
        <v>2024</v>
      </c>
      <c r="N109">
        <v>2024</v>
      </c>
      <c r="O109" s="1">
        <v>45635</v>
      </c>
      <c r="P109" s="1">
        <v>45495</v>
      </c>
      <c r="Q109" t="s">
        <v>618</v>
      </c>
      <c r="R109" t="s">
        <v>619</v>
      </c>
      <c r="S109" t="s">
        <v>51</v>
      </c>
      <c r="T109" t="s">
        <v>620</v>
      </c>
      <c r="W109">
        <v>1</v>
      </c>
      <c r="X109">
        <v>0</v>
      </c>
      <c r="Y109" t="s">
        <v>38</v>
      </c>
    </row>
    <row r="110" spans="1:25" x14ac:dyDescent="0.35">
      <c r="A110">
        <v>216248520</v>
      </c>
      <c r="B110" t="s">
        <v>621</v>
      </c>
      <c r="C110" t="s">
        <v>401</v>
      </c>
      <c r="D110" t="s">
        <v>402</v>
      </c>
      <c r="F110" t="str">
        <f>""</f>
        <v/>
      </c>
      <c r="G110" t="str">
        <f>""</f>
        <v/>
      </c>
      <c r="H110">
        <v>4</v>
      </c>
      <c r="I110">
        <v>4.57</v>
      </c>
      <c r="K110" t="s">
        <v>85</v>
      </c>
      <c r="L110">
        <v>515</v>
      </c>
      <c r="M110">
        <v>2024</v>
      </c>
      <c r="O110" s="1">
        <v>45641</v>
      </c>
      <c r="P110" s="1">
        <v>45615</v>
      </c>
      <c r="Q110" t="s">
        <v>618</v>
      </c>
      <c r="R110" t="s">
        <v>622</v>
      </c>
      <c r="S110" t="s">
        <v>51</v>
      </c>
      <c r="W110">
        <v>1</v>
      </c>
      <c r="X110">
        <v>0</v>
      </c>
      <c r="Y110" t="s">
        <v>173</v>
      </c>
    </row>
    <row r="111" spans="1:25" x14ac:dyDescent="0.35">
      <c r="A111">
        <v>57239697</v>
      </c>
      <c r="B111" t="s">
        <v>623</v>
      </c>
      <c r="C111" t="s">
        <v>624</v>
      </c>
      <c r="D111" t="s">
        <v>625</v>
      </c>
      <c r="F111" t="str">
        <f>"1496452526"</f>
        <v>1496452526</v>
      </c>
      <c r="G111" t="str">
        <f>"9781496452528"</f>
        <v>9781496452528</v>
      </c>
      <c r="H111">
        <v>5</v>
      </c>
      <c r="I111">
        <v>4.18</v>
      </c>
      <c r="J111" t="s">
        <v>626</v>
      </c>
      <c r="K111" t="s">
        <v>48</v>
      </c>
      <c r="L111">
        <v>304</v>
      </c>
      <c r="M111">
        <v>2021</v>
      </c>
      <c r="N111">
        <v>2021</v>
      </c>
      <c r="O111" s="1">
        <v>45648</v>
      </c>
      <c r="P111" s="1">
        <v>45644</v>
      </c>
      <c r="Q111" t="s">
        <v>627</v>
      </c>
      <c r="R111" t="s">
        <v>628</v>
      </c>
      <c r="S111" t="s">
        <v>51</v>
      </c>
      <c r="T111" t="s">
        <v>629</v>
      </c>
      <c r="W111">
        <v>1</v>
      </c>
      <c r="X111">
        <v>0</v>
      </c>
      <c r="Y111" t="s">
        <v>38</v>
      </c>
    </row>
    <row r="112" spans="1:25" x14ac:dyDescent="0.35">
      <c r="A112">
        <v>311182</v>
      </c>
      <c r="B112" t="s">
        <v>630</v>
      </c>
      <c r="C112" t="s">
        <v>480</v>
      </c>
      <c r="D112" t="s">
        <v>481</v>
      </c>
      <c r="F112" t="str">
        <f>"0099465825"</f>
        <v>0099465825</v>
      </c>
      <c r="G112" t="str">
        <f>"9780099465829"</f>
        <v>9780099465829</v>
      </c>
      <c r="H112">
        <v>4</v>
      </c>
      <c r="I112">
        <v>4.0999999999999996</v>
      </c>
      <c r="J112" t="s">
        <v>611</v>
      </c>
      <c r="K112" t="s">
        <v>29</v>
      </c>
      <c r="L112">
        <v>352</v>
      </c>
      <c r="M112">
        <v>2001</v>
      </c>
      <c r="N112">
        <v>1926</v>
      </c>
      <c r="O112" s="1">
        <v>45654</v>
      </c>
      <c r="P112" s="1">
        <v>45652</v>
      </c>
      <c r="Q112" t="s">
        <v>631</v>
      </c>
      <c r="R112" t="s">
        <v>632</v>
      </c>
      <c r="S112" t="s">
        <v>51</v>
      </c>
      <c r="T112" t="s">
        <v>633</v>
      </c>
      <c r="W112">
        <v>1</v>
      </c>
      <c r="X112">
        <v>0</v>
      </c>
      <c r="Y112" t="s">
        <v>38</v>
      </c>
    </row>
    <row r="113" spans="1:25" x14ac:dyDescent="0.35">
      <c r="A113">
        <v>112975658</v>
      </c>
      <c r="B113" t="s">
        <v>634</v>
      </c>
      <c r="C113" t="s">
        <v>635</v>
      </c>
      <c r="D113" t="s">
        <v>636</v>
      </c>
      <c r="F113" t="str">
        <f>"0385546874"</f>
        <v>0385546874</v>
      </c>
      <c r="G113" t="str">
        <f>"9780385546874"</f>
        <v>9780385546874</v>
      </c>
      <c r="H113">
        <v>5</v>
      </c>
      <c r="I113">
        <v>4.42</v>
      </c>
      <c r="J113" t="s">
        <v>637</v>
      </c>
      <c r="K113" t="s">
        <v>48</v>
      </c>
      <c r="L113">
        <v>432</v>
      </c>
      <c r="M113">
        <v>2023</v>
      </c>
      <c r="N113">
        <v>2023</v>
      </c>
      <c r="O113" s="1">
        <v>45675</v>
      </c>
      <c r="P113" s="1">
        <v>45386</v>
      </c>
      <c r="Q113" t="s">
        <v>163</v>
      </c>
      <c r="R113" t="s">
        <v>638</v>
      </c>
      <c r="S113" t="s">
        <v>51</v>
      </c>
      <c r="T113" t="s">
        <v>639</v>
      </c>
      <c r="W113">
        <v>1</v>
      </c>
      <c r="X113">
        <v>0</v>
      </c>
      <c r="Y113" t="s">
        <v>38</v>
      </c>
    </row>
    <row r="114" spans="1:25" x14ac:dyDescent="0.35">
      <c r="A114">
        <v>145624993</v>
      </c>
      <c r="B114" t="s">
        <v>640</v>
      </c>
      <c r="C114" t="s">
        <v>641</v>
      </c>
      <c r="D114" t="s">
        <v>642</v>
      </c>
      <c r="F114" t="str">
        <f>"1538723697"</f>
        <v>1538723697</v>
      </c>
      <c r="G114" t="str">
        <f>"9781538723692"</f>
        <v>9781538723692</v>
      </c>
      <c r="H114">
        <v>0</v>
      </c>
      <c r="I114">
        <v>4.25</v>
      </c>
      <c r="J114" t="s">
        <v>643</v>
      </c>
      <c r="K114" t="s">
        <v>48</v>
      </c>
      <c r="L114">
        <v>368</v>
      </c>
      <c r="M114">
        <v>2024</v>
      </c>
      <c r="N114">
        <v>2024</v>
      </c>
      <c r="P114" s="1">
        <v>45689</v>
      </c>
      <c r="Q114" t="s">
        <v>30</v>
      </c>
      <c r="R114" t="s">
        <v>644</v>
      </c>
      <c r="S114" t="s">
        <v>30</v>
      </c>
      <c r="W114">
        <v>0</v>
      </c>
      <c r="X114">
        <v>0</v>
      </c>
      <c r="Y114" t="s">
        <v>38</v>
      </c>
    </row>
    <row r="115" spans="1:25" x14ac:dyDescent="0.35">
      <c r="A115">
        <v>63327797</v>
      </c>
      <c r="B115" t="s">
        <v>645</v>
      </c>
      <c r="C115" t="s">
        <v>646</v>
      </c>
      <c r="D115" t="s">
        <v>647</v>
      </c>
      <c r="F115" t="str">
        <f>"1728265746"</f>
        <v>1728265746</v>
      </c>
      <c r="G115" t="str">
        <f>"9781728265742"</f>
        <v>9781728265742</v>
      </c>
      <c r="H115">
        <v>0</v>
      </c>
      <c r="I115">
        <v>4.1399999999999997</v>
      </c>
      <c r="J115" t="s">
        <v>435</v>
      </c>
      <c r="K115" t="s">
        <v>29</v>
      </c>
      <c r="L115">
        <v>464</v>
      </c>
      <c r="M115">
        <v>2023</v>
      </c>
      <c r="N115">
        <v>2023</v>
      </c>
      <c r="P115" s="1">
        <v>45689</v>
      </c>
      <c r="Q115" t="s">
        <v>30</v>
      </c>
      <c r="R115" t="s">
        <v>648</v>
      </c>
      <c r="S115" t="s">
        <v>30</v>
      </c>
      <c r="W115">
        <v>0</v>
      </c>
      <c r="X115">
        <v>0</v>
      </c>
      <c r="Y115" t="s">
        <v>38</v>
      </c>
    </row>
    <row r="116" spans="1:25" x14ac:dyDescent="0.35">
      <c r="A116">
        <v>60460704</v>
      </c>
      <c r="B116" t="s">
        <v>649</v>
      </c>
      <c r="C116" t="s">
        <v>650</v>
      </c>
      <c r="D116" t="s">
        <v>651</v>
      </c>
      <c r="F116" t="str">
        <f>"052551208X"</f>
        <v>052551208X</v>
      </c>
      <c r="G116" t="str">
        <f>"9780525512080"</f>
        <v>9780525512080</v>
      </c>
      <c r="H116">
        <v>0</v>
      </c>
      <c r="I116">
        <v>3.71</v>
      </c>
      <c r="J116" t="s">
        <v>652</v>
      </c>
      <c r="K116" t="s">
        <v>48</v>
      </c>
      <c r="L116">
        <v>285</v>
      </c>
      <c r="M116">
        <v>2023</v>
      </c>
      <c r="N116">
        <v>2023</v>
      </c>
      <c r="P116" s="1">
        <v>45689</v>
      </c>
      <c r="Q116" t="s">
        <v>30</v>
      </c>
      <c r="R116" t="s">
        <v>653</v>
      </c>
      <c r="S116" t="s">
        <v>30</v>
      </c>
      <c r="W116">
        <v>0</v>
      </c>
      <c r="X116">
        <v>0</v>
      </c>
      <c r="Y116" t="s">
        <v>38</v>
      </c>
    </row>
    <row r="117" spans="1:25" x14ac:dyDescent="0.35">
      <c r="A117">
        <v>62919847</v>
      </c>
      <c r="B117" t="s">
        <v>654</v>
      </c>
      <c r="C117" t="s">
        <v>655</v>
      </c>
      <c r="D117" t="s">
        <v>656</v>
      </c>
      <c r="F117" t="str">
        <f>"1982188340"</f>
        <v>1982188340</v>
      </c>
      <c r="G117" t="str">
        <f>"9781982188344"</f>
        <v>9781982188344</v>
      </c>
      <c r="H117">
        <v>0</v>
      </c>
      <c r="I117">
        <v>4.46</v>
      </c>
      <c r="J117" t="s">
        <v>657</v>
      </c>
      <c r="K117" t="s">
        <v>48</v>
      </c>
      <c r="L117">
        <v>576</v>
      </c>
      <c r="M117">
        <v>2023</v>
      </c>
      <c r="N117">
        <v>2023</v>
      </c>
      <c r="P117" s="1">
        <v>45689</v>
      </c>
      <c r="Q117" t="s">
        <v>30</v>
      </c>
      <c r="R117" t="s">
        <v>658</v>
      </c>
      <c r="S117" t="s">
        <v>30</v>
      </c>
      <c r="W117">
        <v>0</v>
      </c>
      <c r="X117">
        <v>0</v>
      </c>
      <c r="Y117" t="s">
        <v>38</v>
      </c>
    </row>
    <row r="118" spans="1:25" x14ac:dyDescent="0.35">
      <c r="A118">
        <v>199119061</v>
      </c>
      <c r="B118" t="s">
        <v>659</v>
      </c>
      <c r="C118" t="s">
        <v>660</v>
      </c>
      <c r="D118" t="s">
        <v>661</v>
      </c>
      <c r="F118" t="str">
        <f>""</f>
        <v/>
      </c>
      <c r="G118" t="str">
        <f>""</f>
        <v/>
      </c>
      <c r="H118">
        <v>0</v>
      </c>
      <c r="I118">
        <v>3.85</v>
      </c>
      <c r="J118" t="s">
        <v>662</v>
      </c>
      <c r="K118" t="s">
        <v>85</v>
      </c>
      <c r="L118">
        <v>384</v>
      </c>
      <c r="M118">
        <v>2024</v>
      </c>
      <c r="N118">
        <v>2024</v>
      </c>
      <c r="P118" s="1">
        <v>45689</v>
      </c>
      <c r="Q118" t="s">
        <v>30</v>
      </c>
      <c r="R118" t="s">
        <v>663</v>
      </c>
      <c r="S118" t="s">
        <v>30</v>
      </c>
      <c r="W118">
        <v>0</v>
      </c>
      <c r="X118">
        <v>0</v>
      </c>
      <c r="Y118" t="s">
        <v>38</v>
      </c>
    </row>
    <row r="119" spans="1:25" x14ac:dyDescent="0.35">
      <c r="A119">
        <v>18655852</v>
      </c>
      <c r="B119" t="s">
        <v>664</v>
      </c>
      <c r="C119" t="s">
        <v>665</v>
      </c>
      <c r="D119" t="s">
        <v>666</v>
      </c>
      <c r="F119" t="str">
        <f>""</f>
        <v/>
      </c>
      <c r="G119" t="str">
        <f>""</f>
        <v/>
      </c>
      <c r="H119">
        <v>0</v>
      </c>
      <c r="I119">
        <v>3.85</v>
      </c>
      <c r="K119" t="s">
        <v>85</v>
      </c>
      <c r="L119">
        <v>196</v>
      </c>
      <c r="M119">
        <v>2013</v>
      </c>
      <c r="N119">
        <v>2013</v>
      </c>
      <c r="P119" s="1">
        <v>45689</v>
      </c>
      <c r="Q119" t="s">
        <v>30</v>
      </c>
      <c r="R119" t="s">
        <v>667</v>
      </c>
      <c r="S119" t="s">
        <v>30</v>
      </c>
      <c r="W119">
        <v>0</v>
      </c>
      <c r="X119">
        <v>0</v>
      </c>
      <c r="Y119" t="s">
        <v>38</v>
      </c>
    </row>
    <row r="120" spans="1:25" x14ac:dyDescent="0.35">
      <c r="A120">
        <v>55711311</v>
      </c>
      <c r="B120" t="s">
        <v>668</v>
      </c>
      <c r="C120" t="s">
        <v>669</v>
      </c>
      <c r="D120" t="s">
        <v>670</v>
      </c>
      <c r="F120" t="str">
        <f>"1787586030"</f>
        <v>1787586030</v>
      </c>
      <c r="G120" t="str">
        <f>"9781787586031"</f>
        <v>9781787586031</v>
      </c>
      <c r="H120">
        <v>0</v>
      </c>
      <c r="I120">
        <v>3.72</v>
      </c>
      <c r="J120" t="s">
        <v>671</v>
      </c>
      <c r="K120" t="s">
        <v>48</v>
      </c>
      <c r="L120">
        <v>224</v>
      </c>
      <c r="M120">
        <v>2021</v>
      </c>
      <c r="N120">
        <v>2021</v>
      </c>
      <c r="P120" s="1">
        <v>45689</v>
      </c>
      <c r="Q120" t="s">
        <v>30</v>
      </c>
      <c r="R120" t="s">
        <v>672</v>
      </c>
      <c r="S120" t="s">
        <v>30</v>
      </c>
      <c r="W120">
        <v>0</v>
      </c>
      <c r="X120">
        <v>0</v>
      </c>
      <c r="Y120" t="s">
        <v>38</v>
      </c>
    </row>
    <row r="121" spans="1:25" x14ac:dyDescent="0.35">
      <c r="A121">
        <v>61641079</v>
      </c>
      <c r="B121" t="s">
        <v>673</v>
      </c>
      <c r="C121" t="s">
        <v>669</v>
      </c>
      <c r="D121" t="s">
        <v>670</v>
      </c>
      <c r="F121" t="str">
        <f>"0593499697"</f>
        <v>0593499697</v>
      </c>
      <c r="G121" t="str">
        <f>"9780593499696"</f>
        <v>9780593499696</v>
      </c>
      <c r="H121">
        <v>0</v>
      </c>
      <c r="I121">
        <v>3.65</v>
      </c>
      <c r="J121" t="s">
        <v>674</v>
      </c>
      <c r="K121" t="s">
        <v>48</v>
      </c>
      <c r="L121">
        <v>272</v>
      </c>
      <c r="M121">
        <v>2023</v>
      </c>
      <c r="N121">
        <v>2023</v>
      </c>
      <c r="P121" s="1">
        <v>45689</v>
      </c>
      <c r="Q121" t="s">
        <v>30</v>
      </c>
      <c r="R121" t="s">
        <v>675</v>
      </c>
      <c r="S121" t="s">
        <v>30</v>
      </c>
      <c r="W121">
        <v>0</v>
      </c>
      <c r="X121">
        <v>0</v>
      </c>
      <c r="Y121" t="s">
        <v>38</v>
      </c>
    </row>
    <row r="122" spans="1:25" x14ac:dyDescent="0.35">
      <c r="A122">
        <v>204608923</v>
      </c>
      <c r="B122" t="s">
        <v>676</v>
      </c>
      <c r="C122" t="s">
        <v>677</v>
      </c>
      <c r="D122" t="s">
        <v>678</v>
      </c>
      <c r="F122" t="str">
        <f>"1925898822"</f>
        <v>1925898822</v>
      </c>
      <c r="G122" t="str">
        <f>"9781925898828"</f>
        <v>9781925898828</v>
      </c>
      <c r="H122">
        <v>0</v>
      </c>
      <c r="I122">
        <v>4.29</v>
      </c>
      <c r="J122" t="s">
        <v>448</v>
      </c>
      <c r="K122" t="s">
        <v>85</v>
      </c>
      <c r="L122">
        <v>238</v>
      </c>
      <c r="M122">
        <v>2024</v>
      </c>
      <c r="P122" s="1">
        <v>45689</v>
      </c>
      <c r="Q122" t="s">
        <v>30</v>
      </c>
      <c r="R122" t="s">
        <v>679</v>
      </c>
      <c r="S122" t="s">
        <v>30</v>
      </c>
      <c r="W122">
        <v>0</v>
      </c>
      <c r="X122">
        <v>0</v>
      </c>
      <c r="Y122" t="s">
        <v>203</v>
      </c>
    </row>
    <row r="123" spans="1:25" x14ac:dyDescent="0.35">
      <c r="A123">
        <v>213212691</v>
      </c>
      <c r="B123" t="s">
        <v>680</v>
      </c>
      <c r="C123" t="s">
        <v>681</v>
      </c>
      <c r="D123" t="s">
        <v>682</v>
      </c>
      <c r="F123" t="str">
        <f>"0063379031"</f>
        <v>0063379031</v>
      </c>
      <c r="G123" t="str">
        <f>"9780063379039"</f>
        <v>9780063379039</v>
      </c>
      <c r="H123">
        <v>0</v>
      </c>
      <c r="I123">
        <v>3.88</v>
      </c>
      <c r="J123" t="s">
        <v>683</v>
      </c>
      <c r="K123" t="s">
        <v>29</v>
      </c>
      <c r="L123">
        <v>384</v>
      </c>
      <c r="M123">
        <v>2025</v>
      </c>
      <c r="N123">
        <v>2025</v>
      </c>
      <c r="P123" s="1">
        <v>45689</v>
      </c>
      <c r="Q123" t="s">
        <v>30</v>
      </c>
      <c r="R123" t="s">
        <v>684</v>
      </c>
      <c r="S123" t="s">
        <v>30</v>
      </c>
      <c r="W123">
        <v>0</v>
      </c>
      <c r="X123">
        <v>0</v>
      </c>
      <c r="Y123" t="s">
        <v>38</v>
      </c>
    </row>
    <row r="124" spans="1:25" x14ac:dyDescent="0.35">
      <c r="A124">
        <v>5983694</v>
      </c>
      <c r="B124" t="s">
        <v>685</v>
      </c>
      <c r="C124" t="s">
        <v>686</v>
      </c>
      <c r="D124" t="s">
        <v>687</v>
      </c>
      <c r="F124" t="str">
        <f>""</f>
        <v/>
      </c>
      <c r="G124" t="str">
        <f>""</f>
        <v/>
      </c>
      <c r="H124">
        <v>0</v>
      </c>
      <c r="I124">
        <v>4.3099999999999996</v>
      </c>
      <c r="J124" t="s">
        <v>688</v>
      </c>
      <c r="K124" t="s">
        <v>48</v>
      </c>
      <c r="L124">
        <v>278</v>
      </c>
      <c r="M124">
        <v>2009</v>
      </c>
      <c r="N124">
        <v>2009</v>
      </c>
      <c r="P124" s="1">
        <v>45689</v>
      </c>
      <c r="Q124" t="s">
        <v>30</v>
      </c>
      <c r="R124" t="s">
        <v>689</v>
      </c>
      <c r="S124" t="s">
        <v>30</v>
      </c>
      <c r="W124">
        <v>0</v>
      </c>
      <c r="X124">
        <v>0</v>
      </c>
      <c r="Y124" t="s">
        <v>38</v>
      </c>
    </row>
    <row r="125" spans="1:25" x14ac:dyDescent="0.35">
      <c r="A125">
        <v>27261345</v>
      </c>
      <c r="B125" t="s">
        <v>690</v>
      </c>
      <c r="C125" t="s">
        <v>691</v>
      </c>
      <c r="D125" t="s">
        <v>692</v>
      </c>
      <c r="F125" t="str">
        <f>""</f>
        <v/>
      </c>
      <c r="G125" t="str">
        <f>""</f>
        <v/>
      </c>
      <c r="H125">
        <v>0</v>
      </c>
      <c r="I125">
        <v>4.4800000000000004</v>
      </c>
      <c r="J125" t="s">
        <v>693</v>
      </c>
      <c r="K125" t="s">
        <v>85</v>
      </c>
      <c r="L125">
        <v>302</v>
      </c>
      <c r="M125">
        <v>2016</v>
      </c>
      <c r="N125">
        <v>2016</v>
      </c>
      <c r="P125" s="1">
        <v>45689</v>
      </c>
      <c r="Q125" t="s">
        <v>30</v>
      </c>
      <c r="R125" t="s">
        <v>694</v>
      </c>
      <c r="S125" t="s">
        <v>30</v>
      </c>
      <c r="W125">
        <v>0</v>
      </c>
      <c r="X125">
        <v>0</v>
      </c>
      <c r="Y125" t="s">
        <v>203</v>
      </c>
    </row>
    <row r="126" spans="1:25" x14ac:dyDescent="0.35">
      <c r="A126">
        <v>199532055</v>
      </c>
      <c r="B126" t="s">
        <v>695</v>
      </c>
      <c r="C126" t="s">
        <v>696</v>
      </c>
      <c r="D126" t="s">
        <v>697</v>
      </c>
      <c r="F126" t="str">
        <f>"0063357631"</f>
        <v>0063357631</v>
      </c>
      <c r="G126" t="str">
        <f>"9780063357631"</f>
        <v>9780063357631</v>
      </c>
      <c r="H126">
        <v>0</v>
      </c>
      <c r="I126">
        <v>3.63</v>
      </c>
      <c r="J126" t="s">
        <v>683</v>
      </c>
      <c r="K126" t="s">
        <v>48</v>
      </c>
      <c r="L126">
        <v>272</v>
      </c>
      <c r="M126">
        <v>2025</v>
      </c>
      <c r="N126">
        <v>2025</v>
      </c>
      <c r="P126" s="1">
        <v>45689</v>
      </c>
      <c r="Q126" t="s">
        <v>30</v>
      </c>
      <c r="R126" t="s">
        <v>698</v>
      </c>
      <c r="S126" t="s">
        <v>30</v>
      </c>
      <c r="W126">
        <v>0</v>
      </c>
      <c r="X126">
        <v>0</v>
      </c>
      <c r="Y126" t="s">
        <v>38</v>
      </c>
    </row>
    <row r="127" spans="1:25" x14ac:dyDescent="0.35">
      <c r="A127">
        <v>7331</v>
      </c>
      <c r="B127" t="s">
        <v>699</v>
      </c>
      <c r="C127" t="s">
        <v>700</v>
      </c>
      <c r="D127" t="s">
        <v>701</v>
      </c>
      <c r="E127" t="s">
        <v>702</v>
      </c>
      <c r="F127" t="str">
        <f>"0618512659"</f>
        <v>0618512659</v>
      </c>
      <c r="G127" t="str">
        <f>"9780618512652"</f>
        <v>9780618512652</v>
      </c>
      <c r="H127">
        <v>0</v>
      </c>
      <c r="I127">
        <v>4.3</v>
      </c>
      <c r="J127" t="s">
        <v>703</v>
      </c>
      <c r="K127" t="s">
        <v>29</v>
      </c>
      <c r="L127">
        <v>111</v>
      </c>
      <c r="M127">
        <v>2004</v>
      </c>
      <c r="N127">
        <v>1976</v>
      </c>
      <c r="P127" s="1">
        <v>45689</v>
      </c>
      <c r="Q127" t="s">
        <v>30</v>
      </c>
      <c r="R127" t="s">
        <v>704</v>
      </c>
      <c r="S127" t="s">
        <v>30</v>
      </c>
      <c r="W127">
        <v>0</v>
      </c>
      <c r="X127">
        <v>0</v>
      </c>
      <c r="Y127" t="s">
        <v>38</v>
      </c>
    </row>
    <row r="128" spans="1:25" x14ac:dyDescent="0.35">
      <c r="A128">
        <v>57047457</v>
      </c>
      <c r="B128" t="s">
        <v>705</v>
      </c>
      <c r="C128" t="s">
        <v>706</v>
      </c>
      <c r="D128" t="s">
        <v>707</v>
      </c>
      <c r="F128" t="str">
        <f>"1636090656"</f>
        <v>1636090656</v>
      </c>
      <c r="G128" t="str">
        <f>"9781636090658"</f>
        <v>9781636090658</v>
      </c>
      <c r="H128">
        <v>0</v>
      </c>
      <c r="I128">
        <v>4.05</v>
      </c>
      <c r="J128" t="s">
        <v>708</v>
      </c>
      <c r="K128" t="s">
        <v>29</v>
      </c>
      <c r="L128">
        <v>320</v>
      </c>
      <c r="M128">
        <v>2021</v>
      </c>
      <c r="N128">
        <v>2021</v>
      </c>
      <c r="P128" s="1">
        <v>45689</v>
      </c>
      <c r="Q128" t="s">
        <v>30</v>
      </c>
      <c r="R128" t="s">
        <v>709</v>
      </c>
      <c r="S128" t="s">
        <v>30</v>
      </c>
      <c r="W128">
        <v>0</v>
      </c>
      <c r="X128">
        <v>0</v>
      </c>
      <c r="Y128" t="s">
        <v>38</v>
      </c>
    </row>
    <row r="129" spans="1:25" x14ac:dyDescent="0.35">
      <c r="A129">
        <v>216052751</v>
      </c>
      <c r="B129" t="s">
        <v>710</v>
      </c>
      <c r="C129" t="s">
        <v>711</v>
      </c>
      <c r="D129" t="s">
        <v>712</v>
      </c>
      <c r="F129" t="str">
        <f>"1400344743"</f>
        <v>1400344743</v>
      </c>
      <c r="G129" t="str">
        <f>"9781400344741"</f>
        <v>9781400344741</v>
      </c>
      <c r="H129">
        <v>0</v>
      </c>
      <c r="I129">
        <v>4.16</v>
      </c>
      <c r="J129" t="s">
        <v>713</v>
      </c>
      <c r="K129" t="s">
        <v>29</v>
      </c>
      <c r="L129">
        <v>384</v>
      </c>
      <c r="M129">
        <v>2025</v>
      </c>
      <c r="N129">
        <v>2025</v>
      </c>
      <c r="P129" s="1">
        <v>45689</v>
      </c>
      <c r="Q129" t="s">
        <v>30</v>
      </c>
      <c r="R129" t="s">
        <v>714</v>
      </c>
      <c r="S129" t="s">
        <v>30</v>
      </c>
      <c r="W129">
        <v>0</v>
      </c>
      <c r="X129">
        <v>0</v>
      </c>
      <c r="Y129" t="s">
        <v>38</v>
      </c>
    </row>
    <row r="130" spans="1:25" x14ac:dyDescent="0.35">
      <c r="A130">
        <v>60461898</v>
      </c>
      <c r="B130" t="s">
        <v>715</v>
      </c>
      <c r="C130" t="s">
        <v>116</v>
      </c>
      <c r="D130" t="s">
        <v>117</v>
      </c>
      <c r="F130" t="str">
        <f>"0063031361"</f>
        <v>0063031361</v>
      </c>
      <c r="G130" t="str">
        <f>"9780063031364"</f>
        <v>9780063031364</v>
      </c>
      <c r="H130">
        <v>0</v>
      </c>
      <c r="I130">
        <v>4.01</v>
      </c>
      <c r="J130" t="s">
        <v>119</v>
      </c>
      <c r="K130" t="s">
        <v>48</v>
      </c>
      <c r="L130">
        <v>466</v>
      </c>
      <c r="M130">
        <v>2022</v>
      </c>
      <c r="N130">
        <v>2022</v>
      </c>
      <c r="P130" s="1">
        <v>45689</v>
      </c>
      <c r="Q130" t="s">
        <v>30</v>
      </c>
      <c r="R130" t="s">
        <v>716</v>
      </c>
      <c r="S130" t="s">
        <v>30</v>
      </c>
      <c r="W130">
        <v>0</v>
      </c>
      <c r="X130">
        <v>0</v>
      </c>
      <c r="Y130" t="s">
        <v>32</v>
      </c>
    </row>
    <row r="131" spans="1:25" x14ac:dyDescent="0.35">
      <c r="A131">
        <v>10518339</v>
      </c>
      <c r="B131" t="s">
        <v>717</v>
      </c>
      <c r="C131" t="s">
        <v>718</v>
      </c>
      <c r="D131" t="s">
        <v>719</v>
      </c>
      <c r="F131" t="str">
        <f>"1553655060"</f>
        <v>1553655060</v>
      </c>
      <c r="G131" t="str">
        <f>"9781553655060"</f>
        <v>9781553655060</v>
      </c>
      <c r="H131">
        <v>0</v>
      </c>
      <c r="I131">
        <v>4.34</v>
      </c>
      <c r="J131" t="s">
        <v>720</v>
      </c>
      <c r="K131" t="s">
        <v>48</v>
      </c>
      <c r="L131">
        <v>272</v>
      </c>
      <c r="M131">
        <v>2011</v>
      </c>
      <c r="N131">
        <v>2011</v>
      </c>
      <c r="P131" s="1">
        <v>45689</v>
      </c>
      <c r="Q131" t="s">
        <v>30</v>
      </c>
      <c r="R131" t="s">
        <v>721</v>
      </c>
      <c r="S131" t="s">
        <v>30</v>
      </c>
      <c r="W131">
        <v>0</v>
      </c>
      <c r="X131">
        <v>0</v>
      </c>
      <c r="Y131" t="s">
        <v>38</v>
      </c>
    </row>
    <row r="132" spans="1:25" x14ac:dyDescent="0.35">
      <c r="A132">
        <v>36630895</v>
      </c>
      <c r="B132" t="s">
        <v>722</v>
      </c>
      <c r="C132" t="s">
        <v>723</v>
      </c>
      <c r="D132" t="s">
        <v>724</v>
      </c>
      <c r="F132" t="str">
        <f>"1496716876"</f>
        <v>1496716876</v>
      </c>
      <c r="G132" t="str">
        <f>"9781496716873"</f>
        <v>9781496716873</v>
      </c>
      <c r="H132">
        <v>0</v>
      </c>
      <c r="I132">
        <v>3.81</v>
      </c>
      <c r="J132" t="s">
        <v>725</v>
      </c>
      <c r="K132" t="s">
        <v>48</v>
      </c>
      <c r="L132">
        <v>272</v>
      </c>
      <c r="M132">
        <v>2018</v>
      </c>
      <c r="N132">
        <v>2018</v>
      </c>
      <c r="P132" s="1">
        <v>45689</v>
      </c>
      <c r="Q132" t="s">
        <v>30</v>
      </c>
      <c r="R132" t="s">
        <v>726</v>
      </c>
      <c r="S132" t="s">
        <v>30</v>
      </c>
      <c r="W132">
        <v>0</v>
      </c>
      <c r="X132">
        <v>0</v>
      </c>
      <c r="Y132" t="s">
        <v>542</v>
      </c>
    </row>
    <row r="133" spans="1:25" x14ac:dyDescent="0.35">
      <c r="A133">
        <v>58064046</v>
      </c>
      <c r="B133" t="s">
        <v>727</v>
      </c>
      <c r="C133" t="s">
        <v>728</v>
      </c>
      <c r="D133" t="s">
        <v>729</v>
      </c>
      <c r="E133" t="s">
        <v>730</v>
      </c>
      <c r="F133" t="str">
        <f>"0062835777"</f>
        <v>0062835777</v>
      </c>
      <c r="G133" t="str">
        <f>"9780062835772"</f>
        <v>9780062835772</v>
      </c>
      <c r="H133">
        <v>0</v>
      </c>
      <c r="I133">
        <v>3.71</v>
      </c>
      <c r="J133" t="s">
        <v>731</v>
      </c>
      <c r="K133" t="s">
        <v>48</v>
      </c>
      <c r="L133">
        <v>338</v>
      </c>
      <c r="M133">
        <v>2022</v>
      </c>
      <c r="N133">
        <v>2022</v>
      </c>
      <c r="P133" s="1">
        <v>45689</v>
      </c>
      <c r="Q133" t="s">
        <v>30</v>
      </c>
      <c r="R133" t="s">
        <v>732</v>
      </c>
      <c r="S133" t="s">
        <v>30</v>
      </c>
      <c r="W133">
        <v>0</v>
      </c>
      <c r="X133">
        <v>0</v>
      </c>
      <c r="Y133" t="s">
        <v>38</v>
      </c>
    </row>
    <row r="134" spans="1:25" x14ac:dyDescent="0.35">
      <c r="A134">
        <v>201335511</v>
      </c>
      <c r="B134" t="s">
        <v>733</v>
      </c>
      <c r="C134" t="s">
        <v>734</v>
      </c>
      <c r="D134" t="s">
        <v>735</v>
      </c>
      <c r="F134" t="str">
        <f>"1400344719"</f>
        <v>1400344719</v>
      </c>
      <c r="G134" t="str">
        <f>"9781400344710"</f>
        <v>9781400344710</v>
      </c>
      <c r="H134">
        <v>0</v>
      </c>
      <c r="I134">
        <v>4.0999999999999996</v>
      </c>
      <c r="J134" t="s">
        <v>713</v>
      </c>
      <c r="K134" t="s">
        <v>29</v>
      </c>
      <c r="L134">
        <v>368</v>
      </c>
      <c r="M134">
        <v>2024</v>
      </c>
      <c r="N134">
        <v>2017</v>
      </c>
      <c r="P134" s="1">
        <v>45689</v>
      </c>
      <c r="Q134" t="s">
        <v>30</v>
      </c>
      <c r="R134" t="s">
        <v>736</v>
      </c>
      <c r="S134" t="s">
        <v>30</v>
      </c>
      <c r="W134">
        <v>0</v>
      </c>
      <c r="X134">
        <v>0</v>
      </c>
      <c r="Y134" t="s">
        <v>38</v>
      </c>
    </row>
    <row r="135" spans="1:25" x14ac:dyDescent="0.35">
      <c r="A135">
        <v>203444096</v>
      </c>
      <c r="B135" t="s">
        <v>737</v>
      </c>
      <c r="C135" t="s">
        <v>738</v>
      </c>
      <c r="D135" t="s">
        <v>739</v>
      </c>
      <c r="F135" t="str">
        <f>""</f>
        <v/>
      </c>
      <c r="G135" t="str">
        <f>""</f>
        <v/>
      </c>
      <c r="H135">
        <v>0</v>
      </c>
      <c r="I135">
        <v>4.74</v>
      </c>
      <c r="J135" t="s">
        <v>740</v>
      </c>
      <c r="K135" t="s">
        <v>85</v>
      </c>
      <c r="L135">
        <v>197</v>
      </c>
      <c r="M135">
        <v>2024</v>
      </c>
      <c r="P135" s="1">
        <v>45689</v>
      </c>
      <c r="Q135" t="s">
        <v>30</v>
      </c>
      <c r="R135" t="s">
        <v>741</v>
      </c>
      <c r="S135" t="s">
        <v>30</v>
      </c>
      <c r="W135">
        <v>0</v>
      </c>
      <c r="X135">
        <v>0</v>
      </c>
      <c r="Y135" t="s">
        <v>38</v>
      </c>
    </row>
    <row r="136" spans="1:25" x14ac:dyDescent="0.35">
      <c r="A136">
        <v>223207919</v>
      </c>
      <c r="B136" t="s">
        <v>742</v>
      </c>
      <c r="C136" t="s">
        <v>743</v>
      </c>
      <c r="D136" t="s">
        <v>744</v>
      </c>
      <c r="F136" t="str">
        <f>"1946884324"</f>
        <v>1946884324</v>
      </c>
      <c r="G136" t="str">
        <f>"9781946884329"</f>
        <v>9781946884329</v>
      </c>
      <c r="H136">
        <v>0</v>
      </c>
      <c r="I136">
        <v>4.28</v>
      </c>
      <c r="J136" t="s">
        <v>745</v>
      </c>
      <c r="K136" t="s">
        <v>29</v>
      </c>
      <c r="L136">
        <v>386</v>
      </c>
      <c r="M136">
        <v>2025</v>
      </c>
      <c r="N136">
        <v>2025</v>
      </c>
      <c r="P136" s="1">
        <v>45689</v>
      </c>
      <c r="Q136" t="s">
        <v>30</v>
      </c>
      <c r="R136" t="s">
        <v>746</v>
      </c>
      <c r="S136" t="s">
        <v>30</v>
      </c>
      <c r="W136">
        <v>0</v>
      </c>
      <c r="X136">
        <v>0</v>
      </c>
      <c r="Y136" t="s">
        <v>38</v>
      </c>
    </row>
    <row r="137" spans="1:25" x14ac:dyDescent="0.35">
      <c r="A137">
        <v>42359583</v>
      </c>
      <c r="B137" t="s">
        <v>747</v>
      </c>
      <c r="C137" t="s">
        <v>748</v>
      </c>
      <c r="D137" t="s">
        <v>749</v>
      </c>
      <c r="F137" t="str">
        <f>"0525707794"</f>
        <v>0525707794</v>
      </c>
      <c r="G137" t="str">
        <f>"9780525707790"</f>
        <v>9780525707790</v>
      </c>
      <c r="H137">
        <v>0</v>
      </c>
      <c r="I137">
        <v>3.82</v>
      </c>
      <c r="J137" t="s">
        <v>472</v>
      </c>
      <c r="K137" t="s">
        <v>48</v>
      </c>
      <c r="L137">
        <v>446</v>
      </c>
      <c r="M137">
        <v>2019</v>
      </c>
      <c r="N137">
        <v>2019</v>
      </c>
      <c r="P137" s="1">
        <v>45689</v>
      </c>
      <c r="Q137" t="s">
        <v>30</v>
      </c>
      <c r="R137" t="s">
        <v>750</v>
      </c>
      <c r="S137" t="s">
        <v>30</v>
      </c>
      <c r="W137">
        <v>0</v>
      </c>
      <c r="X137">
        <v>0</v>
      </c>
      <c r="Y137" t="s">
        <v>38</v>
      </c>
    </row>
    <row r="138" spans="1:25" x14ac:dyDescent="0.35">
      <c r="A138">
        <v>26067944</v>
      </c>
      <c r="B138" t="s">
        <v>751</v>
      </c>
      <c r="C138" t="s">
        <v>752</v>
      </c>
      <c r="D138" t="s">
        <v>753</v>
      </c>
      <c r="F138" t="str">
        <f>"0425282376"</f>
        <v>0425282376</v>
      </c>
      <c r="G138" t="str">
        <f>"9780425282373"</f>
        <v>9780425282373</v>
      </c>
      <c r="H138">
        <v>0</v>
      </c>
      <c r="I138">
        <v>3.85</v>
      </c>
      <c r="J138" t="s">
        <v>754</v>
      </c>
      <c r="K138" t="s">
        <v>29</v>
      </c>
      <c r="L138">
        <v>357</v>
      </c>
      <c r="M138">
        <v>2016</v>
      </c>
      <c r="N138">
        <v>2016</v>
      </c>
      <c r="P138" s="1">
        <v>45689</v>
      </c>
      <c r="Q138" t="s">
        <v>30</v>
      </c>
      <c r="R138" t="s">
        <v>755</v>
      </c>
      <c r="S138" t="s">
        <v>30</v>
      </c>
      <c r="W138">
        <v>0</v>
      </c>
      <c r="X138">
        <v>0</v>
      </c>
      <c r="Y138" t="s">
        <v>38</v>
      </c>
    </row>
    <row r="139" spans="1:25" x14ac:dyDescent="0.35">
      <c r="A139">
        <v>133906</v>
      </c>
      <c r="B139" t="s">
        <v>756</v>
      </c>
      <c r="C139" t="s">
        <v>757</v>
      </c>
      <c r="D139" t="s">
        <v>758</v>
      </c>
      <c r="E139" t="s">
        <v>759</v>
      </c>
      <c r="F139" t="str">
        <f>"0679764089"</f>
        <v>0679764089</v>
      </c>
      <c r="G139" t="str">
        <f>"9780679764083"</f>
        <v>9780679764083</v>
      </c>
      <c r="H139">
        <v>0</v>
      </c>
      <c r="I139">
        <v>4.3600000000000003</v>
      </c>
      <c r="J139" t="s">
        <v>760</v>
      </c>
      <c r="K139" t="s">
        <v>29</v>
      </c>
      <c r="L139">
        <v>736</v>
      </c>
      <c r="M139">
        <v>1995</v>
      </c>
      <c r="N139">
        <v>1994</v>
      </c>
      <c r="P139" s="1">
        <v>45688</v>
      </c>
      <c r="Q139" t="s">
        <v>30</v>
      </c>
      <c r="R139" t="s">
        <v>761</v>
      </c>
      <c r="S139" t="s">
        <v>30</v>
      </c>
      <c r="W139">
        <v>0</v>
      </c>
      <c r="X139">
        <v>0</v>
      </c>
      <c r="Y139" t="s">
        <v>762</v>
      </c>
    </row>
    <row r="140" spans="1:25" x14ac:dyDescent="0.35">
      <c r="A140">
        <v>152660</v>
      </c>
      <c r="B140" t="s">
        <v>763</v>
      </c>
      <c r="C140" t="s">
        <v>757</v>
      </c>
      <c r="D140" t="s">
        <v>758</v>
      </c>
      <c r="E140" t="s">
        <v>764</v>
      </c>
      <c r="F140" t="str">
        <f>"0020209851"</f>
        <v>0020209851</v>
      </c>
      <c r="G140" t="str">
        <f>"9780020209850"</f>
        <v>9780020209850</v>
      </c>
      <c r="H140">
        <v>0</v>
      </c>
      <c r="I140">
        <v>4.2300000000000004</v>
      </c>
      <c r="J140" t="s">
        <v>765</v>
      </c>
      <c r="K140" t="s">
        <v>29</v>
      </c>
      <c r="L140">
        <v>299</v>
      </c>
      <c r="M140">
        <v>1995</v>
      </c>
      <c r="N140">
        <v>1930</v>
      </c>
      <c r="P140" s="1">
        <v>45688</v>
      </c>
      <c r="Q140" t="s">
        <v>30</v>
      </c>
      <c r="R140" t="s">
        <v>766</v>
      </c>
      <c r="S140" t="s">
        <v>30</v>
      </c>
      <c r="W140">
        <v>0</v>
      </c>
      <c r="X140">
        <v>0</v>
      </c>
      <c r="Y140" t="s">
        <v>38</v>
      </c>
    </row>
    <row r="141" spans="1:25" x14ac:dyDescent="0.35">
      <c r="A141">
        <v>4861295</v>
      </c>
      <c r="B141" t="s">
        <v>767</v>
      </c>
      <c r="C141" t="s">
        <v>718</v>
      </c>
      <c r="D141" t="s">
        <v>719</v>
      </c>
      <c r="F141" t="str">
        <f>"1553653645"</f>
        <v>1553653645</v>
      </c>
      <c r="G141" t="str">
        <f>"9781553653646"</f>
        <v>9781553653646</v>
      </c>
      <c r="H141">
        <v>0</v>
      </c>
      <c r="I141">
        <v>4.32</v>
      </c>
      <c r="J141" t="s">
        <v>720</v>
      </c>
      <c r="K141" t="s">
        <v>48</v>
      </c>
      <c r="L141">
        <v>240</v>
      </c>
      <c r="M141">
        <v>2008</v>
      </c>
      <c r="N141">
        <v>2008</v>
      </c>
      <c r="P141" s="1">
        <v>45687</v>
      </c>
      <c r="Q141" t="s">
        <v>30</v>
      </c>
      <c r="R141" t="s">
        <v>768</v>
      </c>
      <c r="S141" t="s">
        <v>30</v>
      </c>
      <c r="W141">
        <v>0</v>
      </c>
      <c r="X141">
        <v>0</v>
      </c>
      <c r="Y141" t="s">
        <v>38</v>
      </c>
    </row>
    <row r="142" spans="1:25" x14ac:dyDescent="0.35">
      <c r="A142">
        <v>54336436</v>
      </c>
      <c r="B142" t="s">
        <v>769</v>
      </c>
      <c r="C142" t="s">
        <v>770</v>
      </c>
      <c r="D142" t="s">
        <v>771</v>
      </c>
      <c r="F142" t="str">
        <f>"1984803751"</f>
        <v>1984803751</v>
      </c>
      <c r="G142" t="str">
        <f>"9781984803757"</f>
        <v>9781984803757</v>
      </c>
      <c r="H142">
        <v>0</v>
      </c>
      <c r="I142">
        <v>4.17</v>
      </c>
      <c r="J142" t="s">
        <v>772</v>
      </c>
      <c r="K142" t="s">
        <v>48</v>
      </c>
      <c r="L142">
        <v>432</v>
      </c>
      <c r="M142">
        <v>2021</v>
      </c>
      <c r="N142">
        <v>2021</v>
      </c>
      <c r="P142" s="1">
        <v>45687</v>
      </c>
      <c r="Q142" t="s">
        <v>30</v>
      </c>
      <c r="R142" t="s">
        <v>773</v>
      </c>
      <c r="S142" t="s">
        <v>30</v>
      </c>
      <c r="W142">
        <v>0</v>
      </c>
      <c r="X142">
        <v>0</v>
      </c>
      <c r="Y142" t="s">
        <v>38</v>
      </c>
    </row>
    <row r="143" spans="1:25" x14ac:dyDescent="0.35">
      <c r="A143">
        <v>31447833</v>
      </c>
      <c r="B143" t="s">
        <v>774</v>
      </c>
      <c r="C143" t="s">
        <v>775</v>
      </c>
      <c r="D143" t="s">
        <v>776</v>
      </c>
      <c r="E143" t="s">
        <v>777</v>
      </c>
      <c r="F143" t="str">
        <f>"1611720389"</f>
        <v>1611720389</v>
      </c>
      <c r="G143" t="str">
        <f>"9781611720389"</f>
        <v>9781611720389</v>
      </c>
      <c r="H143">
        <v>0</v>
      </c>
      <c r="I143">
        <v>4.42</v>
      </c>
      <c r="J143" t="s">
        <v>778</v>
      </c>
      <c r="K143" t="s">
        <v>29</v>
      </c>
      <c r="L143">
        <v>304</v>
      </c>
      <c r="M143">
        <v>2016</v>
      </c>
      <c r="P143" s="1">
        <v>45687</v>
      </c>
      <c r="Q143" t="s">
        <v>30</v>
      </c>
      <c r="R143" t="s">
        <v>779</v>
      </c>
      <c r="S143" t="s">
        <v>30</v>
      </c>
      <c r="W143">
        <v>0</v>
      </c>
      <c r="X143">
        <v>0</v>
      </c>
      <c r="Y143" t="s">
        <v>32</v>
      </c>
    </row>
    <row r="144" spans="1:25" x14ac:dyDescent="0.35">
      <c r="A144">
        <v>73906</v>
      </c>
      <c r="B144" t="s">
        <v>780</v>
      </c>
      <c r="C144" t="s">
        <v>781</v>
      </c>
      <c r="D144" t="s">
        <v>782</v>
      </c>
      <c r="F144" t="str">
        <f>""</f>
        <v/>
      </c>
      <c r="G144" t="str">
        <f>""</f>
        <v/>
      </c>
      <c r="H144">
        <v>0</v>
      </c>
      <c r="I144">
        <v>4.01</v>
      </c>
      <c r="J144" t="s">
        <v>119</v>
      </c>
      <c r="K144" t="s">
        <v>228</v>
      </c>
      <c r="L144">
        <v>496</v>
      </c>
      <c r="M144">
        <v>1998</v>
      </c>
      <c r="N144">
        <v>1987</v>
      </c>
      <c r="P144" s="1">
        <v>45686</v>
      </c>
      <c r="Q144" t="s">
        <v>30</v>
      </c>
      <c r="R144" t="s">
        <v>783</v>
      </c>
      <c r="S144" t="s">
        <v>30</v>
      </c>
      <c r="W144">
        <v>0</v>
      </c>
      <c r="X144">
        <v>0</v>
      </c>
      <c r="Y144" t="s">
        <v>173</v>
      </c>
    </row>
    <row r="145" spans="1:25" x14ac:dyDescent="0.35">
      <c r="A145">
        <v>213889056</v>
      </c>
      <c r="B145" t="s">
        <v>784</v>
      </c>
      <c r="C145" t="s">
        <v>785</v>
      </c>
      <c r="D145" t="s">
        <v>786</v>
      </c>
      <c r="F145" t="str">
        <f>""</f>
        <v/>
      </c>
      <c r="G145" t="str">
        <f>"9798886051414"</f>
        <v>9798886051414</v>
      </c>
      <c r="H145">
        <v>0</v>
      </c>
      <c r="I145">
        <v>4.43</v>
      </c>
      <c r="J145" t="s">
        <v>131</v>
      </c>
      <c r="K145" t="s">
        <v>85</v>
      </c>
      <c r="L145">
        <v>340</v>
      </c>
      <c r="M145">
        <v>2024</v>
      </c>
      <c r="P145" s="1">
        <v>45683</v>
      </c>
      <c r="Q145" t="s">
        <v>30</v>
      </c>
      <c r="R145" t="s">
        <v>787</v>
      </c>
      <c r="S145" t="s">
        <v>30</v>
      </c>
      <c r="W145">
        <v>0</v>
      </c>
      <c r="X145">
        <v>0</v>
      </c>
      <c r="Y145" t="s">
        <v>32</v>
      </c>
    </row>
    <row r="146" spans="1:25" x14ac:dyDescent="0.35">
      <c r="A146">
        <v>63264519</v>
      </c>
      <c r="B146" t="s">
        <v>788</v>
      </c>
      <c r="C146" t="s">
        <v>88</v>
      </c>
      <c r="D146" t="s">
        <v>89</v>
      </c>
      <c r="F146" t="str">
        <f>"1728270251"</f>
        <v>1728270251</v>
      </c>
      <c r="G146" t="str">
        <f>"9781728270258"</f>
        <v>9781728270258</v>
      </c>
      <c r="H146">
        <v>0</v>
      </c>
      <c r="I146">
        <v>3.82</v>
      </c>
      <c r="J146" t="s">
        <v>90</v>
      </c>
      <c r="K146" t="s">
        <v>29</v>
      </c>
      <c r="L146">
        <v>341</v>
      </c>
      <c r="M146">
        <v>2023</v>
      </c>
      <c r="N146">
        <v>2023</v>
      </c>
      <c r="P146" s="1">
        <v>45685</v>
      </c>
      <c r="Q146" t="s">
        <v>30</v>
      </c>
      <c r="R146" t="s">
        <v>789</v>
      </c>
      <c r="S146" t="s">
        <v>30</v>
      </c>
      <c r="W146">
        <v>0</v>
      </c>
      <c r="X146">
        <v>0</v>
      </c>
      <c r="Y146" t="s">
        <v>38</v>
      </c>
    </row>
    <row r="147" spans="1:25" x14ac:dyDescent="0.35">
      <c r="A147">
        <v>199216118</v>
      </c>
      <c r="B147" t="s">
        <v>790</v>
      </c>
      <c r="C147" t="s">
        <v>791</v>
      </c>
      <c r="D147" t="s">
        <v>792</v>
      </c>
      <c r="F147" t="str">
        <f>"1496742931"</f>
        <v>1496742931</v>
      </c>
      <c r="G147" t="str">
        <f>"9781496742933"</f>
        <v>9781496742933</v>
      </c>
      <c r="H147">
        <v>0</v>
      </c>
      <c r="I147">
        <v>3.69</v>
      </c>
      <c r="J147" t="s">
        <v>793</v>
      </c>
      <c r="K147" t="s">
        <v>29</v>
      </c>
      <c r="L147">
        <v>304</v>
      </c>
      <c r="M147">
        <v>2024</v>
      </c>
      <c r="N147">
        <v>2024</v>
      </c>
      <c r="P147" s="1">
        <v>45684</v>
      </c>
      <c r="Q147" t="s">
        <v>30</v>
      </c>
      <c r="R147" t="s">
        <v>794</v>
      </c>
      <c r="S147" t="s">
        <v>30</v>
      </c>
      <c r="W147">
        <v>0</v>
      </c>
      <c r="X147">
        <v>0</v>
      </c>
      <c r="Y147" t="s">
        <v>38</v>
      </c>
    </row>
    <row r="148" spans="1:25" x14ac:dyDescent="0.35">
      <c r="A148">
        <v>199797561</v>
      </c>
      <c r="B148" t="s">
        <v>795</v>
      </c>
      <c r="C148" t="s">
        <v>796</v>
      </c>
      <c r="D148" t="s">
        <v>797</v>
      </c>
      <c r="F148" t="str">
        <f>"1668051028"</f>
        <v>1668051028</v>
      </c>
      <c r="G148" t="str">
        <f>"9781668051023"</f>
        <v>9781668051023</v>
      </c>
      <c r="H148">
        <v>0</v>
      </c>
      <c r="I148">
        <v>3.78</v>
      </c>
      <c r="J148" t="s">
        <v>798</v>
      </c>
      <c r="K148" t="s">
        <v>48</v>
      </c>
      <c r="L148">
        <v>368</v>
      </c>
      <c r="M148">
        <v>2024</v>
      </c>
      <c r="N148">
        <v>2024</v>
      </c>
      <c r="P148" s="1">
        <v>45684</v>
      </c>
      <c r="Q148" t="s">
        <v>30</v>
      </c>
      <c r="R148" t="s">
        <v>799</v>
      </c>
      <c r="S148" t="s">
        <v>30</v>
      </c>
      <c r="W148">
        <v>0</v>
      </c>
      <c r="X148">
        <v>0</v>
      </c>
      <c r="Y148" t="s">
        <v>38</v>
      </c>
    </row>
    <row r="149" spans="1:25" x14ac:dyDescent="0.35">
      <c r="A149">
        <v>203163900</v>
      </c>
      <c r="B149" t="s">
        <v>800</v>
      </c>
      <c r="C149" t="s">
        <v>801</v>
      </c>
      <c r="D149" t="s">
        <v>802</v>
      </c>
      <c r="F149" t="str">
        <f>"0316573094"</f>
        <v>0316573094</v>
      </c>
      <c r="G149" t="str">
        <f>"9780316573092"</f>
        <v>9780316573092</v>
      </c>
      <c r="H149">
        <v>0</v>
      </c>
      <c r="I149">
        <v>3.88</v>
      </c>
      <c r="J149" t="s">
        <v>803</v>
      </c>
      <c r="K149" t="s">
        <v>29</v>
      </c>
      <c r="L149">
        <v>496</v>
      </c>
      <c r="M149">
        <v>2024</v>
      </c>
      <c r="N149">
        <v>2024</v>
      </c>
      <c r="P149" s="1">
        <v>45684</v>
      </c>
      <c r="Q149" t="s">
        <v>30</v>
      </c>
      <c r="R149" t="s">
        <v>804</v>
      </c>
      <c r="S149" t="s">
        <v>30</v>
      </c>
      <c r="W149">
        <v>0</v>
      </c>
      <c r="X149">
        <v>0</v>
      </c>
      <c r="Y149" t="s">
        <v>38</v>
      </c>
    </row>
    <row r="150" spans="1:25" x14ac:dyDescent="0.35">
      <c r="A150">
        <v>197522445</v>
      </c>
      <c r="B150" t="s">
        <v>805</v>
      </c>
      <c r="C150" t="s">
        <v>806</v>
      </c>
      <c r="D150" t="s">
        <v>807</v>
      </c>
      <c r="F150" t="str">
        <f>"1496741684"</f>
        <v>1496741684</v>
      </c>
      <c r="G150" t="str">
        <f>"9781496741684"</f>
        <v>9781496741684</v>
      </c>
      <c r="H150">
        <v>0</v>
      </c>
      <c r="I150">
        <v>4.0999999999999996</v>
      </c>
      <c r="J150" t="s">
        <v>808</v>
      </c>
      <c r="K150" t="s">
        <v>29</v>
      </c>
      <c r="L150">
        <v>384</v>
      </c>
      <c r="M150">
        <v>2024</v>
      </c>
      <c r="N150">
        <v>2024</v>
      </c>
      <c r="P150" s="1">
        <v>45684</v>
      </c>
      <c r="Q150" t="s">
        <v>30</v>
      </c>
      <c r="R150" t="s">
        <v>809</v>
      </c>
      <c r="S150" t="s">
        <v>30</v>
      </c>
      <c r="W150">
        <v>0</v>
      </c>
      <c r="X150">
        <v>0</v>
      </c>
      <c r="Y150" t="s">
        <v>38</v>
      </c>
    </row>
    <row r="151" spans="1:25" x14ac:dyDescent="0.35">
      <c r="A151">
        <v>205762585</v>
      </c>
      <c r="B151" t="s">
        <v>810</v>
      </c>
      <c r="C151" t="s">
        <v>811</v>
      </c>
      <c r="D151" t="s">
        <v>812</v>
      </c>
      <c r="F151" t="str">
        <f>"1496745973"</f>
        <v>1496745973</v>
      </c>
      <c r="G151" t="str">
        <f>"9781496745972"</f>
        <v>9781496745972</v>
      </c>
      <c r="H151">
        <v>0</v>
      </c>
      <c r="I151">
        <v>3.65</v>
      </c>
      <c r="J151" t="s">
        <v>808</v>
      </c>
      <c r="K151" t="s">
        <v>48</v>
      </c>
      <c r="L151">
        <v>400</v>
      </c>
      <c r="M151">
        <v>2024</v>
      </c>
      <c r="P151" s="1">
        <v>45684</v>
      </c>
      <c r="Q151" t="s">
        <v>30</v>
      </c>
      <c r="R151" t="s">
        <v>813</v>
      </c>
      <c r="S151" t="s">
        <v>30</v>
      </c>
      <c r="W151">
        <v>0</v>
      </c>
      <c r="X151">
        <v>0</v>
      </c>
      <c r="Y151" t="s">
        <v>38</v>
      </c>
    </row>
    <row r="152" spans="1:25" x14ac:dyDescent="0.35">
      <c r="A152">
        <v>209351075</v>
      </c>
      <c r="B152" t="s">
        <v>814</v>
      </c>
      <c r="C152" t="s">
        <v>706</v>
      </c>
      <c r="D152" t="s">
        <v>707</v>
      </c>
      <c r="F152" t="str">
        <f>"0764242563"</f>
        <v>0764242563</v>
      </c>
      <c r="G152" t="str">
        <f>"9780764242564"</f>
        <v>9780764242564</v>
      </c>
      <c r="H152">
        <v>0</v>
      </c>
      <c r="I152">
        <v>4.2</v>
      </c>
      <c r="J152" t="s">
        <v>36</v>
      </c>
      <c r="K152" t="s">
        <v>29</v>
      </c>
      <c r="L152">
        <v>368</v>
      </c>
      <c r="M152">
        <v>2024</v>
      </c>
      <c r="N152">
        <v>2024</v>
      </c>
      <c r="P152" s="1">
        <v>45684</v>
      </c>
      <c r="Q152" t="s">
        <v>30</v>
      </c>
      <c r="R152" t="s">
        <v>815</v>
      </c>
      <c r="S152" t="s">
        <v>30</v>
      </c>
      <c r="W152">
        <v>0</v>
      </c>
      <c r="X152">
        <v>0</v>
      </c>
      <c r="Y152" t="s">
        <v>38</v>
      </c>
    </row>
    <row r="153" spans="1:25" x14ac:dyDescent="0.35">
      <c r="A153">
        <v>56319532</v>
      </c>
      <c r="B153" t="s">
        <v>816</v>
      </c>
      <c r="C153" t="s">
        <v>706</v>
      </c>
      <c r="D153" t="s">
        <v>707</v>
      </c>
      <c r="F153" t="str">
        <f>"163609063X"</f>
        <v>163609063X</v>
      </c>
      <c r="G153" t="str">
        <f>"9781636090634"</f>
        <v>9781636090634</v>
      </c>
      <c r="H153">
        <v>0</v>
      </c>
      <c r="I153">
        <v>4.17</v>
      </c>
      <c r="J153" t="s">
        <v>817</v>
      </c>
      <c r="K153" t="s">
        <v>85</v>
      </c>
      <c r="L153">
        <v>294</v>
      </c>
      <c r="M153">
        <v>2021</v>
      </c>
      <c r="N153">
        <v>2021</v>
      </c>
      <c r="P153" s="1">
        <v>45684</v>
      </c>
      <c r="Q153" t="s">
        <v>30</v>
      </c>
      <c r="R153" t="s">
        <v>818</v>
      </c>
      <c r="S153" t="s">
        <v>30</v>
      </c>
      <c r="W153">
        <v>0</v>
      </c>
      <c r="X153">
        <v>0</v>
      </c>
      <c r="Y153" t="s">
        <v>38</v>
      </c>
    </row>
    <row r="154" spans="1:25" x14ac:dyDescent="0.35">
      <c r="A154">
        <v>62611264</v>
      </c>
      <c r="B154" t="s">
        <v>819</v>
      </c>
      <c r="C154" t="s">
        <v>820</v>
      </c>
      <c r="D154" t="s">
        <v>821</v>
      </c>
      <c r="F154" t="str">
        <f>"0764240927"</f>
        <v>0764240927</v>
      </c>
      <c r="G154" t="str">
        <f>"9780764240928"</f>
        <v>9780764240928</v>
      </c>
      <c r="H154">
        <v>0</v>
      </c>
      <c r="I154">
        <v>4.25</v>
      </c>
      <c r="J154" t="s">
        <v>36</v>
      </c>
      <c r="K154" t="s">
        <v>29</v>
      </c>
      <c r="L154">
        <v>400</v>
      </c>
      <c r="M154">
        <v>2023</v>
      </c>
      <c r="N154">
        <v>2023</v>
      </c>
      <c r="P154" s="1">
        <v>45684</v>
      </c>
      <c r="Q154" t="s">
        <v>30</v>
      </c>
      <c r="R154" t="s">
        <v>822</v>
      </c>
      <c r="S154" t="s">
        <v>30</v>
      </c>
      <c r="W154">
        <v>0</v>
      </c>
      <c r="X154">
        <v>0</v>
      </c>
      <c r="Y154" t="s">
        <v>38</v>
      </c>
    </row>
    <row r="155" spans="1:25" x14ac:dyDescent="0.35">
      <c r="A155">
        <v>28110852</v>
      </c>
      <c r="B155" t="s">
        <v>823</v>
      </c>
      <c r="C155" t="s">
        <v>824</v>
      </c>
      <c r="D155" t="s">
        <v>825</v>
      </c>
      <c r="F155" t="str">
        <f>"1616205679"</f>
        <v>1616205679</v>
      </c>
      <c r="G155" t="str">
        <f>"9781616205676"</f>
        <v>9781616205676</v>
      </c>
      <c r="H155">
        <v>0</v>
      </c>
      <c r="I155">
        <v>4.12</v>
      </c>
      <c r="J155" t="s">
        <v>185</v>
      </c>
      <c r="K155" t="s">
        <v>48</v>
      </c>
      <c r="L155">
        <v>388</v>
      </c>
      <c r="M155">
        <v>2016</v>
      </c>
      <c r="N155">
        <v>2016</v>
      </c>
      <c r="P155" s="1">
        <v>45684</v>
      </c>
      <c r="Q155" t="s">
        <v>30</v>
      </c>
      <c r="R155" t="s">
        <v>826</v>
      </c>
      <c r="S155" t="s">
        <v>30</v>
      </c>
      <c r="W155">
        <v>0</v>
      </c>
      <c r="X155">
        <v>0</v>
      </c>
      <c r="Y155" t="s">
        <v>38</v>
      </c>
    </row>
    <row r="156" spans="1:25" x14ac:dyDescent="0.35">
      <c r="A156">
        <v>46123742</v>
      </c>
      <c r="B156" t="s">
        <v>827</v>
      </c>
      <c r="C156" t="s">
        <v>828</v>
      </c>
      <c r="D156" t="s">
        <v>829</v>
      </c>
      <c r="F156" t="str">
        <f>"1510105948"</f>
        <v>1510105948</v>
      </c>
      <c r="G156" t="str">
        <f>"9781510105942"</f>
        <v>9781510105942</v>
      </c>
      <c r="H156">
        <v>0</v>
      </c>
      <c r="I156">
        <v>4.05</v>
      </c>
      <c r="J156" t="s">
        <v>830</v>
      </c>
      <c r="K156" t="s">
        <v>29</v>
      </c>
      <c r="L156">
        <v>376</v>
      </c>
      <c r="M156">
        <v>2020</v>
      </c>
      <c r="N156">
        <v>2020</v>
      </c>
      <c r="P156" s="1">
        <v>45684</v>
      </c>
      <c r="Q156" t="s">
        <v>30</v>
      </c>
      <c r="R156" t="s">
        <v>831</v>
      </c>
      <c r="S156" t="s">
        <v>30</v>
      </c>
      <c r="W156">
        <v>0</v>
      </c>
      <c r="X156">
        <v>0</v>
      </c>
      <c r="Y156" t="s">
        <v>38</v>
      </c>
    </row>
    <row r="157" spans="1:25" x14ac:dyDescent="0.35">
      <c r="A157">
        <v>203019740</v>
      </c>
      <c r="B157" t="s">
        <v>832</v>
      </c>
      <c r="C157" t="s">
        <v>833</v>
      </c>
      <c r="D157" t="s">
        <v>834</v>
      </c>
      <c r="F157" t="str">
        <f>"0593798872"</f>
        <v>0593798872</v>
      </c>
      <c r="G157" t="str">
        <f>"9780593798874"</f>
        <v>9780593798874</v>
      </c>
      <c r="H157">
        <v>0</v>
      </c>
      <c r="I157">
        <v>4.32</v>
      </c>
      <c r="J157" t="s">
        <v>835</v>
      </c>
      <c r="K157" t="s">
        <v>48</v>
      </c>
      <c r="L157">
        <v>608</v>
      </c>
      <c r="M157">
        <v>2024</v>
      </c>
      <c r="N157">
        <v>2024</v>
      </c>
      <c r="P157" s="1">
        <v>45684</v>
      </c>
      <c r="Q157" t="s">
        <v>30</v>
      </c>
      <c r="R157" t="s">
        <v>836</v>
      </c>
      <c r="S157" t="s">
        <v>30</v>
      </c>
      <c r="W157">
        <v>0</v>
      </c>
      <c r="X157">
        <v>0</v>
      </c>
      <c r="Y157" t="s">
        <v>38</v>
      </c>
    </row>
    <row r="158" spans="1:25" x14ac:dyDescent="0.35">
      <c r="A158">
        <v>123162441</v>
      </c>
      <c r="B158" t="s">
        <v>837</v>
      </c>
      <c r="C158" t="s">
        <v>838</v>
      </c>
      <c r="D158" t="s">
        <v>839</v>
      </c>
      <c r="F158" t="str">
        <f>""</f>
        <v/>
      </c>
      <c r="G158" t="str">
        <f>"9798987757109"</f>
        <v>9798987757109</v>
      </c>
      <c r="H158">
        <v>0</v>
      </c>
      <c r="I158">
        <v>4.24</v>
      </c>
      <c r="J158" t="s">
        <v>840</v>
      </c>
      <c r="K158" t="s">
        <v>85</v>
      </c>
      <c r="L158">
        <v>332</v>
      </c>
      <c r="M158">
        <v>2023</v>
      </c>
      <c r="P158" s="1">
        <v>45684</v>
      </c>
      <c r="Q158" t="s">
        <v>30</v>
      </c>
      <c r="R158" t="s">
        <v>841</v>
      </c>
      <c r="S158" t="s">
        <v>30</v>
      </c>
      <c r="W158">
        <v>0</v>
      </c>
      <c r="X158">
        <v>0</v>
      </c>
      <c r="Y158" t="s">
        <v>38</v>
      </c>
    </row>
    <row r="159" spans="1:25" x14ac:dyDescent="0.35">
      <c r="A159">
        <v>164794237</v>
      </c>
      <c r="B159" t="s">
        <v>842</v>
      </c>
      <c r="C159" t="s">
        <v>843</v>
      </c>
      <c r="D159" t="s">
        <v>844</v>
      </c>
      <c r="F159" t="str">
        <f>""</f>
        <v/>
      </c>
      <c r="G159" t="str">
        <f>""</f>
        <v/>
      </c>
      <c r="H159">
        <v>0</v>
      </c>
      <c r="I159">
        <v>4.3</v>
      </c>
      <c r="J159" t="s">
        <v>131</v>
      </c>
      <c r="K159" t="s">
        <v>48</v>
      </c>
      <c r="L159">
        <v>320</v>
      </c>
      <c r="M159">
        <v>2024</v>
      </c>
      <c r="P159" s="1">
        <v>45684</v>
      </c>
      <c r="Q159" t="s">
        <v>30</v>
      </c>
      <c r="R159" t="s">
        <v>845</v>
      </c>
      <c r="S159" t="s">
        <v>30</v>
      </c>
      <c r="W159">
        <v>0</v>
      </c>
      <c r="X159">
        <v>0</v>
      </c>
      <c r="Y159" t="s">
        <v>38</v>
      </c>
    </row>
    <row r="160" spans="1:25" x14ac:dyDescent="0.35">
      <c r="A160">
        <v>58046023</v>
      </c>
      <c r="B160" t="s">
        <v>846</v>
      </c>
      <c r="C160" t="s">
        <v>847</v>
      </c>
      <c r="D160" t="s">
        <v>848</v>
      </c>
      <c r="F160" t="str">
        <f>"1621841995"</f>
        <v>1621841995</v>
      </c>
      <c r="G160" t="str">
        <f>"9781621841999"</f>
        <v>9781621841999</v>
      </c>
      <c r="H160">
        <v>0</v>
      </c>
      <c r="I160">
        <v>4.32</v>
      </c>
      <c r="J160" t="s">
        <v>131</v>
      </c>
      <c r="K160" t="s">
        <v>48</v>
      </c>
      <c r="L160">
        <v>354</v>
      </c>
      <c r="M160">
        <v>2021</v>
      </c>
      <c r="N160">
        <v>2021</v>
      </c>
      <c r="P160" s="1">
        <v>45684</v>
      </c>
      <c r="Q160" t="s">
        <v>30</v>
      </c>
      <c r="R160" t="s">
        <v>849</v>
      </c>
      <c r="S160" t="s">
        <v>30</v>
      </c>
      <c r="W160">
        <v>0</v>
      </c>
      <c r="X160">
        <v>0</v>
      </c>
      <c r="Y160" t="s">
        <v>504</v>
      </c>
    </row>
    <row r="161" spans="1:25" x14ac:dyDescent="0.35">
      <c r="A161">
        <v>61030596</v>
      </c>
      <c r="B161" t="s">
        <v>850</v>
      </c>
      <c r="C161" t="s">
        <v>851</v>
      </c>
      <c r="D161" t="s">
        <v>852</v>
      </c>
      <c r="F161" t="str">
        <f>"1368082858"</f>
        <v>1368082858</v>
      </c>
      <c r="G161" t="str">
        <f>"9781368082853"</f>
        <v>9781368082853</v>
      </c>
      <c r="H161">
        <v>0</v>
      </c>
      <c r="I161">
        <v>4.3</v>
      </c>
      <c r="J161" t="s">
        <v>853</v>
      </c>
      <c r="K161" t="s">
        <v>48</v>
      </c>
      <c r="L161">
        <v>320</v>
      </c>
      <c r="M161">
        <v>2023</v>
      </c>
      <c r="N161">
        <v>2023</v>
      </c>
      <c r="P161" s="1">
        <v>45683</v>
      </c>
      <c r="Q161" t="s">
        <v>30</v>
      </c>
      <c r="R161" t="s">
        <v>854</v>
      </c>
      <c r="S161" t="s">
        <v>30</v>
      </c>
      <c r="W161">
        <v>0</v>
      </c>
      <c r="X161">
        <v>0</v>
      </c>
      <c r="Y161" t="s">
        <v>38</v>
      </c>
    </row>
    <row r="162" spans="1:25" x14ac:dyDescent="0.35">
      <c r="A162">
        <v>48815591</v>
      </c>
      <c r="B162" t="s">
        <v>855</v>
      </c>
      <c r="C162" t="s">
        <v>856</v>
      </c>
      <c r="D162" t="s">
        <v>857</v>
      </c>
      <c r="F162" t="str">
        <f>""</f>
        <v/>
      </c>
      <c r="G162" t="str">
        <f>""</f>
        <v/>
      </c>
      <c r="H162">
        <v>0</v>
      </c>
      <c r="I162">
        <v>4.47</v>
      </c>
      <c r="K162" t="s">
        <v>85</v>
      </c>
      <c r="L162">
        <v>0</v>
      </c>
      <c r="M162">
        <v>2019</v>
      </c>
      <c r="N162">
        <v>2019</v>
      </c>
      <c r="P162" s="1">
        <v>45683</v>
      </c>
      <c r="Q162" t="s">
        <v>30</v>
      </c>
      <c r="R162" t="s">
        <v>858</v>
      </c>
      <c r="S162" t="s">
        <v>30</v>
      </c>
      <c r="W162">
        <v>0</v>
      </c>
      <c r="X162">
        <v>0</v>
      </c>
      <c r="Y162" t="s">
        <v>38</v>
      </c>
    </row>
    <row r="163" spans="1:25" x14ac:dyDescent="0.35">
      <c r="A163">
        <v>220201480</v>
      </c>
      <c r="B163" t="s">
        <v>859</v>
      </c>
      <c r="C163" t="s">
        <v>856</v>
      </c>
      <c r="D163" t="s">
        <v>857</v>
      </c>
      <c r="F163" t="str">
        <f>""</f>
        <v/>
      </c>
      <c r="G163" t="str">
        <f>"9798891511415"</f>
        <v>9798891511415</v>
      </c>
      <c r="H163">
        <v>0</v>
      </c>
      <c r="I163">
        <v>4</v>
      </c>
      <c r="J163" t="s">
        <v>708</v>
      </c>
      <c r="K163" t="s">
        <v>29</v>
      </c>
      <c r="L163">
        <v>320</v>
      </c>
      <c r="M163">
        <v>2025</v>
      </c>
      <c r="P163" s="1">
        <v>45683</v>
      </c>
      <c r="Q163" t="s">
        <v>30</v>
      </c>
      <c r="R163" t="s">
        <v>860</v>
      </c>
      <c r="S163" t="s">
        <v>30</v>
      </c>
      <c r="W163">
        <v>0</v>
      </c>
      <c r="X163">
        <v>0</v>
      </c>
      <c r="Y163" t="s">
        <v>542</v>
      </c>
    </row>
    <row r="164" spans="1:25" x14ac:dyDescent="0.35">
      <c r="A164">
        <v>177677940</v>
      </c>
      <c r="B164" t="s">
        <v>861</v>
      </c>
      <c r="C164" t="s">
        <v>856</v>
      </c>
      <c r="D164" t="s">
        <v>857</v>
      </c>
      <c r="F164" t="str">
        <f>"1636096956"</f>
        <v>1636096956</v>
      </c>
      <c r="G164" t="str">
        <f>"9781636096957"</f>
        <v>9781636096957</v>
      </c>
      <c r="H164">
        <v>0</v>
      </c>
      <c r="I164">
        <v>4.37</v>
      </c>
      <c r="J164" t="s">
        <v>708</v>
      </c>
      <c r="K164" t="s">
        <v>85</v>
      </c>
      <c r="L164">
        <v>323</v>
      </c>
      <c r="M164">
        <v>2023</v>
      </c>
      <c r="N164">
        <v>2023</v>
      </c>
      <c r="P164" s="1">
        <v>45683</v>
      </c>
      <c r="Q164" t="s">
        <v>30</v>
      </c>
      <c r="R164" t="s">
        <v>862</v>
      </c>
      <c r="S164" t="s">
        <v>30</v>
      </c>
      <c r="W164">
        <v>0</v>
      </c>
      <c r="X164">
        <v>0</v>
      </c>
      <c r="Y164" t="s">
        <v>542</v>
      </c>
    </row>
    <row r="165" spans="1:25" x14ac:dyDescent="0.35">
      <c r="A165">
        <v>74854938</v>
      </c>
      <c r="B165" t="s">
        <v>863</v>
      </c>
      <c r="C165" t="s">
        <v>856</v>
      </c>
      <c r="D165" t="s">
        <v>857</v>
      </c>
      <c r="F165" t="str">
        <f>"1636094732"</f>
        <v>1636094732</v>
      </c>
      <c r="G165" t="str">
        <f>"9781636094731"</f>
        <v>9781636094731</v>
      </c>
      <c r="H165">
        <v>0</v>
      </c>
      <c r="I165">
        <v>4.21</v>
      </c>
      <c r="J165" t="s">
        <v>708</v>
      </c>
      <c r="K165" t="s">
        <v>85</v>
      </c>
      <c r="L165">
        <v>322</v>
      </c>
      <c r="M165">
        <v>2023</v>
      </c>
      <c r="N165">
        <v>2023</v>
      </c>
      <c r="P165" s="1">
        <v>45683</v>
      </c>
      <c r="Q165" t="s">
        <v>30</v>
      </c>
      <c r="R165" t="s">
        <v>864</v>
      </c>
      <c r="S165" t="s">
        <v>30</v>
      </c>
      <c r="W165">
        <v>0</v>
      </c>
      <c r="X165">
        <v>0</v>
      </c>
      <c r="Y165" t="s">
        <v>542</v>
      </c>
    </row>
    <row r="166" spans="1:25" x14ac:dyDescent="0.35">
      <c r="A166">
        <v>17910164</v>
      </c>
      <c r="B166" t="s">
        <v>865</v>
      </c>
      <c r="C166" t="s">
        <v>866</v>
      </c>
      <c r="D166" t="s">
        <v>867</v>
      </c>
      <c r="F166" t="str">
        <f>"0765375079"</f>
        <v>0765375079</v>
      </c>
      <c r="G166" t="str">
        <f>"9780765375070"</f>
        <v>9780765375070</v>
      </c>
      <c r="H166">
        <v>0</v>
      </c>
      <c r="I166">
        <v>3.83</v>
      </c>
      <c r="J166" t="s">
        <v>868</v>
      </c>
      <c r="K166" t="s">
        <v>29</v>
      </c>
      <c r="L166">
        <v>334</v>
      </c>
      <c r="M166">
        <v>2014</v>
      </c>
      <c r="N166">
        <v>2013</v>
      </c>
      <c r="P166" s="1">
        <v>45683</v>
      </c>
      <c r="Q166" t="s">
        <v>30</v>
      </c>
      <c r="R166" t="s">
        <v>869</v>
      </c>
      <c r="S166" t="s">
        <v>30</v>
      </c>
      <c r="W166">
        <v>0</v>
      </c>
      <c r="X166">
        <v>0</v>
      </c>
      <c r="Y166" t="s">
        <v>173</v>
      </c>
    </row>
    <row r="167" spans="1:25" x14ac:dyDescent="0.35">
      <c r="A167">
        <v>220161038</v>
      </c>
      <c r="B167" t="s">
        <v>870</v>
      </c>
      <c r="C167" t="s">
        <v>871</v>
      </c>
      <c r="D167" t="s">
        <v>872</v>
      </c>
      <c r="F167" t="str">
        <f>"1668017148"</f>
        <v>1668017148</v>
      </c>
      <c r="G167" t="str">
        <f>"9781668017142"</f>
        <v>9781668017142</v>
      </c>
      <c r="H167">
        <v>0</v>
      </c>
      <c r="I167">
        <v>4</v>
      </c>
      <c r="J167" t="s">
        <v>873</v>
      </c>
      <c r="K167" t="s">
        <v>48</v>
      </c>
      <c r="L167">
        <v>512</v>
      </c>
      <c r="M167">
        <v>2025</v>
      </c>
      <c r="P167" s="1">
        <v>45683</v>
      </c>
      <c r="Q167" t="s">
        <v>30</v>
      </c>
      <c r="R167" t="s">
        <v>874</v>
      </c>
      <c r="S167" t="s">
        <v>30</v>
      </c>
      <c r="W167">
        <v>0</v>
      </c>
      <c r="X167">
        <v>0</v>
      </c>
      <c r="Y167" t="s">
        <v>504</v>
      </c>
    </row>
    <row r="168" spans="1:25" x14ac:dyDescent="0.35">
      <c r="A168">
        <v>217388159</v>
      </c>
      <c r="B168" t="s">
        <v>875</v>
      </c>
      <c r="C168" t="s">
        <v>876</v>
      </c>
      <c r="D168" t="s">
        <v>877</v>
      </c>
      <c r="F168" t="str">
        <f>"1250349591"</f>
        <v>1250349591</v>
      </c>
      <c r="G168" t="str">
        <f>"9781250349590"</f>
        <v>9781250349590</v>
      </c>
      <c r="H168">
        <v>0</v>
      </c>
      <c r="I168">
        <v>4.3</v>
      </c>
      <c r="J168" t="s">
        <v>878</v>
      </c>
      <c r="K168" t="s">
        <v>48</v>
      </c>
      <c r="L168">
        <v>320</v>
      </c>
      <c r="M168">
        <v>2025</v>
      </c>
      <c r="P168" s="1">
        <v>45682</v>
      </c>
      <c r="Q168" t="s">
        <v>30</v>
      </c>
      <c r="R168" t="s">
        <v>879</v>
      </c>
      <c r="S168" t="s">
        <v>30</v>
      </c>
      <c r="W168">
        <v>0</v>
      </c>
      <c r="X168">
        <v>0</v>
      </c>
      <c r="Y168" t="s">
        <v>38</v>
      </c>
    </row>
    <row r="169" spans="1:25" x14ac:dyDescent="0.35">
      <c r="A169">
        <v>181037580</v>
      </c>
      <c r="B169" t="s">
        <v>880</v>
      </c>
      <c r="C169" t="s">
        <v>881</v>
      </c>
      <c r="D169" t="s">
        <v>882</v>
      </c>
      <c r="F169" t="str">
        <f>"1496747534"</f>
        <v>1496747534</v>
      </c>
      <c r="G169" t="str">
        <f>"9781496747532"</f>
        <v>9781496747532</v>
      </c>
      <c r="H169">
        <v>0</v>
      </c>
      <c r="I169">
        <v>3.8</v>
      </c>
      <c r="J169" t="s">
        <v>808</v>
      </c>
      <c r="K169" t="s">
        <v>29</v>
      </c>
      <c r="L169">
        <v>368</v>
      </c>
      <c r="M169">
        <v>2024</v>
      </c>
      <c r="N169">
        <v>2024</v>
      </c>
      <c r="P169" s="1">
        <v>45682</v>
      </c>
      <c r="Q169" t="s">
        <v>30</v>
      </c>
      <c r="R169" t="s">
        <v>883</v>
      </c>
      <c r="S169" t="s">
        <v>30</v>
      </c>
      <c r="W169">
        <v>0</v>
      </c>
      <c r="X169">
        <v>0</v>
      </c>
      <c r="Y169" t="s">
        <v>38</v>
      </c>
    </row>
    <row r="170" spans="1:25" x14ac:dyDescent="0.35">
      <c r="A170">
        <v>212924036</v>
      </c>
      <c r="B170" t="s">
        <v>884</v>
      </c>
      <c r="C170" t="s">
        <v>885</v>
      </c>
      <c r="D170" t="s">
        <v>886</v>
      </c>
      <c r="F170" t="str">
        <f>"1645030342"</f>
        <v>1645030342</v>
      </c>
      <c r="G170" t="str">
        <f>"9781645030348"</f>
        <v>9781645030348</v>
      </c>
      <c r="H170">
        <v>0</v>
      </c>
      <c r="I170">
        <v>3.73</v>
      </c>
      <c r="J170" t="s">
        <v>887</v>
      </c>
      <c r="K170" t="s">
        <v>48</v>
      </c>
      <c r="L170">
        <v>352</v>
      </c>
      <c r="M170">
        <v>2025</v>
      </c>
      <c r="N170">
        <v>2025</v>
      </c>
      <c r="P170" s="1">
        <v>45682</v>
      </c>
      <c r="Q170" t="s">
        <v>30</v>
      </c>
      <c r="R170" t="s">
        <v>888</v>
      </c>
      <c r="S170" t="s">
        <v>30</v>
      </c>
      <c r="W170">
        <v>0</v>
      </c>
      <c r="X170">
        <v>0</v>
      </c>
      <c r="Y170" t="s">
        <v>32</v>
      </c>
    </row>
    <row r="171" spans="1:25" x14ac:dyDescent="0.35">
      <c r="A171">
        <v>216782973</v>
      </c>
      <c r="B171" t="s">
        <v>889</v>
      </c>
      <c r="C171" t="s">
        <v>890</v>
      </c>
      <c r="D171" t="s">
        <v>891</v>
      </c>
      <c r="F171" t="str">
        <f>"1923231049"</f>
        <v>1923231049</v>
      </c>
      <c r="G171" t="str">
        <f>"9781923231047"</f>
        <v>9781923231047</v>
      </c>
      <c r="H171">
        <v>0</v>
      </c>
      <c r="I171">
        <v>4.38</v>
      </c>
      <c r="K171" t="s">
        <v>85</v>
      </c>
      <c r="L171">
        <v>291</v>
      </c>
      <c r="M171">
        <v>2025</v>
      </c>
      <c r="N171">
        <v>2025</v>
      </c>
      <c r="P171" s="1">
        <v>45679</v>
      </c>
      <c r="Q171" t="s">
        <v>30</v>
      </c>
      <c r="R171" t="s">
        <v>892</v>
      </c>
      <c r="S171" t="s">
        <v>30</v>
      </c>
      <c r="W171">
        <v>0</v>
      </c>
      <c r="X171">
        <v>0</v>
      </c>
      <c r="Y171" t="s">
        <v>38</v>
      </c>
    </row>
    <row r="172" spans="1:25" x14ac:dyDescent="0.35">
      <c r="A172">
        <v>205303793</v>
      </c>
      <c r="B172" t="s">
        <v>893</v>
      </c>
      <c r="C172" t="s">
        <v>890</v>
      </c>
      <c r="D172" t="s">
        <v>891</v>
      </c>
      <c r="F172" t="str">
        <f>"1922554901"</f>
        <v>1922554901</v>
      </c>
      <c r="G172" t="str">
        <f>"9781922554901"</f>
        <v>9781922554901</v>
      </c>
      <c r="H172">
        <v>0</v>
      </c>
      <c r="I172">
        <v>4.17</v>
      </c>
      <c r="J172" t="s">
        <v>890</v>
      </c>
      <c r="K172" t="s">
        <v>85</v>
      </c>
      <c r="L172">
        <v>285</v>
      </c>
      <c r="M172">
        <v>2024</v>
      </c>
      <c r="N172">
        <v>2024</v>
      </c>
      <c r="P172" s="1">
        <v>45679</v>
      </c>
      <c r="Q172" t="s">
        <v>30</v>
      </c>
      <c r="R172" t="s">
        <v>894</v>
      </c>
      <c r="S172" t="s">
        <v>30</v>
      </c>
      <c r="W172">
        <v>0</v>
      </c>
      <c r="X172">
        <v>0</v>
      </c>
      <c r="Y172" t="s">
        <v>38</v>
      </c>
    </row>
    <row r="173" spans="1:25" x14ac:dyDescent="0.35">
      <c r="A173">
        <v>195265525</v>
      </c>
      <c r="B173" t="s">
        <v>895</v>
      </c>
      <c r="C173" t="s">
        <v>890</v>
      </c>
      <c r="D173" t="s">
        <v>891</v>
      </c>
      <c r="F173" t="str">
        <f>"1922554766"</f>
        <v>1922554766</v>
      </c>
      <c r="G173" t="str">
        <f>"9781922554765"</f>
        <v>9781922554765</v>
      </c>
      <c r="H173">
        <v>0</v>
      </c>
      <c r="I173">
        <v>4.09</v>
      </c>
      <c r="K173" t="s">
        <v>85</v>
      </c>
      <c r="L173">
        <v>279</v>
      </c>
      <c r="M173">
        <v>2024</v>
      </c>
      <c r="N173">
        <v>2024</v>
      </c>
      <c r="P173" s="1">
        <v>45679</v>
      </c>
      <c r="Q173" t="s">
        <v>30</v>
      </c>
      <c r="R173" t="s">
        <v>896</v>
      </c>
      <c r="S173" t="s">
        <v>30</v>
      </c>
      <c r="W173">
        <v>0</v>
      </c>
      <c r="X173">
        <v>0</v>
      </c>
      <c r="Y173" t="s">
        <v>38</v>
      </c>
    </row>
    <row r="174" spans="1:25" x14ac:dyDescent="0.35">
      <c r="A174">
        <v>86519502</v>
      </c>
      <c r="B174" t="s">
        <v>897</v>
      </c>
      <c r="C174" t="s">
        <v>890</v>
      </c>
      <c r="D174" t="s">
        <v>891</v>
      </c>
      <c r="F174" t="str">
        <f>"192255443X"</f>
        <v>192255443X</v>
      </c>
      <c r="G174" t="str">
        <f>"9781922554437"</f>
        <v>9781922554437</v>
      </c>
      <c r="H174">
        <v>0</v>
      </c>
      <c r="I174">
        <v>4.1100000000000003</v>
      </c>
      <c r="J174" t="s">
        <v>890</v>
      </c>
      <c r="K174" t="s">
        <v>85</v>
      </c>
      <c r="L174">
        <v>282</v>
      </c>
      <c r="M174">
        <v>2023</v>
      </c>
      <c r="N174">
        <v>2023</v>
      </c>
      <c r="P174" s="1">
        <v>45679</v>
      </c>
      <c r="Q174" t="s">
        <v>30</v>
      </c>
      <c r="R174" t="s">
        <v>898</v>
      </c>
      <c r="S174" t="s">
        <v>30</v>
      </c>
      <c r="W174">
        <v>0</v>
      </c>
      <c r="X174">
        <v>0</v>
      </c>
      <c r="Y174" t="s">
        <v>38</v>
      </c>
    </row>
    <row r="175" spans="1:25" x14ac:dyDescent="0.35">
      <c r="A175">
        <v>61392396</v>
      </c>
      <c r="B175" t="s">
        <v>899</v>
      </c>
      <c r="C175" t="s">
        <v>890</v>
      </c>
      <c r="D175" t="s">
        <v>891</v>
      </c>
      <c r="F175" t="str">
        <f>"1922554308"</f>
        <v>1922554308</v>
      </c>
      <c r="G175" t="str">
        <f>"9781922554307"</f>
        <v>9781922554307</v>
      </c>
      <c r="H175">
        <v>0</v>
      </c>
      <c r="I175">
        <v>4.0199999999999996</v>
      </c>
      <c r="K175" t="s">
        <v>85</v>
      </c>
      <c r="L175">
        <v>280</v>
      </c>
      <c r="M175">
        <v>2023</v>
      </c>
      <c r="N175">
        <v>2023</v>
      </c>
      <c r="P175" s="1">
        <v>45679</v>
      </c>
      <c r="Q175" t="s">
        <v>30</v>
      </c>
      <c r="R175" t="s">
        <v>900</v>
      </c>
      <c r="S175" t="s">
        <v>30</v>
      </c>
      <c r="W175">
        <v>0</v>
      </c>
      <c r="X175">
        <v>0</v>
      </c>
      <c r="Y175" t="s">
        <v>38</v>
      </c>
    </row>
    <row r="176" spans="1:25" x14ac:dyDescent="0.35">
      <c r="A176">
        <v>60054210</v>
      </c>
      <c r="B176" t="s">
        <v>901</v>
      </c>
      <c r="C176" t="s">
        <v>890</v>
      </c>
      <c r="D176" t="s">
        <v>891</v>
      </c>
      <c r="F176" t="str">
        <f>"1922554200"</f>
        <v>1922554200</v>
      </c>
      <c r="G176" t="str">
        <f>"9781922554208"</f>
        <v>9781922554208</v>
      </c>
      <c r="H176">
        <v>0</v>
      </c>
      <c r="I176">
        <v>3.84</v>
      </c>
      <c r="K176" t="s">
        <v>85</v>
      </c>
      <c r="L176">
        <v>284</v>
      </c>
      <c r="M176">
        <v>2022</v>
      </c>
      <c r="N176">
        <v>2022</v>
      </c>
      <c r="P176" s="1">
        <v>45679</v>
      </c>
      <c r="Q176" t="s">
        <v>30</v>
      </c>
      <c r="R176" t="s">
        <v>902</v>
      </c>
      <c r="S176" t="s">
        <v>30</v>
      </c>
      <c r="W176">
        <v>0</v>
      </c>
      <c r="X176">
        <v>0</v>
      </c>
      <c r="Y176" t="s">
        <v>38</v>
      </c>
    </row>
    <row r="177" spans="1:25" x14ac:dyDescent="0.35">
      <c r="A177">
        <v>59900569</v>
      </c>
      <c r="B177" t="s">
        <v>903</v>
      </c>
      <c r="C177" t="s">
        <v>677</v>
      </c>
      <c r="D177" t="s">
        <v>678</v>
      </c>
      <c r="F177" t="str">
        <f>"1922636150"</f>
        <v>1922636150</v>
      </c>
      <c r="G177" t="str">
        <f>"9781922636157"</f>
        <v>9781922636157</v>
      </c>
      <c r="H177">
        <v>0</v>
      </c>
      <c r="I177">
        <v>4.4800000000000004</v>
      </c>
      <c r="J177" t="s">
        <v>448</v>
      </c>
      <c r="K177" t="s">
        <v>85</v>
      </c>
      <c r="L177">
        <v>470</v>
      </c>
      <c r="M177">
        <v>2022</v>
      </c>
      <c r="N177">
        <v>2022</v>
      </c>
      <c r="P177" s="1">
        <v>45679</v>
      </c>
      <c r="Q177" t="s">
        <v>30</v>
      </c>
      <c r="R177" t="s">
        <v>904</v>
      </c>
      <c r="S177" t="s">
        <v>30</v>
      </c>
      <c r="W177">
        <v>0</v>
      </c>
      <c r="X177">
        <v>0</v>
      </c>
      <c r="Y177" t="s">
        <v>38</v>
      </c>
    </row>
    <row r="178" spans="1:25" x14ac:dyDescent="0.35">
      <c r="A178">
        <v>59559523</v>
      </c>
      <c r="B178" t="s">
        <v>905</v>
      </c>
      <c r="C178" t="s">
        <v>677</v>
      </c>
      <c r="D178" t="s">
        <v>678</v>
      </c>
      <c r="F178" t="str">
        <f>"1922636134"</f>
        <v>1922636134</v>
      </c>
      <c r="G178" t="str">
        <f>"9781922636133"</f>
        <v>9781922636133</v>
      </c>
      <c r="H178">
        <v>0</v>
      </c>
      <c r="I178">
        <v>4.33</v>
      </c>
      <c r="J178" t="s">
        <v>906</v>
      </c>
      <c r="K178" t="s">
        <v>85</v>
      </c>
      <c r="L178">
        <v>409</v>
      </c>
      <c r="M178">
        <v>2021</v>
      </c>
      <c r="N178">
        <v>2021</v>
      </c>
      <c r="P178" s="1">
        <v>45679</v>
      </c>
      <c r="Q178" t="s">
        <v>30</v>
      </c>
      <c r="R178" t="s">
        <v>907</v>
      </c>
      <c r="S178" t="s">
        <v>30</v>
      </c>
      <c r="W178">
        <v>0</v>
      </c>
      <c r="X178">
        <v>0</v>
      </c>
      <c r="Y178" t="s">
        <v>38</v>
      </c>
    </row>
    <row r="179" spans="1:25" x14ac:dyDescent="0.35">
      <c r="A179">
        <v>58663589</v>
      </c>
      <c r="B179" t="s">
        <v>908</v>
      </c>
      <c r="C179" t="s">
        <v>677</v>
      </c>
      <c r="D179" t="s">
        <v>678</v>
      </c>
      <c r="F179" t="str">
        <f>"1922636088"</f>
        <v>1922636088</v>
      </c>
      <c r="G179" t="str">
        <f>"9781922636089"</f>
        <v>9781922636089</v>
      </c>
      <c r="H179">
        <v>0</v>
      </c>
      <c r="I179">
        <v>4.42</v>
      </c>
      <c r="J179" t="s">
        <v>448</v>
      </c>
      <c r="K179" t="s">
        <v>85</v>
      </c>
      <c r="L179">
        <v>438</v>
      </c>
      <c r="M179">
        <v>2021</v>
      </c>
      <c r="N179">
        <v>2021</v>
      </c>
      <c r="P179" s="1">
        <v>45679</v>
      </c>
      <c r="Q179" t="s">
        <v>30</v>
      </c>
      <c r="R179" t="s">
        <v>909</v>
      </c>
      <c r="S179" t="s">
        <v>30</v>
      </c>
      <c r="W179">
        <v>0</v>
      </c>
      <c r="X179">
        <v>0</v>
      </c>
      <c r="Y179" t="s">
        <v>38</v>
      </c>
    </row>
    <row r="180" spans="1:25" x14ac:dyDescent="0.35">
      <c r="A180">
        <v>58053987</v>
      </c>
      <c r="B180" t="s">
        <v>910</v>
      </c>
      <c r="C180" t="s">
        <v>677</v>
      </c>
      <c r="D180" t="s">
        <v>678</v>
      </c>
      <c r="F180" t="str">
        <f>"1922636029"</f>
        <v>1922636029</v>
      </c>
      <c r="G180" t="str">
        <f>"9781922636027"</f>
        <v>9781922636027</v>
      </c>
      <c r="H180">
        <v>0</v>
      </c>
      <c r="I180">
        <v>4.33</v>
      </c>
      <c r="J180" t="s">
        <v>448</v>
      </c>
      <c r="K180" t="s">
        <v>85</v>
      </c>
      <c r="L180">
        <v>420</v>
      </c>
      <c r="M180">
        <v>2021</v>
      </c>
      <c r="N180">
        <v>2021</v>
      </c>
      <c r="P180" s="1">
        <v>45679</v>
      </c>
      <c r="Q180" t="s">
        <v>30</v>
      </c>
      <c r="R180" t="s">
        <v>911</v>
      </c>
      <c r="S180" t="s">
        <v>30</v>
      </c>
      <c r="W180">
        <v>0</v>
      </c>
      <c r="X180">
        <v>0</v>
      </c>
      <c r="Y180" t="s">
        <v>38</v>
      </c>
    </row>
    <row r="181" spans="1:25" x14ac:dyDescent="0.35">
      <c r="A181">
        <v>57427543</v>
      </c>
      <c r="B181" t="s">
        <v>912</v>
      </c>
      <c r="C181" t="s">
        <v>677</v>
      </c>
      <c r="D181" t="s">
        <v>678</v>
      </c>
      <c r="F181" t="str">
        <f>"0980696321"</f>
        <v>0980696321</v>
      </c>
      <c r="G181" t="str">
        <f>"9780980696325"</f>
        <v>9780980696325</v>
      </c>
      <c r="H181">
        <v>0</v>
      </c>
      <c r="I181">
        <v>4.17</v>
      </c>
      <c r="J181" t="s">
        <v>906</v>
      </c>
      <c r="K181" t="s">
        <v>85</v>
      </c>
      <c r="L181">
        <v>384</v>
      </c>
      <c r="M181">
        <v>2021</v>
      </c>
      <c r="N181">
        <v>2021</v>
      </c>
      <c r="P181" s="1">
        <v>45679</v>
      </c>
      <c r="Q181" t="s">
        <v>30</v>
      </c>
      <c r="R181" t="s">
        <v>913</v>
      </c>
      <c r="S181" t="s">
        <v>30</v>
      </c>
      <c r="W181">
        <v>0</v>
      </c>
      <c r="X181">
        <v>0</v>
      </c>
      <c r="Y181" t="s">
        <v>38</v>
      </c>
    </row>
    <row r="182" spans="1:25" x14ac:dyDescent="0.35">
      <c r="A182">
        <v>57815012</v>
      </c>
      <c r="B182" t="s">
        <v>914</v>
      </c>
      <c r="C182" t="s">
        <v>677</v>
      </c>
      <c r="D182" t="s">
        <v>678</v>
      </c>
      <c r="F182" t="str">
        <f>"1925898717"</f>
        <v>1925898717</v>
      </c>
      <c r="G182" t="str">
        <f>"9781925898712"</f>
        <v>9781925898712</v>
      </c>
      <c r="H182">
        <v>0</v>
      </c>
      <c r="I182">
        <v>4.3</v>
      </c>
      <c r="J182" t="s">
        <v>448</v>
      </c>
      <c r="K182" t="s">
        <v>85</v>
      </c>
      <c r="L182">
        <v>357</v>
      </c>
      <c r="M182">
        <v>2021</v>
      </c>
      <c r="N182">
        <v>2021</v>
      </c>
      <c r="P182" s="1">
        <v>45679</v>
      </c>
      <c r="Q182" t="s">
        <v>30</v>
      </c>
      <c r="R182" t="s">
        <v>915</v>
      </c>
      <c r="S182" t="s">
        <v>30</v>
      </c>
      <c r="W182">
        <v>0</v>
      </c>
      <c r="X182">
        <v>0</v>
      </c>
      <c r="Y182" t="s">
        <v>38</v>
      </c>
    </row>
    <row r="183" spans="1:25" x14ac:dyDescent="0.35">
      <c r="A183">
        <v>58662509</v>
      </c>
      <c r="B183" t="s">
        <v>916</v>
      </c>
      <c r="C183" t="s">
        <v>917</v>
      </c>
      <c r="D183" t="s">
        <v>918</v>
      </c>
      <c r="F183" t="str">
        <f>""</f>
        <v/>
      </c>
      <c r="G183" t="str">
        <f>""</f>
        <v/>
      </c>
      <c r="H183">
        <v>0</v>
      </c>
      <c r="I183">
        <v>3.67</v>
      </c>
      <c r="J183" t="s">
        <v>919</v>
      </c>
      <c r="K183" t="s">
        <v>85</v>
      </c>
      <c r="L183">
        <v>362</v>
      </c>
      <c r="M183">
        <v>2021</v>
      </c>
      <c r="N183">
        <v>2021</v>
      </c>
      <c r="P183" s="1">
        <v>45679</v>
      </c>
      <c r="Q183" t="s">
        <v>30</v>
      </c>
      <c r="R183" t="s">
        <v>920</v>
      </c>
      <c r="S183" t="s">
        <v>30</v>
      </c>
      <c r="W183">
        <v>0</v>
      </c>
      <c r="X183">
        <v>0</v>
      </c>
      <c r="Y183" t="s">
        <v>38</v>
      </c>
    </row>
    <row r="184" spans="1:25" x14ac:dyDescent="0.35">
      <c r="A184">
        <v>38733155</v>
      </c>
      <c r="B184" t="s">
        <v>921</v>
      </c>
      <c r="C184" t="s">
        <v>917</v>
      </c>
      <c r="D184" t="s">
        <v>918</v>
      </c>
      <c r="F184" t="str">
        <f>""</f>
        <v/>
      </c>
      <c r="G184" t="str">
        <f>""</f>
        <v/>
      </c>
      <c r="H184">
        <v>0</v>
      </c>
      <c r="I184">
        <v>3.67</v>
      </c>
      <c r="J184" t="s">
        <v>919</v>
      </c>
      <c r="K184" t="s">
        <v>85</v>
      </c>
      <c r="L184">
        <v>184</v>
      </c>
      <c r="M184">
        <v>2018</v>
      </c>
      <c r="N184">
        <v>2018</v>
      </c>
      <c r="P184" s="1">
        <v>45679</v>
      </c>
      <c r="Q184" t="s">
        <v>30</v>
      </c>
      <c r="R184" t="s">
        <v>922</v>
      </c>
      <c r="S184" t="s">
        <v>30</v>
      </c>
      <c r="W184">
        <v>0</v>
      </c>
      <c r="X184">
        <v>0</v>
      </c>
      <c r="Y184" t="s">
        <v>38</v>
      </c>
    </row>
    <row r="185" spans="1:25" x14ac:dyDescent="0.35">
      <c r="A185">
        <v>144394057</v>
      </c>
      <c r="B185" t="s">
        <v>923</v>
      </c>
      <c r="C185" t="s">
        <v>917</v>
      </c>
      <c r="D185" t="s">
        <v>918</v>
      </c>
      <c r="F185" t="str">
        <f>""</f>
        <v/>
      </c>
      <c r="G185" t="str">
        <f>""</f>
        <v/>
      </c>
      <c r="H185">
        <v>0</v>
      </c>
      <c r="I185">
        <v>4.1100000000000003</v>
      </c>
      <c r="J185" t="s">
        <v>919</v>
      </c>
      <c r="K185" t="s">
        <v>85</v>
      </c>
      <c r="L185">
        <v>272</v>
      </c>
      <c r="M185">
        <v>2023</v>
      </c>
      <c r="P185" s="1">
        <v>45679</v>
      </c>
      <c r="Q185" t="s">
        <v>30</v>
      </c>
      <c r="R185" t="s">
        <v>924</v>
      </c>
      <c r="S185" t="s">
        <v>30</v>
      </c>
      <c r="W185">
        <v>0</v>
      </c>
      <c r="X185">
        <v>0</v>
      </c>
      <c r="Y185" t="s">
        <v>38</v>
      </c>
    </row>
    <row r="186" spans="1:25" x14ac:dyDescent="0.35">
      <c r="A186">
        <v>174846889</v>
      </c>
      <c r="B186" t="s">
        <v>925</v>
      </c>
      <c r="C186" t="s">
        <v>926</v>
      </c>
      <c r="D186" t="s">
        <v>927</v>
      </c>
      <c r="F186" t="str">
        <f>""</f>
        <v/>
      </c>
      <c r="G186" t="str">
        <f>""</f>
        <v/>
      </c>
      <c r="H186">
        <v>0</v>
      </c>
      <c r="I186">
        <v>4.01</v>
      </c>
      <c r="J186" t="s">
        <v>928</v>
      </c>
      <c r="K186" t="s">
        <v>85</v>
      </c>
      <c r="M186">
        <v>2023</v>
      </c>
      <c r="P186" s="1">
        <v>45679</v>
      </c>
      <c r="Q186" t="s">
        <v>30</v>
      </c>
      <c r="R186" t="s">
        <v>929</v>
      </c>
      <c r="S186" t="s">
        <v>30</v>
      </c>
      <c r="W186">
        <v>0</v>
      </c>
      <c r="X186">
        <v>0</v>
      </c>
      <c r="Y186" t="s">
        <v>38</v>
      </c>
    </row>
    <row r="187" spans="1:25" x14ac:dyDescent="0.35">
      <c r="A187">
        <v>141119396</v>
      </c>
      <c r="B187" t="s">
        <v>930</v>
      </c>
      <c r="C187" t="s">
        <v>931</v>
      </c>
      <c r="D187" t="s">
        <v>932</v>
      </c>
      <c r="F187" t="str">
        <f>""</f>
        <v/>
      </c>
      <c r="G187" t="str">
        <f>""</f>
        <v/>
      </c>
      <c r="H187">
        <v>0</v>
      </c>
      <c r="I187">
        <v>3.99</v>
      </c>
      <c r="J187" t="s">
        <v>933</v>
      </c>
      <c r="K187" t="s">
        <v>85</v>
      </c>
      <c r="L187">
        <v>200</v>
      </c>
      <c r="M187">
        <v>2023</v>
      </c>
      <c r="P187" s="1">
        <v>45679</v>
      </c>
      <c r="Q187" t="s">
        <v>30</v>
      </c>
      <c r="R187" t="s">
        <v>934</v>
      </c>
      <c r="S187" t="s">
        <v>30</v>
      </c>
      <c r="W187">
        <v>0</v>
      </c>
      <c r="X187">
        <v>0</v>
      </c>
      <c r="Y187" t="s">
        <v>38</v>
      </c>
    </row>
    <row r="188" spans="1:25" x14ac:dyDescent="0.35">
      <c r="A188">
        <v>28193548</v>
      </c>
      <c r="B188" t="s">
        <v>935</v>
      </c>
      <c r="C188" t="s">
        <v>936</v>
      </c>
      <c r="D188" t="s">
        <v>937</v>
      </c>
      <c r="F188" t="str">
        <f>""</f>
        <v/>
      </c>
      <c r="G188" t="str">
        <f>""</f>
        <v/>
      </c>
      <c r="H188">
        <v>0</v>
      </c>
      <c r="I188">
        <v>4.08</v>
      </c>
      <c r="J188" t="s">
        <v>938</v>
      </c>
      <c r="K188" t="s">
        <v>375</v>
      </c>
      <c r="L188">
        <v>410</v>
      </c>
      <c r="M188">
        <v>2015</v>
      </c>
      <c r="N188">
        <v>2015</v>
      </c>
      <c r="P188" s="1">
        <v>45679</v>
      </c>
      <c r="Q188" t="s">
        <v>30</v>
      </c>
      <c r="R188" t="s">
        <v>939</v>
      </c>
      <c r="S188" t="s">
        <v>30</v>
      </c>
      <c r="W188">
        <v>0</v>
      </c>
      <c r="X188">
        <v>0</v>
      </c>
      <c r="Y188" t="s">
        <v>38</v>
      </c>
    </row>
    <row r="189" spans="1:25" x14ac:dyDescent="0.35">
      <c r="A189">
        <v>55920924</v>
      </c>
      <c r="B189" t="s">
        <v>940</v>
      </c>
      <c r="C189" t="s">
        <v>936</v>
      </c>
      <c r="D189" t="s">
        <v>937</v>
      </c>
      <c r="F189" t="str">
        <f>""</f>
        <v/>
      </c>
      <c r="G189" t="str">
        <f>""</f>
        <v/>
      </c>
      <c r="H189">
        <v>0</v>
      </c>
      <c r="I189">
        <v>4.13</v>
      </c>
      <c r="J189" t="s">
        <v>938</v>
      </c>
      <c r="K189" t="s">
        <v>85</v>
      </c>
      <c r="L189">
        <v>318</v>
      </c>
      <c r="M189">
        <v>2020</v>
      </c>
      <c r="N189">
        <v>2020</v>
      </c>
      <c r="P189" s="1">
        <v>45679</v>
      </c>
      <c r="Q189" t="s">
        <v>30</v>
      </c>
      <c r="R189" t="s">
        <v>941</v>
      </c>
      <c r="S189" t="s">
        <v>30</v>
      </c>
      <c r="W189">
        <v>0</v>
      </c>
      <c r="X189">
        <v>0</v>
      </c>
      <c r="Y189" t="s">
        <v>38</v>
      </c>
    </row>
    <row r="190" spans="1:25" x14ac:dyDescent="0.35">
      <c r="A190">
        <v>66092846</v>
      </c>
      <c r="B190" t="s">
        <v>942</v>
      </c>
      <c r="C190" t="s">
        <v>485</v>
      </c>
      <c r="D190" t="s">
        <v>486</v>
      </c>
      <c r="F190" t="str">
        <f>"0593710029"</f>
        <v>0593710029</v>
      </c>
      <c r="G190" t="str">
        <f>"9780593710029"</f>
        <v>9780593710029</v>
      </c>
      <c r="H190">
        <v>0</v>
      </c>
      <c r="I190">
        <v>4.17</v>
      </c>
      <c r="J190" t="s">
        <v>943</v>
      </c>
      <c r="K190" t="s">
        <v>29</v>
      </c>
      <c r="L190">
        <v>432</v>
      </c>
      <c r="M190">
        <v>2023</v>
      </c>
      <c r="N190">
        <v>2023</v>
      </c>
      <c r="P190" s="1">
        <v>45679</v>
      </c>
      <c r="Q190" t="s">
        <v>30</v>
      </c>
      <c r="R190" t="s">
        <v>944</v>
      </c>
      <c r="S190" t="s">
        <v>30</v>
      </c>
      <c r="W190">
        <v>0</v>
      </c>
      <c r="X190">
        <v>0</v>
      </c>
      <c r="Y190" t="s">
        <v>38</v>
      </c>
    </row>
    <row r="191" spans="1:25" x14ac:dyDescent="0.35">
      <c r="A191">
        <v>51610977</v>
      </c>
      <c r="B191" t="s">
        <v>945</v>
      </c>
      <c r="C191" t="s">
        <v>88</v>
      </c>
      <c r="D191" t="s">
        <v>89</v>
      </c>
      <c r="F191" t="str">
        <f>"1728220181"</f>
        <v>1728220181</v>
      </c>
      <c r="G191" t="str">
        <f>"9781728220185"</f>
        <v>9781728220185</v>
      </c>
      <c r="H191">
        <v>0</v>
      </c>
      <c r="I191">
        <v>3.85</v>
      </c>
      <c r="J191" t="s">
        <v>90</v>
      </c>
      <c r="K191" t="s">
        <v>29</v>
      </c>
      <c r="L191">
        <v>342</v>
      </c>
      <c r="M191">
        <v>2020</v>
      </c>
      <c r="N191">
        <v>2019</v>
      </c>
      <c r="P191" s="1">
        <v>45679</v>
      </c>
      <c r="Q191" t="s">
        <v>30</v>
      </c>
      <c r="R191" t="s">
        <v>946</v>
      </c>
      <c r="S191" t="s">
        <v>30</v>
      </c>
      <c r="W191">
        <v>0</v>
      </c>
      <c r="X191">
        <v>0</v>
      </c>
      <c r="Y191" t="s">
        <v>38</v>
      </c>
    </row>
    <row r="192" spans="1:25" x14ac:dyDescent="0.35">
      <c r="A192">
        <v>14497</v>
      </c>
      <c r="B192" t="s">
        <v>947</v>
      </c>
      <c r="C192" t="s">
        <v>948</v>
      </c>
      <c r="D192" t="s">
        <v>949</v>
      </c>
      <c r="F192" t="str">
        <f>"0060557818"</f>
        <v>0060557818</v>
      </c>
      <c r="G192" t="str">
        <f>"9780060557812"</f>
        <v>9780060557812</v>
      </c>
      <c r="H192">
        <v>0</v>
      </c>
      <c r="I192">
        <v>4.17</v>
      </c>
      <c r="J192" t="s">
        <v>662</v>
      </c>
      <c r="K192" t="s">
        <v>29</v>
      </c>
      <c r="L192">
        <v>370</v>
      </c>
      <c r="M192">
        <v>2003</v>
      </c>
      <c r="N192">
        <v>1996</v>
      </c>
      <c r="P192" s="1">
        <v>45679</v>
      </c>
      <c r="Q192" t="s">
        <v>30</v>
      </c>
      <c r="R192" t="s">
        <v>950</v>
      </c>
      <c r="S192" t="s">
        <v>30</v>
      </c>
      <c r="W192">
        <v>0</v>
      </c>
      <c r="X192">
        <v>0</v>
      </c>
      <c r="Y192" t="s">
        <v>38</v>
      </c>
    </row>
    <row r="193" spans="1:25" x14ac:dyDescent="0.35">
      <c r="A193">
        <v>56612191</v>
      </c>
      <c r="B193" t="s">
        <v>951</v>
      </c>
      <c r="C193" t="s">
        <v>952</v>
      </c>
      <c r="D193" t="s">
        <v>953</v>
      </c>
      <c r="F193" t="str">
        <f>""</f>
        <v/>
      </c>
      <c r="G193" t="str">
        <f>""</f>
        <v/>
      </c>
      <c r="H193">
        <v>0</v>
      </c>
      <c r="I193">
        <v>4.22</v>
      </c>
      <c r="J193" t="s">
        <v>954</v>
      </c>
      <c r="K193" t="s">
        <v>85</v>
      </c>
      <c r="L193">
        <v>250</v>
      </c>
      <c r="M193">
        <v>2021</v>
      </c>
      <c r="N193">
        <v>2021</v>
      </c>
      <c r="P193" s="1">
        <v>45679</v>
      </c>
      <c r="Q193" t="s">
        <v>30</v>
      </c>
      <c r="R193" t="s">
        <v>955</v>
      </c>
      <c r="S193" t="s">
        <v>30</v>
      </c>
      <c r="W193">
        <v>0</v>
      </c>
      <c r="X193">
        <v>0</v>
      </c>
      <c r="Y193" t="s">
        <v>38</v>
      </c>
    </row>
    <row r="194" spans="1:25" x14ac:dyDescent="0.35">
      <c r="A194">
        <v>5834917</v>
      </c>
      <c r="B194" t="s">
        <v>956</v>
      </c>
      <c r="C194" t="s">
        <v>175</v>
      </c>
      <c r="D194" t="s">
        <v>176</v>
      </c>
      <c r="F194" t="str">
        <f>"0385905882"</f>
        <v>0385905882</v>
      </c>
      <c r="G194" t="str">
        <f>"9780385905886"</f>
        <v>9780385905886</v>
      </c>
      <c r="H194">
        <v>0</v>
      </c>
      <c r="I194">
        <v>3.92</v>
      </c>
      <c r="J194" t="s">
        <v>177</v>
      </c>
      <c r="K194" t="s">
        <v>957</v>
      </c>
      <c r="L194">
        <v>288</v>
      </c>
      <c r="M194">
        <v>2009</v>
      </c>
      <c r="N194">
        <v>2009</v>
      </c>
      <c r="P194" s="1">
        <v>45677</v>
      </c>
      <c r="Q194" t="s">
        <v>30</v>
      </c>
      <c r="R194" t="s">
        <v>958</v>
      </c>
      <c r="S194" t="s">
        <v>30</v>
      </c>
      <c r="W194">
        <v>0</v>
      </c>
      <c r="X194">
        <v>0</v>
      </c>
      <c r="Y194" t="s">
        <v>122</v>
      </c>
    </row>
    <row r="195" spans="1:25" x14ac:dyDescent="0.35">
      <c r="A195">
        <v>13262762</v>
      </c>
      <c r="B195" t="s">
        <v>959</v>
      </c>
      <c r="C195" t="s">
        <v>175</v>
      </c>
      <c r="D195" t="s">
        <v>176</v>
      </c>
      <c r="F195" t="str">
        <f>"0375989781"</f>
        <v>0375989781</v>
      </c>
      <c r="G195" t="str">
        <f>"9780375989780"</f>
        <v>9780375989780</v>
      </c>
      <c r="H195">
        <v>0</v>
      </c>
      <c r="I195">
        <v>3.66</v>
      </c>
      <c r="J195" t="s">
        <v>177</v>
      </c>
      <c r="K195" t="s">
        <v>957</v>
      </c>
      <c r="L195">
        <v>176</v>
      </c>
      <c r="M195">
        <v>2012</v>
      </c>
      <c r="N195">
        <v>2012</v>
      </c>
      <c r="P195" s="1">
        <v>45677</v>
      </c>
      <c r="Q195" t="s">
        <v>30</v>
      </c>
      <c r="R195" t="s">
        <v>960</v>
      </c>
      <c r="S195" t="s">
        <v>30</v>
      </c>
      <c r="W195">
        <v>0</v>
      </c>
      <c r="X195">
        <v>0</v>
      </c>
      <c r="Y195" t="s">
        <v>38</v>
      </c>
    </row>
    <row r="196" spans="1:25" x14ac:dyDescent="0.35">
      <c r="A196">
        <v>3805</v>
      </c>
      <c r="B196" t="s">
        <v>961</v>
      </c>
      <c r="C196" t="s">
        <v>962</v>
      </c>
      <c r="D196" t="s">
        <v>963</v>
      </c>
      <c r="F196" t="str">
        <f>"1841156736"</f>
        <v>1841156736</v>
      </c>
      <c r="G196" t="str">
        <f>"9781841156736"</f>
        <v>9781841156736</v>
      </c>
      <c r="H196">
        <v>0</v>
      </c>
      <c r="I196">
        <v>3.84</v>
      </c>
      <c r="J196" t="s">
        <v>964</v>
      </c>
      <c r="K196" t="s">
        <v>29</v>
      </c>
      <c r="L196">
        <v>653</v>
      </c>
      <c r="M196">
        <v>2002</v>
      </c>
      <c r="N196">
        <v>2001</v>
      </c>
      <c r="P196" s="1">
        <v>45677</v>
      </c>
      <c r="Q196" t="s">
        <v>30</v>
      </c>
      <c r="R196" t="s">
        <v>965</v>
      </c>
      <c r="S196" t="s">
        <v>30</v>
      </c>
      <c r="W196">
        <v>0</v>
      </c>
      <c r="X196">
        <v>0</v>
      </c>
      <c r="Y196" t="s">
        <v>38</v>
      </c>
    </row>
    <row r="197" spans="1:25" x14ac:dyDescent="0.35">
      <c r="A197">
        <v>68210</v>
      </c>
      <c r="B197" t="s">
        <v>966</v>
      </c>
      <c r="C197" t="s">
        <v>967</v>
      </c>
      <c r="D197" t="s">
        <v>968</v>
      </c>
      <c r="F197" t="str">
        <f>"031242440X"</f>
        <v>031242440X</v>
      </c>
      <c r="G197" t="str">
        <f>"9780312424404"</f>
        <v>9780312424404</v>
      </c>
      <c r="H197">
        <v>0</v>
      </c>
      <c r="I197">
        <v>3.85</v>
      </c>
      <c r="J197" t="s">
        <v>969</v>
      </c>
      <c r="K197" t="s">
        <v>29</v>
      </c>
      <c r="L197">
        <v>247</v>
      </c>
      <c r="M197">
        <v>2006</v>
      </c>
      <c r="N197">
        <v>2004</v>
      </c>
      <c r="P197" s="1">
        <v>45677</v>
      </c>
      <c r="Q197" t="s">
        <v>30</v>
      </c>
      <c r="R197" t="s">
        <v>970</v>
      </c>
      <c r="S197" t="s">
        <v>30</v>
      </c>
      <c r="W197">
        <v>0</v>
      </c>
      <c r="X197">
        <v>0</v>
      </c>
      <c r="Y197" t="s">
        <v>38</v>
      </c>
    </row>
    <row r="198" spans="1:25" x14ac:dyDescent="0.35">
      <c r="A198">
        <v>8171378</v>
      </c>
      <c r="B198" t="s">
        <v>971</v>
      </c>
      <c r="C198" t="s">
        <v>972</v>
      </c>
      <c r="D198" t="s">
        <v>973</v>
      </c>
      <c r="F198" t="str">
        <f>"0679444327"</f>
        <v>0679444327</v>
      </c>
      <c r="G198" t="str">
        <f>"9780679444329"</f>
        <v>9780679444329</v>
      </c>
      <c r="H198">
        <v>0</v>
      </c>
      <c r="I198">
        <v>4.4800000000000004</v>
      </c>
      <c r="J198" t="s">
        <v>974</v>
      </c>
      <c r="K198" t="s">
        <v>48</v>
      </c>
      <c r="L198">
        <v>622</v>
      </c>
      <c r="M198">
        <v>2010</v>
      </c>
      <c r="N198">
        <v>2010</v>
      </c>
      <c r="P198" s="1">
        <v>45677</v>
      </c>
      <c r="Q198" t="s">
        <v>30</v>
      </c>
      <c r="R198" t="s">
        <v>975</v>
      </c>
      <c r="S198" t="s">
        <v>30</v>
      </c>
      <c r="W198">
        <v>0</v>
      </c>
      <c r="X198">
        <v>0</v>
      </c>
      <c r="Y198" t="s">
        <v>32</v>
      </c>
    </row>
    <row r="199" spans="1:25" x14ac:dyDescent="0.35">
      <c r="A199">
        <v>6792458</v>
      </c>
      <c r="B199" t="s">
        <v>976</v>
      </c>
      <c r="C199" t="s">
        <v>977</v>
      </c>
      <c r="D199" t="s">
        <v>978</v>
      </c>
      <c r="F199" t="str">
        <f>""</f>
        <v/>
      </c>
      <c r="G199" t="str">
        <f>""</f>
        <v/>
      </c>
      <c r="H199">
        <v>0</v>
      </c>
      <c r="I199">
        <v>4.5199999999999996</v>
      </c>
      <c r="J199" t="s">
        <v>979</v>
      </c>
      <c r="K199" t="s">
        <v>48</v>
      </c>
      <c r="L199">
        <v>290</v>
      </c>
      <c r="M199">
        <v>2010</v>
      </c>
      <c r="N199">
        <v>2010</v>
      </c>
      <c r="P199" s="1">
        <v>45677</v>
      </c>
      <c r="Q199" t="s">
        <v>30</v>
      </c>
      <c r="R199" t="s">
        <v>980</v>
      </c>
      <c r="S199" t="s">
        <v>30</v>
      </c>
      <c r="W199">
        <v>0</v>
      </c>
      <c r="X199">
        <v>0</v>
      </c>
      <c r="Y199" t="s">
        <v>38</v>
      </c>
    </row>
    <row r="200" spans="1:25" x14ac:dyDescent="0.35">
      <c r="A200">
        <v>30200112</v>
      </c>
      <c r="B200" t="s">
        <v>981</v>
      </c>
      <c r="C200" t="s">
        <v>982</v>
      </c>
      <c r="D200" t="s">
        <v>983</v>
      </c>
      <c r="E200" t="s">
        <v>984</v>
      </c>
      <c r="F200" t="str">
        <f>"1922253995"</f>
        <v>1922253995</v>
      </c>
      <c r="G200" t="str">
        <f>"9781922253996"</f>
        <v>9781922253996</v>
      </c>
      <c r="H200">
        <v>0</v>
      </c>
      <c r="I200">
        <v>4.46</v>
      </c>
      <c r="J200" t="s">
        <v>985</v>
      </c>
      <c r="K200" t="s">
        <v>85</v>
      </c>
      <c r="L200">
        <v>496</v>
      </c>
      <c r="M200">
        <v>2016</v>
      </c>
      <c r="N200">
        <v>2013</v>
      </c>
      <c r="P200" s="1">
        <v>45677</v>
      </c>
      <c r="Q200" t="s">
        <v>30</v>
      </c>
      <c r="R200" t="s">
        <v>986</v>
      </c>
      <c r="S200" t="s">
        <v>30</v>
      </c>
      <c r="W200">
        <v>0</v>
      </c>
      <c r="X200">
        <v>0</v>
      </c>
      <c r="Y200" t="s">
        <v>38</v>
      </c>
    </row>
    <row r="201" spans="1:25" x14ac:dyDescent="0.35">
      <c r="A201">
        <v>62069739</v>
      </c>
      <c r="B201" t="s">
        <v>987</v>
      </c>
      <c r="C201" t="s">
        <v>988</v>
      </c>
      <c r="D201" t="s">
        <v>989</v>
      </c>
      <c r="E201" t="s">
        <v>990</v>
      </c>
      <c r="F201" t="str">
        <f>""</f>
        <v/>
      </c>
      <c r="G201" t="str">
        <f>""</f>
        <v/>
      </c>
      <c r="H201">
        <v>0</v>
      </c>
      <c r="I201">
        <v>4.13</v>
      </c>
      <c r="J201" t="s">
        <v>991</v>
      </c>
      <c r="K201" t="s">
        <v>85</v>
      </c>
      <c r="L201">
        <v>193</v>
      </c>
      <c r="M201">
        <v>2022</v>
      </c>
      <c r="N201">
        <v>2020</v>
      </c>
      <c r="P201" s="1">
        <v>45677</v>
      </c>
      <c r="Q201" t="s">
        <v>30</v>
      </c>
      <c r="R201" t="s">
        <v>992</v>
      </c>
      <c r="S201" t="s">
        <v>30</v>
      </c>
      <c r="W201">
        <v>0</v>
      </c>
      <c r="X201">
        <v>0</v>
      </c>
      <c r="Y201" t="s">
        <v>38</v>
      </c>
    </row>
    <row r="202" spans="1:25" x14ac:dyDescent="0.35">
      <c r="A202">
        <v>590708</v>
      </c>
      <c r="B202" t="s">
        <v>993</v>
      </c>
      <c r="C202" t="s">
        <v>54</v>
      </c>
      <c r="D202" t="s">
        <v>55</v>
      </c>
      <c r="F202" t="str">
        <f>"0842384073"</f>
        <v>0842384073</v>
      </c>
      <c r="G202" t="str">
        <f>"9780842384070"</f>
        <v>9780842384070</v>
      </c>
      <c r="H202">
        <v>0</v>
      </c>
      <c r="I202">
        <v>4.1100000000000003</v>
      </c>
      <c r="J202" t="s">
        <v>227</v>
      </c>
      <c r="K202" t="s">
        <v>29</v>
      </c>
      <c r="L202">
        <v>368</v>
      </c>
      <c r="M202">
        <v>2004</v>
      </c>
      <c r="N202">
        <v>2003</v>
      </c>
      <c r="P202" s="1">
        <v>45326</v>
      </c>
      <c r="Q202" t="s">
        <v>30</v>
      </c>
      <c r="R202" t="s">
        <v>994</v>
      </c>
      <c r="S202" t="s">
        <v>30</v>
      </c>
      <c r="W202">
        <v>1</v>
      </c>
      <c r="X202">
        <v>0</v>
      </c>
      <c r="Y202" t="s">
        <v>38</v>
      </c>
    </row>
    <row r="203" spans="1:25" x14ac:dyDescent="0.35">
      <c r="A203">
        <v>62339235</v>
      </c>
      <c r="B203" t="s">
        <v>995</v>
      </c>
      <c r="C203" t="s">
        <v>996</v>
      </c>
      <c r="D203" t="s">
        <v>997</v>
      </c>
      <c r="F203" t="str">
        <f>""</f>
        <v/>
      </c>
      <c r="G203" t="str">
        <f>""</f>
        <v/>
      </c>
      <c r="H203">
        <v>0</v>
      </c>
      <c r="I203">
        <v>4.22</v>
      </c>
      <c r="J203" t="s">
        <v>998</v>
      </c>
      <c r="K203" t="s">
        <v>85</v>
      </c>
      <c r="L203">
        <v>339</v>
      </c>
      <c r="M203">
        <v>2022</v>
      </c>
      <c r="N203">
        <v>2022</v>
      </c>
      <c r="P203" s="1">
        <v>45676</v>
      </c>
      <c r="Q203" t="s">
        <v>30</v>
      </c>
      <c r="R203" t="s">
        <v>999</v>
      </c>
      <c r="S203" t="s">
        <v>30</v>
      </c>
      <c r="W203">
        <v>0</v>
      </c>
      <c r="X203">
        <v>0</v>
      </c>
      <c r="Y203" t="s">
        <v>32</v>
      </c>
    </row>
    <row r="204" spans="1:25" x14ac:dyDescent="0.35">
      <c r="A204">
        <v>61917125</v>
      </c>
      <c r="B204" t="s">
        <v>1000</v>
      </c>
      <c r="C204" t="s">
        <v>1001</v>
      </c>
      <c r="D204" t="s">
        <v>1002</v>
      </c>
      <c r="F204" t="str">
        <f>""</f>
        <v/>
      </c>
      <c r="G204" t="str">
        <f>""</f>
        <v/>
      </c>
      <c r="H204">
        <v>0</v>
      </c>
      <c r="I204">
        <v>4.5</v>
      </c>
      <c r="J204" t="s">
        <v>1003</v>
      </c>
      <c r="K204" t="s">
        <v>29</v>
      </c>
      <c r="P204" s="1">
        <v>45676</v>
      </c>
      <c r="Q204" t="s">
        <v>30</v>
      </c>
      <c r="R204" t="s">
        <v>1004</v>
      </c>
      <c r="S204" t="s">
        <v>30</v>
      </c>
      <c r="W204">
        <v>0</v>
      </c>
      <c r="X204">
        <v>0</v>
      </c>
      <c r="Y204" t="s">
        <v>38</v>
      </c>
    </row>
    <row r="205" spans="1:25" x14ac:dyDescent="0.35">
      <c r="A205">
        <v>212806648</v>
      </c>
      <c r="B205" t="s">
        <v>1005</v>
      </c>
      <c r="C205" t="s">
        <v>1006</v>
      </c>
      <c r="D205" t="s">
        <v>1007</v>
      </c>
      <c r="F205" t="str">
        <f>"0593725115"</f>
        <v>0593725115</v>
      </c>
      <c r="G205" t="str">
        <f>"9780593725115"</f>
        <v>9780593725115</v>
      </c>
      <c r="H205">
        <v>0</v>
      </c>
      <c r="I205">
        <v>4.34</v>
      </c>
      <c r="J205" t="s">
        <v>1008</v>
      </c>
      <c r="K205" t="s">
        <v>48</v>
      </c>
      <c r="L205">
        <v>368</v>
      </c>
      <c r="M205">
        <v>2025</v>
      </c>
      <c r="N205">
        <v>2025</v>
      </c>
      <c r="P205" s="1">
        <v>45675</v>
      </c>
      <c r="Q205" t="s">
        <v>30</v>
      </c>
      <c r="R205" t="s">
        <v>1009</v>
      </c>
      <c r="S205" t="s">
        <v>30</v>
      </c>
      <c r="W205">
        <v>0</v>
      </c>
      <c r="X205">
        <v>0</v>
      </c>
      <c r="Y205" t="s">
        <v>38</v>
      </c>
    </row>
    <row r="206" spans="1:25" x14ac:dyDescent="0.35">
      <c r="A206">
        <v>211004954</v>
      </c>
      <c r="B206" t="s">
        <v>1010</v>
      </c>
      <c r="C206" t="s">
        <v>1011</v>
      </c>
      <c r="D206" t="s">
        <v>1012</v>
      </c>
      <c r="F206" t="str">
        <f>"1250334810"</f>
        <v>1250334810</v>
      </c>
      <c r="G206" t="str">
        <f>"9781250334817"</f>
        <v>9781250334817</v>
      </c>
      <c r="H206">
        <v>0</v>
      </c>
      <c r="I206">
        <v>4.24</v>
      </c>
      <c r="J206" t="s">
        <v>1013</v>
      </c>
      <c r="K206" t="s">
        <v>48</v>
      </c>
      <c r="L206">
        <v>320</v>
      </c>
      <c r="M206">
        <v>2025</v>
      </c>
      <c r="N206">
        <v>2025</v>
      </c>
      <c r="P206" s="1">
        <v>45675</v>
      </c>
      <c r="Q206" t="s">
        <v>30</v>
      </c>
      <c r="R206" t="s">
        <v>1014</v>
      </c>
      <c r="S206" t="s">
        <v>30</v>
      </c>
      <c r="W206">
        <v>0</v>
      </c>
      <c r="X206">
        <v>0</v>
      </c>
      <c r="Y206" t="s">
        <v>38</v>
      </c>
    </row>
    <row r="207" spans="1:25" x14ac:dyDescent="0.35">
      <c r="A207">
        <v>202507554</v>
      </c>
      <c r="B207" t="s">
        <v>1015</v>
      </c>
      <c r="C207" t="s">
        <v>1016</v>
      </c>
      <c r="D207" t="s">
        <v>1017</v>
      </c>
      <c r="F207" t="str">
        <f>""</f>
        <v/>
      </c>
      <c r="G207" t="str">
        <f>""</f>
        <v/>
      </c>
      <c r="H207">
        <v>0</v>
      </c>
      <c r="I207">
        <v>4.04</v>
      </c>
      <c r="K207" t="s">
        <v>85</v>
      </c>
      <c r="L207">
        <v>718</v>
      </c>
      <c r="M207">
        <v>2024</v>
      </c>
      <c r="N207">
        <v>2024</v>
      </c>
      <c r="P207" s="1">
        <v>45675</v>
      </c>
      <c r="Q207" t="s">
        <v>30</v>
      </c>
      <c r="R207" t="s">
        <v>1018</v>
      </c>
      <c r="S207" t="s">
        <v>30</v>
      </c>
      <c r="W207">
        <v>0</v>
      </c>
      <c r="X207">
        <v>0</v>
      </c>
      <c r="Y207" t="s">
        <v>38</v>
      </c>
    </row>
    <row r="208" spans="1:25" x14ac:dyDescent="0.35">
      <c r="A208">
        <v>216815055</v>
      </c>
      <c r="B208" t="s">
        <v>1019</v>
      </c>
      <c r="C208" t="s">
        <v>1016</v>
      </c>
      <c r="D208" t="s">
        <v>1017</v>
      </c>
      <c r="F208" t="str">
        <f>"000871035X"</f>
        <v>000871035X</v>
      </c>
      <c r="G208" t="str">
        <f>"9780008710354"</f>
        <v>9780008710354</v>
      </c>
      <c r="H208">
        <v>0</v>
      </c>
      <c r="I208">
        <v>4.4400000000000004</v>
      </c>
      <c r="J208" t="s">
        <v>1020</v>
      </c>
      <c r="K208" t="s">
        <v>85</v>
      </c>
      <c r="M208">
        <v>2025</v>
      </c>
      <c r="N208">
        <v>2025</v>
      </c>
      <c r="P208" s="1">
        <v>45675</v>
      </c>
      <c r="Q208" t="s">
        <v>30</v>
      </c>
      <c r="R208" t="s">
        <v>1021</v>
      </c>
      <c r="S208" t="s">
        <v>30</v>
      </c>
      <c r="W208">
        <v>0</v>
      </c>
      <c r="X208">
        <v>0</v>
      </c>
      <c r="Y208" t="s">
        <v>173</v>
      </c>
    </row>
    <row r="209" spans="1:25" x14ac:dyDescent="0.35">
      <c r="A209">
        <v>205335957</v>
      </c>
      <c r="B209" t="s">
        <v>1022</v>
      </c>
      <c r="C209" t="s">
        <v>1023</v>
      </c>
      <c r="D209" t="s">
        <v>1024</v>
      </c>
      <c r="F209" t="str">
        <f>"0356522962"</f>
        <v>0356522962</v>
      </c>
      <c r="G209" t="str">
        <f>"9780356522968"</f>
        <v>9780356522968</v>
      </c>
      <c r="H209">
        <v>0</v>
      </c>
      <c r="I209">
        <v>4.58</v>
      </c>
      <c r="J209" t="s">
        <v>803</v>
      </c>
      <c r="K209" t="s">
        <v>48</v>
      </c>
      <c r="L209">
        <v>400</v>
      </c>
      <c r="M209">
        <v>2025</v>
      </c>
      <c r="N209">
        <v>2025</v>
      </c>
      <c r="P209" s="1">
        <v>45675</v>
      </c>
      <c r="Q209" t="s">
        <v>30</v>
      </c>
      <c r="R209" t="s">
        <v>1025</v>
      </c>
      <c r="S209" t="s">
        <v>30</v>
      </c>
      <c r="W209">
        <v>0</v>
      </c>
      <c r="X209">
        <v>0</v>
      </c>
      <c r="Y209" t="s">
        <v>38</v>
      </c>
    </row>
    <row r="210" spans="1:25" x14ac:dyDescent="0.35">
      <c r="A210">
        <v>212364043</v>
      </c>
      <c r="B210" t="s">
        <v>1026</v>
      </c>
      <c r="C210" t="s">
        <v>1027</v>
      </c>
      <c r="D210" t="s">
        <v>1028</v>
      </c>
      <c r="F210" t="str">
        <f>"0063355841"</f>
        <v>0063355841</v>
      </c>
      <c r="G210" t="str">
        <f>"9780063355842"</f>
        <v>9780063355842</v>
      </c>
      <c r="H210">
        <v>0</v>
      </c>
      <c r="I210">
        <v>3.43</v>
      </c>
      <c r="J210" t="s">
        <v>683</v>
      </c>
      <c r="K210" t="s">
        <v>29</v>
      </c>
      <c r="L210">
        <v>368</v>
      </c>
      <c r="M210">
        <v>2025</v>
      </c>
      <c r="N210">
        <v>2025</v>
      </c>
      <c r="P210" s="1">
        <v>45675</v>
      </c>
      <c r="Q210" t="s">
        <v>30</v>
      </c>
      <c r="R210" t="s">
        <v>1029</v>
      </c>
      <c r="S210" t="s">
        <v>30</v>
      </c>
      <c r="W210">
        <v>0</v>
      </c>
      <c r="X210">
        <v>0</v>
      </c>
      <c r="Y210" t="s">
        <v>38</v>
      </c>
    </row>
    <row r="211" spans="1:25" x14ac:dyDescent="0.35">
      <c r="A211">
        <v>218559595</v>
      </c>
      <c r="B211" t="s">
        <v>1030</v>
      </c>
      <c r="C211" t="s">
        <v>1031</v>
      </c>
      <c r="D211" t="s">
        <v>1032</v>
      </c>
      <c r="F211" t="str">
        <f>"059344129X"</f>
        <v>059344129X</v>
      </c>
      <c r="G211" t="str">
        <f>"9780593441299"</f>
        <v>9780593441299</v>
      </c>
      <c r="H211">
        <v>0</v>
      </c>
      <c r="I211">
        <v>4.3499999999999996</v>
      </c>
      <c r="J211" t="s">
        <v>350</v>
      </c>
      <c r="K211" t="s">
        <v>48</v>
      </c>
      <c r="L211">
        <v>384</v>
      </c>
      <c r="M211">
        <v>2025</v>
      </c>
      <c r="N211">
        <v>2025</v>
      </c>
      <c r="P211" s="1">
        <v>45675</v>
      </c>
      <c r="Q211" t="s">
        <v>30</v>
      </c>
      <c r="R211" t="s">
        <v>1033</v>
      </c>
      <c r="S211" t="s">
        <v>30</v>
      </c>
      <c r="W211">
        <v>0</v>
      </c>
      <c r="X211">
        <v>0</v>
      </c>
      <c r="Y211" t="s">
        <v>38</v>
      </c>
    </row>
    <row r="212" spans="1:25" x14ac:dyDescent="0.35">
      <c r="A212">
        <v>217182552</v>
      </c>
      <c r="B212" t="s">
        <v>1034</v>
      </c>
      <c r="C212" t="s">
        <v>106</v>
      </c>
      <c r="D212" t="s">
        <v>107</v>
      </c>
      <c r="F212" t="str">
        <f>"1538759195"</f>
        <v>1538759195</v>
      </c>
      <c r="G212" t="str">
        <f>"9781538759196"</f>
        <v>9781538759196</v>
      </c>
      <c r="H212">
        <v>0</v>
      </c>
      <c r="I212">
        <v>4.58</v>
      </c>
      <c r="J212" t="s">
        <v>441</v>
      </c>
      <c r="K212" t="s">
        <v>48</v>
      </c>
      <c r="L212">
        <v>368</v>
      </c>
      <c r="M212">
        <v>2025</v>
      </c>
      <c r="N212">
        <v>2025</v>
      </c>
      <c r="P212" s="1">
        <v>45675</v>
      </c>
      <c r="Q212" t="s">
        <v>30</v>
      </c>
      <c r="R212" t="s">
        <v>1035</v>
      </c>
      <c r="S212" t="s">
        <v>30</v>
      </c>
      <c r="W212">
        <v>0</v>
      </c>
      <c r="X212">
        <v>0</v>
      </c>
      <c r="Y212" t="s">
        <v>38</v>
      </c>
    </row>
    <row r="213" spans="1:25" x14ac:dyDescent="0.35">
      <c r="A213">
        <v>209220944</v>
      </c>
      <c r="B213" t="s">
        <v>1036</v>
      </c>
      <c r="C213" t="s">
        <v>1037</v>
      </c>
      <c r="D213" t="s">
        <v>1038</v>
      </c>
      <c r="F213" t="str">
        <f>"0593871863"</f>
        <v>0593871863</v>
      </c>
      <c r="G213" t="str">
        <f>"9780593871867"</f>
        <v>9780593871867</v>
      </c>
      <c r="H213">
        <v>0</v>
      </c>
      <c r="I213">
        <v>4.1900000000000004</v>
      </c>
      <c r="J213" t="s">
        <v>1039</v>
      </c>
      <c r="K213" t="s">
        <v>29</v>
      </c>
      <c r="L213">
        <v>336</v>
      </c>
      <c r="M213">
        <v>2025</v>
      </c>
      <c r="N213">
        <v>2025</v>
      </c>
      <c r="P213" s="1">
        <v>45675</v>
      </c>
      <c r="Q213" t="s">
        <v>30</v>
      </c>
      <c r="R213" t="s">
        <v>1040</v>
      </c>
      <c r="S213" t="s">
        <v>30</v>
      </c>
      <c r="W213">
        <v>0</v>
      </c>
      <c r="X213">
        <v>0</v>
      </c>
      <c r="Y213" t="s">
        <v>38</v>
      </c>
    </row>
    <row r="214" spans="1:25" x14ac:dyDescent="0.35">
      <c r="A214">
        <v>211642122</v>
      </c>
      <c r="B214" t="s">
        <v>1041</v>
      </c>
      <c r="C214" t="s">
        <v>116</v>
      </c>
      <c r="D214" t="s">
        <v>117</v>
      </c>
      <c r="F214" t="str">
        <f>"0063267616"</f>
        <v>0063267616</v>
      </c>
      <c r="G214" t="str">
        <f>"9780063267619"</f>
        <v>9780063267619</v>
      </c>
      <c r="H214">
        <v>0</v>
      </c>
      <c r="I214">
        <v>3.98</v>
      </c>
      <c r="J214" t="s">
        <v>119</v>
      </c>
      <c r="K214" t="s">
        <v>48</v>
      </c>
      <c r="L214">
        <v>464</v>
      </c>
      <c r="M214">
        <v>2025</v>
      </c>
      <c r="N214">
        <v>2025</v>
      </c>
      <c r="P214" s="1">
        <v>45675</v>
      </c>
      <c r="Q214" t="s">
        <v>30</v>
      </c>
      <c r="R214" t="s">
        <v>1042</v>
      </c>
      <c r="S214" t="s">
        <v>30</v>
      </c>
      <c r="W214">
        <v>0</v>
      </c>
      <c r="X214">
        <v>0</v>
      </c>
      <c r="Y214" t="s">
        <v>38</v>
      </c>
    </row>
    <row r="215" spans="1:25" x14ac:dyDescent="0.35">
      <c r="A215">
        <v>211003830</v>
      </c>
      <c r="B215" t="s">
        <v>1043</v>
      </c>
      <c r="C215" t="s">
        <v>433</v>
      </c>
      <c r="D215" t="s">
        <v>434</v>
      </c>
      <c r="F215" t="str">
        <f>"1250280753"</f>
        <v>1250280753</v>
      </c>
      <c r="G215" t="str">
        <f>"9781250280756"</f>
        <v>9781250280756</v>
      </c>
      <c r="H215">
        <v>0</v>
      </c>
      <c r="I215">
        <v>4.07</v>
      </c>
      <c r="J215" t="s">
        <v>878</v>
      </c>
      <c r="K215" t="s">
        <v>48</v>
      </c>
      <c r="L215">
        <v>320</v>
      </c>
      <c r="M215">
        <v>2025</v>
      </c>
      <c r="N215">
        <v>2025</v>
      </c>
      <c r="P215" s="1">
        <v>45675</v>
      </c>
      <c r="Q215" t="s">
        <v>30</v>
      </c>
      <c r="R215" t="s">
        <v>1044</v>
      </c>
      <c r="S215" t="s">
        <v>30</v>
      </c>
      <c r="W215">
        <v>0</v>
      </c>
      <c r="X215">
        <v>0</v>
      </c>
      <c r="Y215" t="s">
        <v>542</v>
      </c>
    </row>
    <row r="216" spans="1:25" x14ac:dyDescent="0.35">
      <c r="A216">
        <v>217245582</v>
      </c>
      <c r="B216" t="s">
        <v>1045</v>
      </c>
      <c r="C216" t="s">
        <v>1046</v>
      </c>
      <c r="D216" t="s">
        <v>1047</v>
      </c>
      <c r="F216" t="str">
        <f>"0385551010"</f>
        <v>0385551010</v>
      </c>
      <c r="G216" t="str">
        <f>"9780385551014"</f>
        <v>9780385551014</v>
      </c>
      <c r="H216">
        <v>0</v>
      </c>
      <c r="I216">
        <v>4.3</v>
      </c>
      <c r="J216" t="s">
        <v>637</v>
      </c>
      <c r="K216" t="s">
        <v>48</v>
      </c>
      <c r="L216">
        <v>368</v>
      </c>
      <c r="M216">
        <v>2025</v>
      </c>
      <c r="N216">
        <v>2025</v>
      </c>
      <c r="P216" s="1">
        <v>45675</v>
      </c>
      <c r="Q216" t="s">
        <v>30</v>
      </c>
      <c r="R216" t="s">
        <v>1048</v>
      </c>
      <c r="S216" t="s">
        <v>30</v>
      </c>
      <c r="W216">
        <v>0</v>
      </c>
      <c r="X216">
        <v>0</v>
      </c>
      <c r="Y216" t="s">
        <v>38</v>
      </c>
    </row>
    <row r="217" spans="1:25" x14ac:dyDescent="0.35">
      <c r="A217">
        <v>214152211</v>
      </c>
      <c r="B217" t="s">
        <v>1049</v>
      </c>
      <c r="C217" t="s">
        <v>1050</v>
      </c>
      <c r="D217" t="s">
        <v>1051</v>
      </c>
      <c r="F217" t="str">
        <f>"1668061449"</f>
        <v>1668061449</v>
      </c>
      <c r="G217" t="str">
        <f>"9781668061442"</f>
        <v>9781668061442</v>
      </c>
      <c r="H217">
        <v>0</v>
      </c>
      <c r="I217">
        <v>4.4800000000000004</v>
      </c>
      <c r="J217" t="s">
        <v>496</v>
      </c>
      <c r="K217" t="s">
        <v>48</v>
      </c>
      <c r="L217">
        <v>288</v>
      </c>
      <c r="M217">
        <v>2025</v>
      </c>
      <c r="N217">
        <v>2025</v>
      </c>
      <c r="P217" s="1">
        <v>45675</v>
      </c>
      <c r="Q217" t="s">
        <v>30</v>
      </c>
      <c r="R217" t="s">
        <v>1052</v>
      </c>
      <c r="S217" t="s">
        <v>30</v>
      </c>
      <c r="W217">
        <v>0</v>
      </c>
      <c r="X217">
        <v>0</v>
      </c>
      <c r="Y217" t="s">
        <v>38</v>
      </c>
    </row>
    <row r="218" spans="1:25" x14ac:dyDescent="0.35">
      <c r="A218">
        <v>213618132</v>
      </c>
      <c r="B218" t="s">
        <v>1053</v>
      </c>
      <c r="C218" t="s">
        <v>1054</v>
      </c>
      <c r="D218" t="s">
        <v>1055</v>
      </c>
      <c r="F218" t="str">
        <f>"0593358368"</f>
        <v>0593358368</v>
      </c>
      <c r="G218" t="str">
        <f>"9780593358368"</f>
        <v>9780593358368</v>
      </c>
      <c r="H218">
        <v>0</v>
      </c>
      <c r="I218">
        <v>4.16</v>
      </c>
      <c r="J218" t="s">
        <v>1008</v>
      </c>
      <c r="K218" t="s">
        <v>48</v>
      </c>
      <c r="L218">
        <v>368</v>
      </c>
      <c r="M218">
        <v>2025</v>
      </c>
      <c r="N218">
        <v>2025</v>
      </c>
      <c r="P218" s="1">
        <v>45675</v>
      </c>
      <c r="Q218" t="s">
        <v>30</v>
      </c>
      <c r="R218" t="s">
        <v>1056</v>
      </c>
      <c r="S218" t="s">
        <v>30</v>
      </c>
      <c r="W218">
        <v>0</v>
      </c>
      <c r="X218">
        <v>0</v>
      </c>
      <c r="Y218" t="s">
        <v>38</v>
      </c>
    </row>
    <row r="219" spans="1:25" x14ac:dyDescent="0.35">
      <c r="A219">
        <v>211025407</v>
      </c>
      <c r="B219" t="s">
        <v>1057</v>
      </c>
      <c r="C219" t="s">
        <v>1058</v>
      </c>
      <c r="D219" t="s">
        <v>1059</v>
      </c>
      <c r="F219" t="str">
        <f>""</f>
        <v/>
      </c>
      <c r="G219" t="str">
        <f>""</f>
        <v/>
      </c>
      <c r="H219">
        <v>0</v>
      </c>
      <c r="I219">
        <v>4.29</v>
      </c>
      <c r="J219" t="s">
        <v>1060</v>
      </c>
      <c r="K219" t="s">
        <v>48</v>
      </c>
      <c r="L219">
        <v>512</v>
      </c>
      <c r="M219">
        <v>2025</v>
      </c>
      <c r="N219">
        <v>2025</v>
      </c>
      <c r="P219" s="1">
        <v>45675</v>
      </c>
      <c r="Q219" t="s">
        <v>30</v>
      </c>
      <c r="R219" t="s">
        <v>1061</v>
      </c>
      <c r="S219" t="s">
        <v>30</v>
      </c>
      <c r="W219">
        <v>0</v>
      </c>
      <c r="X219">
        <v>0</v>
      </c>
      <c r="Y219" t="s">
        <v>38</v>
      </c>
    </row>
    <row r="220" spans="1:25" x14ac:dyDescent="0.35">
      <c r="A220">
        <v>216784259</v>
      </c>
      <c r="B220" t="s">
        <v>1062</v>
      </c>
      <c r="C220" t="s">
        <v>1063</v>
      </c>
      <c r="D220" t="s">
        <v>1064</v>
      </c>
      <c r="F220" t="str">
        <f>""</f>
        <v/>
      </c>
      <c r="G220" t="str">
        <f>"9798886051742"</f>
        <v>9798886051742</v>
      </c>
      <c r="H220">
        <v>0</v>
      </c>
      <c r="I220">
        <v>4.53</v>
      </c>
      <c r="J220" t="s">
        <v>113</v>
      </c>
      <c r="K220" t="s">
        <v>48</v>
      </c>
      <c r="L220">
        <v>336</v>
      </c>
      <c r="M220">
        <v>2025</v>
      </c>
      <c r="P220" s="1">
        <v>45675</v>
      </c>
      <c r="Q220" t="s">
        <v>30</v>
      </c>
      <c r="R220" t="s">
        <v>1065</v>
      </c>
      <c r="S220" t="s">
        <v>30</v>
      </c>
      <c r="W220">
        <v>0</v>
      </c>
      <c r="X220">
        <v>0</v>
      </c>
      <c r="Y220" t="s">
        <v>38</v>
      </c>
    </row>
    <row r="221" spans="1:25" x14ac:dyDescent="0.35">
      <c r="A221">
        <v>219300060</v>
      </c>
      <c r="B221" t="s">
        <v>1066</v>
      </c>
      <c r="C221" t="s">
        <v>1067</v>
      </c>
      <c r="D221" t="s">
        <v>1068</v>
      </c>
      <c r="F221" t="str">
        <f>""</f>
        <v/>
      </c>
      <c r="G221" t="str">
        <f>""</f>
        <v/>
      </c>
      <c r="H221">
        <v>0</v>
      </c>
      <c r="I221">
        <v>4.71</v>
      </c>
      <c r="K221" t="s">
        <v>85</v>
      </c>
      <c r="L221">
        <v>197</v>
      </c>
      <c r="M221">
        <v>2025</v>
      </c>
      <c r="P221" s="1">
        <v>45675</v>
      </c>
      <c r="Q221" t="s">
        <v>30</v>
      </c>
      <c r="R221" t="s">
        <v>1069</v>
      </c>
      <c r="S221" t="s">
        <v>30</v>
      </c>
      <c r="W221">
        <v>0</v>
      </c>
      <c r="X221">
        <v>0</v>
      </c>
      <c r="Y221" t="s">
        <v>38</v>
      </c>
    </row>
    <row r="222" spans="1:25" x14ac:dyDescent="0.35">
      <c r="A222">
        <v>207616572</v>
      </c>
      <c r="B222" t="s">
        <v>1070</v>
      </c>
      <c r="C222" t="s">
        <v>1071</v>
      </c>
      <c r="D222" t="s">
        <v>1072</v>
      </c>
      <c r="F222" t="str">
        <f>""</f>
        <v/>
      </c>
      <c r="G222" t="str">
        <f>""</f>
        <v/>
      </c>
      <c r="H222">
        <v>0</v>
      </c>
      <c r="I222">
        <v>0</v>
      </c>
      <c r="J222" t="s">
        <v>740</v>
      </c>
      <c r="K222" t="s">
        <v>85</v>
      </c>
      <c r="L222">
        <v>0</v>
      </c>
      <c r="M222">
        <v>2025</v>
      </c>
      <c r="P222" s="1">
        <v>45675</v>
      </c>
      <c r="Q222" t="s">
        <v>30</v>
      </c>
      <c r="R222" t="s">
        <v>1073</v>
      </c>
      <c r="S222" t="s">
        <v>30</v>
      </c>
      <c r="W222">
        <v>0</v>
      </c>
      <c r="X222">
        <v>0</v>
      </c>
      <c r="Y222" t="s">
        <v>38</v>
      </c>
    </row>
    <row r="223" spans="1:25" x14ac:dyDescent="0.35">
      <c r="A223">
        <v>205755002</v>
      </c>
      <c r="B223" t="s">
        <v>1074</v>
      </c>
      <c r="C223" t="s">
        <v>1075</v>
      </c>
      <c r="D223" t="s">
        <v>1076</v>
      </c>
      <c r="F223" t="str">
        <f>"1990223222"</f>
        <v>1990223222</v>
      </c>
      <c r="G223" t="str">
        <f>"9781990223228"</f>
        <v>9781990223228</v>
      </c>
      <c r="H223">
        <v>0</v>
      </c>
      <c r="I223">
        <v>4.3499999999999996</v>
      </c>
      <c r="J223" t="s">
        <v>1077</v>
      </c>
      <c r="K223" t="s">
        <v>85</v>
      </c>
      <c r="L223">
        <v>232</v>
      </c>
      <c r="M223">
        <v>2024</v>
      </c>
      <c r="P223" s="1">
        <v>45675</v>
      </c>
      <c r="Q223" t="s">
        <v>30</v>
      </c>
      <c r="R223" t="s">
        <v>1078</v>
      </c>
      <c r="S223" t="s">
        <v>30</v>
      </c>
      <c r="W223">
        <v>0</v>
      </c>
      <c r="X223">
        <v>0</v>
      </c>
      <c r="Y223" t="s">
        <v>38</v>
      </c>
    </row>
    <row r="224" spans="1:25" x14ac:dyDescent="0.35">
      <c r="A224">
        <v>212322629</v>
      </c>
      <c r="B224" t="s">
        <v>1079</v>
      </c>
      <c r="C224" t="s">
        <v>1075</v>
      </c>
      <c r="D224" t="s">
        <v>1076</v>
      </c>
      <c r="E224" t="s">
        <v>1080</v>
      </c>
      <c r="F224" t="str">
        <f>"1990223249"</f>
        <v>1990223249</v>
      </c>
      <c r="G224" t="str">
        <f>"9781990223242"</f>
        <v>9781990223242</v>
      </c>
      <c r="H224">
        <v>0</v>
      </c>
      <c r="I224">
        <v>4.28</v>
      </c>
      <c r="J224" t="s">
        <v>1077</v>
      </c>
      <c r="K224" t="s">
        <v>85</v>
      </c>
      <c r="L224">
        <v>63</v>
      </c>
      <c r="M224">
        <v>2024</v>
      </c>
      <c r="P224" s="1">
        <v>45675</v>
      </c>
      <c r="Q224" t="s">
        <v>30</v>
      </c>
      <c r="R224" t="s">
        <v>1081</v>
      </c>
      <c r="S224" t="s">
        <v>30</v>
      </c>
      <c r="W224">
        <v>0</v>
      </c>
      <c r="X224">
        <v>0</v>
      </c>
      <c r="Y224" t="s">
        <v>38</v>
      </c>
    </row>
    <row r="225" spans="1:25" x14ac:dyDescent="0.35">
      <c r="A225">
        <v>216308119</v>
      </c>
      <c r="B225" t="s">
        <v>1082</v>
      </c>
      <c r="C225" t="s">
        <v>1075</v>
      </c>
      <c r="D225" t="s">
        <v>1076</v>
      </c>
      <c r="F225" t="str">
        <f>"1990223265"</f>
        <v>1990223265</v>
      </c>
      <c r="G225" t="str">
        <f>"9781990223266"</f>
        <v>9781990223266</v>
      </c>
      <c r="H225">
        <v>0</v>
      </c>
      <c r="I225">
        <v>4.2</v>
      </c>
      <c r="J225" t="s">
        <v>1077</v>
      </c>
      <c r="K225" t="s">
        <v>85</v>
      </c>
      <c r="L225">
        <v>114</v>
      </c>
      <c r="M225">
        <v>2025</v>
      </c>
      <c r="P225" s="1">
        <v>45675</v>
      </c>
      <c r="Q225" t="s">
        <v>30</v>
      </c>
      <c r="R225" t="s">
        <v>1083</v>
      </c>
      <c r="S225" t="s">
        <v>30</v>
      </c>
      <c r="W225">
        <v>0</v>
      </c>
      <c r="X225">
        <v>0</v>
      </c>
      <c r="Y225" t="s">
        <v>38</v>
      </c>
    </row>
    <row r="226" spans="1:25" x14ac:dyDescent="0.35">
      <c r="A226">
        <v>202173746</v>
      </c>
      <c r="B226" t="s">
        <v>1084</v>
      </c>
      <c r="C226" t="s">
        <v>677</v>
      </c>
      <c r="D226" t="s">
        <v>678</v>
      </c>
      <c r="F226" t="str">
        <f>"1922636711"</f>
        <v>1922636711</v>
      </c>
      <c r="G226" t="str">
        <f>"9781922636713"</f>
        <v>9781922636713</v>
      </c>
      <c r="H226">
        <v>0</v>
      </c>
      <c r="I226">
        <v>4.58</v>
      </c>
      <c r="J226" t="s">
        <v>448</v>
      </c>
      <c r="K226" t="s">
        <v>85</v>
      </c>
      <c r="L226">
        <v>396</v>
      </c>
      <c r="M226">
        <v>2024</v>
      </c>
      <c r="P226" s="1">
        <v>45675</v>
      </c>
      <c r="Q226" t="s">
        <v>30</v>
      </c>
      <c r="R226" t="s">
        <v>1085</v>
      </c>
      <c r="S226" t="s">
        <v>30</v>
      </c>
      <c r="W226">
        <v>0</v>
      </c>
      <c r="X226">
        <v>0</v>
      </c>
      <c r="Y226" t="s">
        <v>38</v>
      </c>
    </row>
    <row r="227" spans="1:25" x14ac:dyDescent="0.35">
      <c r="A227">
        <v>202796108</v>
      </c>
      <c r="B227" t="s">
        <v>1086</v>
      </c>
      <c r="C227" t="s">
        <v>677</v>
      </c>
      <c r="D227" t="s">
        <v>678</v>
      </c>
      <c r="F227" t="str">
        <f>"1922636703"</f>
        <v>1922636703</v>
      </c>
      <c r="G227" t="str">
        <f>"9781922636706"</f>
        <v>9781922636706</v>
      </c>
      <c r="H227">
        <v>0</v>
      </c>
      <c r="I227">
        <v>4.2699999999999996</v>
      </c>
      <c r="J227" t="s">
        <v>448</v>
      </c>
      <c r="K227" t="s">
        <v>29</v>
      </c>
      <c r="L227">
        <v>430</v>
      </c>
      <c r="M227">
        <v>2023</v>
      </c>
      <c r="P227" s="1">
        <v>45675</v>
      </c>
      <c r="Q227" t="s">
        <v>30</v>
      </c>
      <c r="R227" t="s">
        <v>1087</v>
      </c>
      <c r="S227" t="s">
        <v>30</v>
      </c>
      <c r="W227">
        <v>0</v>
      </c>
      <c r="X227">
        <v>0</v>
      </c>
      <c r="Y227" t="s">
        <v>38</v>
      </c>
    </row>
    <row r="228" spans="1:25" x14ac:dyDescent="0.35">
      <c r="A228">
        <v>140567061</v>
      </c>
      <c r="B228" t="s">
        <v>1088</v>
      </c>
      <c r="C228" t="s">
        <v>677</v>
      </c>
      <c r="D228" t="s">
        <v>678</v>
      </c>
      <c r="F228" t="str">
        <f>"1922636673"</f>
        <v>1922636673</v>
      </c>
      <c r="G228" t="str">
        <f>"9781922636676"</f>
        <v>9781922636676</v>
      </c>
      <c r="H228">
        <v>0</v>
      </c>
      <c r="I228">
        <v>4.5</v>
      </c>
      <c r="J228" t="s">
        <v>448</v>
      </c>
      <c r="K228" t="s">
        <v>85</v>
      </c>
      <c r="L228">
        <v>394</v>
      </c>
      <c r="M228">
        <v>2023</v>
      </c>
      <c r="P228" s="1">
        <v>45675</v>
      </c>
      <c r="Q228" t="s">
        <v>30</v>
      </c>
      <c r="R228" t="s">
        <v>1089</v>
      </c>
      <c r="S228" t="s">
        <v>30</v>
      </c>
      <c r="W228">
        <v>0</v>
      </c>
      <c r="X228">
        <v>0</v>
      </c>
      <c r="Y228" t="s">
        <v>38</v>
      </c>
    </row>
    <row r="229" spans="1:25" x14ac:dyDescent="0.35">
      <c r="A229">
        <v>122743075</v>
      </c>
      <c r="B229" t="s">
        <v>1090</v>
      </c>
      <c r="C229" t="s">
        <v>677</v>
      </c>
      <c r="D229" t="s">
        <v>678</v>
      </c>
      <c r="F229" t="str">
        <f>"1922636657"</f>
        <v>1922636657</v>
      </c>
      <c r="G229" t="str">
        <f>"9781922636652"</f>
        <v>9781922636652</v>
      </c>
      <c r="H229">
        <v>0</v>
      </c>
      <c r="I229">
        <v>4.5199999999999996</v>
      </c>
      <c r="J229" t="s">
        <v>448</v>
      </c>
      <c r="K229" t="s">
        <v>85</v>
      </c>
      <c r="L229">
        <v>376</v>
      </c>
      <c r="M229">
        <v>2023</v>
      </c>
      <c r="P229" s="1">
        <v>45675</v>
      </c>
      <c r="Q229" t="s">
        <v>30</v>
      </c>
      <c r="R229" t="s">
        <v>1091</v>
      </c>
      <c r="S229" t="s">
        <v>30</v>
      </c>
      <c r="W229">
        <v>0</v>
      </c>
      <c r="X229">
        <v>0</v>
      </c>
      <c r="Y229" t="s">
        <v>38</v>
      </c>
    </row>
    <row r="230" spans="1:25" x14ac:dyDescent="0.35">
      <c r="A230">
        <v>68049844</v>
      </c>
      <c r="B230" t="s">
        <v>1092</v>
      </c>
      <c r="C230" t="s">
        <v>677</v>
      </c>
      <c r="D230" t="s">
        <v>678</v>
      </c>
      <c r="F230" t="str">
        <f>"1922636630"</f>
        <v>1922636630</v>
      </c>
      <c r="G230" t="str">
        <f>"9781922636638"</f>
        <v>9781922636638</v>
      </c>
      <c r="H230">
        <v>0</v>
      </c>
      <c r="I230">
        <v>4.45</v>
      </c>
      <c r="J230" t="s">
        <v>448</v>
      </c>
      <c r="K230" t="s">
        <v>85</v>
      </c>
      <c r="L230">
        <v>368</v>
      </c>
      <c r="M230">
        <v>2023</v>
      </c>
      <c r="P230" s="1">
        <v>45675</v>
      </c>
      <c r="Q230" t="s">
        <v>30</v>
      </c>
      <c r="R230" t="s">
        <v>1093</v>
      </c>
      <c r="S230" t="s">
        <v>30</v>
      </c>
      <c r="W230">
        <v>0</v>
      </c>
      <c r="X230">
        <v>0</v>
      </c>
      <c r="Y230" t="s">
        <v>38</v>
      </c>
    </row>
    <row r="231" spans="1:25" x14ac:dyDescent="0.35">
      <c r="A231">
        <v>62611324</v>
      </c>
      <c r="B231" t="s">
        <v>1094</v>
      </c>
      <c r="C231" t="s">
        <v>1095</v>
      </c>
      <c r="D231" t="s">
        <v>1096</v>
      </c>
      <c r="F231" t="str">
        <f>"0764240412"</f>
        <v>0764240412</v>
      </c>
      <c r="G231" t="str">
        <f>"9780764240416"</f>
        <v>9780764240416</v>
      </c>
      <c r="H231">
        <v>0</v>
      </c>
      <c r="I231">
        <v>4.28</v>
      </c>
      <c r="J231" t="s">
        <v>36</v>
      </c>
      <c r="K231" t="s">
        <v>29</v>
      </c>
      <c r="L231">
        <v>352</v>
      </c>
      <c r="M231">
        <v>2023</v>
      </c>
      <c r="N231">
        <v>2023</v>
      </c>
      <c r="P231" s="1">
        <v>45675</v>
      </c>
      <c r="Q231" t="s">
        <v>30</v>
      </c>
      <c r="R231" t="s">
        <v>1097</v>
      </c>
      <c r="S231" t="s">
        <v>30</v>
      </c>
      <c r="W231">
        <v>0</v>
      </c>
      <c r="X231">
        <v>0</v>
      </c>
      <c r="Y231" t="s">
        <v>203</v>
      </c>
    </row>
    <row r="232" spans="1:25" x14ac:dyDescent="0.35">
      <c r="A232">
        <v>217247164</v>
      </c>
      <c r="B232" t="s">
        <v>1098</v>
      </c>
      <c r="C232" t="s">
        <v>1099</v>
      </c>
      <c r="D232" t="s">
        <v>1100</v>
      </c>
      <c r="F232" t="str">
        <f>"1962194043"</f>
        <v>1962194043</v>
      </c>
      <c r="G232" t="str">
        <f>"9781962194044"</f>
        <v>9781962194044</v>
      </c>
      <c r="H232">
        <v>0</v>
      </c>
      <c r="I232">
        <v>4.8099999999999996</v>
      </c>
      <c r="J232" t="s">
        <v>1101</v>
      </c>
      <c r="K232" t="s">
        <v>85</v>
      </c>
      <c r="L232">
        <v>489</v>
      </c>
      <c r="M232">
        <v>2024</v>
      </c>
      <c r="P232" s="1">
        <v>45675</v>
      </c>
      <c r="Q232" t="s">
        <v>30</v>
      </c>
      <c r="R232" t="s">
        <v>1102</v>
      </c>
      <c r="S232" t="s">
        <v>30</v>
      </c>
      <c r="W232">
        <v>0</v>
      </c>
      <c r="X232">
        <v>0</v>
      </c>
      <c r="Y232" t="s">
        <v>38</v>
      </c>
    </row>
    <row r="233" spans="1:25" x14ac:dyDescent="0.35">
      <c r="A233">
        <v>195513533</v>
      </c>
      <c r="B233" t="s">
        <v>1103</v>
      </c>
      <c r="C233" t="s">
        <v>1099</v>
      </c>
      <c r="D233" t="s">
        <v>1100</v>
      </c>
      <c r="F233" t="str">
        <f>"1962194019"</f>
        <v>1962194019</v>
      </c>
      <c r="G233" t="str">
        <f>"9781962194013"</f>
        <v>9781962194013</v>
      </c>
      <c r="H233">
        <v>0</v>
      </c>
      <c r="I233">
        <v>4.37</v>
      </c>
      <c r="J233" t="s">
        <v>1101</v>
      </c>
      <c r="K233" t="s">
        <v>85</v>
      </c>
      <c r="L233">
        <v>439</v>
      </c>
      <c r="M233">
        <v>2023</v>
      </c>
      <c r="P233" s="1">
        <v>45675</v>
      </c>
      <c r="Q233" t="s">
        <v>30</v>
      </c>
      <c r="R233" t="s">
        <v>1104</v>
      </c>
      <c r="S233" t="s">
        <v>30</v>
      </c>
      <c r="W233">
        <v>0</v>
      </c>
      <c r="X233">
        <v>0</v>
      </c>
      <c r="Y233" t="s">
        <v>38</v>
      </c>
    </row>
    <row r="234" spans="1:25" x14ac:dyDescent="0.35">
      <c r="A234">
        <v>221380997</v>
      </c>
      <c r="B234" t="s">
        <v>1105</v>
      </c>
      <c r="C234" t="s">
        <v>1106</v>
      </c>
      <c r="D234" t="s">
        <v>1107</v>
      </c>
      <c r="F234" t="str">
        <f>""</f>
        <v/>
      </c>
      <c r="G234" t="str">
        <f>"9798330532780"</f>
        <v>9798330532780</v>
      </c>
      <c r="H234">
        <v>0</v>
      </c>
      <c r="I234">
        <v>0</v>
      </c>
      <c r="J234" t="s">
        <v>1108</v>
      </c>
      <c r="K234" t="s">
        <v>29</v>
      </c>
      <c r="L234">
        <v>256</v>
      </c>
      <c r="M234">
        <v>2024</v>
      </c>
      <c r="P234" s="1">
        <v>45674</v>
      </c>
      <c r="Q234" t="s">
        <v>30</v>
      </c>
      <c r="R234" t="s">
        <v>1109</v>
      </c>
      <c r="S234" t="s">
        <v>30</v>
      </c>
      <c r="W234">
        <v>0</v>
      </c>
      <c r="X234">
        <v>0</v>
      </c>
      <c r="Y234" t="s">
        <v>38</v>
      </c>
    </row>
    <row r="235" spans="1:25" x14ac:dyDescent="0.35">
      <c r="A235">
        <v>220324455</v>
      </c>
      <c r="B235" t="s">
        <v>1110</v>
      </c>
      <c r="C235" t="s">
        <v>1111</v>
      </c>
      <c r="D235" t="s">
        <v>1112</v>
      </c>
      <c r="F235" t="str">
        <f>"1835740790"</f>
        <v>1835740790</v>
      </c>
      <c r="G235" t="str">
        <f>"9781835740798"</f>
        <v>9781835740798</v>
      </c>
      <c r="H235">
        <v>0</v>
      </c>
      <c r="I235">
        <v>4.46</v>
      </c>
      <c r="J235" t="s">
        <v>1113</v>
      </c>
      <c r="K235" t="s">
        <v>29</v>
      </c>
      <c r="L235">
        <v>416</v>
      </c>
      <c r="M235">
        <v>2024</v>
      </c>
      <c r="P235" s="1">
        <v>45674</v>
      </c>
      <c r="Q235" t="s">
        <v>30</v>
      </c>
      <c r="R235" t="s">
        <v>1114</v>
      </c>
      <c r="S235" t="s">
        <v>30</v>
      </c>
      <c r="W235">
        <v>0</v>
      </c>
      <c r="X235">
        <v>0</v>
      </c>
      <c r="Y235" t="s">
        <v>38</v>
      </c>
    </row>
    <row r="236" spans="1:25" x14ac:dyDescent="0.35">
      <c r="A236">
        <v>151998950</v>
      </c>
      <c r="B236" t="s">
        <v>1115</v>
      </c>
      <c r="C236" t="s">
        <v>1116</v>
      </c>
      <c r="D236" t="s">
        <v>1117</v>
      </c>
      <c r="E236" t="s">
        <v>1118</v>
      </c>
      <c r="F236" t="str">
        <f>""</f>
        <v/>
      </c>
      <c r="G236" t="str">
        <f>""</f>
        <v/>
      </c>
      <c r="H236">
        <v>0</v>
      </c>
      <c r="I236">
        <v>4.75</v>
      </c>
      <c r="K236" t="s">
        <v>85</v>
      </c>
      <c r="L236">
        <v>196</v>
      </c>
      <c r="M236">
        <v>2023</v>
      </c>
      <c r="P236" s="1">
        <v>45674</v>
      </c>
      <c r="Q236" t="s">
        <v>30</v>
      </c>
      <c r="R236" t="s">
        <v>1119</v>
      </c>
      <c r="S236" t="s">
        <v>30</v>
      </c>
      <c r="W236">
        <v>0</v>
      </c>
      <c r="X236">
        <v>0</v>
      </c>
      <c r="Y236" t="s">
        <v>38</v>
      </c>
    </row>
    <row r="237" spans="1:25" x14ac:dyDescent="0.35">
      <c r="A237">
        <v>123332071</v>
      </c>
      <c r="B237" t="s">
        <v>1120</v>
      </c>
      <c r="C237" t="s">
        <v>1116</v>
      </c>
      <c r="D237" t="s">
        <v>1117</v>
      </c>
      <c r="E237" t="s">
        <v>1118</v>
      </c>
      <c r="F237" t="str">
        <f>""</f>
        <v/>
      </c>
      <c r="G237" t="str">
        <f>"9798386324698"</f>
        <v>9798386324698</v>
      </c>
      <c r="H237">
        <v>0</v>
      </c>
      <c r="I237">
        <v>4.46</v>
      </c>
      <c r="J237" t="s">
        <v>1121</v>
      </c>
      <c r="K237" t="s">
        <v>29</v>
      </c>
      <c r="L237">
        <v>155</v>
      </c>
      <c r="M237">
        <v>2023</v>
      </c>
      <c r="P237" s="1">
        <v>45674</v>
      </c>
      <c r="Q237" t="s">
        <v>30</v>
      </c>
      <c r="R237" t="s">
        <v>1122</v>
      </c>
      <c r="S237" t="s">
        <v>30</v>
      </c>
      <c r="W237">
        <v>0</v>
      </c>
      <c r="X237">
        <v>0</v>
      </c>
      <c r="Y237" t="s">
        <v>38</v>
      </c>
    </row>
    <row r="238" spans="1:25" x14ac:dyDescent="0.35">
      <c r="A238">
        <v>77780507</v>
      </c>
      <c r="B238" t="s">
        <v>1123</v>
      </c>
      <c r="C238" t="s">
        <v>1116</v>
      </c>
      <c r="D238" t="s">
        <v>1117</v>
      </c>
      <c r="E238" t="s">
        <v>1118</v>
      </c>
      <c r="F238" t="str">
        <f>""</f>
        <v/>
      </c>
      <c r="G238" t="str">
        <f>""</f>
        <v/>
      </c>
      <c r="H238">
        <v>0</v>
      </c>
      <c r="I238">
        <v>4.45</v>
      </c>
      <c r="K238" t="s">
        <v>85</v>
      </c>
      <c r="L238">
        <v>198</v>
      </c>
      <c r="M238">
        <v>2023</v>
      </c>
      <c r="P238" s="1">
        <v>45674</v>
      </c>
      <c r="Q238" t="s">
        <v>30</v>
      </c>
      <c r="R238" t="s">
        <v>1124</v>
      </c>
      <c r="S238" t="s">
        <v>30</v>
      </c>
      <c r="W238">
        <v>0</v>
      </c>
      <c r="X238">
        <v>0</v>
      </c>
      <c r="Y238" t="s">
        <v>38</v>
      </c>
    </row>
    <row r="239" spans="1:25" x14ac:dyDescent="0.35">
      <c r="A239">
        <v>15947455</v>
      </c>
      <c r="B239" t="s">
        <v>1125</v>
      </c>
      <c r="C239" t="s">
        <v>1126</v>
      </c>
      <c r="D239" t="s">
        <v>1127</v>
      </c>
      <c r="F239" t="str">
        <f>"1451688857"</f>
        <v>1451688857</v>
      </c>
      <c r="G239" t="str">
        <f>"9781451688856"</f>
        <v>9781451688856</v>
      </c>
      <c r="H239">
        <v>0</v>
      </c>
      <c r="I239">
        <v>4.3899999999999997</v>
      </c>
      <c r="J239" t="s">
        <v>1128</v>
      </c>
      <c r="K239" t="s">
        <v>29</v>
      </c>
      <c r="L239">
        <v>304</v>
      </c>
      <c r="M239">
        <v>2013</v>
      </c>
      <c r="N239">
        <v>2013</v>
      </c>
      <c r="P239" s="1">
        <v>45674</v>
      </c>
      <c r="Q239" t="s">
        <v>30</v>
      </c>
      <c r="R239" t="s">
        <v>1129</v>
      </c>
      <c r="S239" t="s">
        <v>30</v>
      </c>
      <c r="W239">
        <v>0</v>
      </c>
      <c r="X239">
        <v>0</v>
      </c>
      <c r="Y239" t="s">
        <v>38</v>
      </c>
    </row>
    <row r="240" spans="1:25" x14ac:dyDescent="0.35">
      <c r="A240">
        <v>18144059</v>
      </c>
      <c r="B240" t="s">
        <v>1130</v>
      </c>
      <c r="C240" t="s">
        <v>1126</v>
      </c>
      <c r="D240" t="s">
        <v>1127</v>
      </c>
      <c r="F240" t="str">
        <f>"1451689101"</f>
        <v>1451689101</v>
      </c>
      <c r="G240" t="str">
        <f>"9781451689105"</f>
        <v>9781451689105</v>
      </c>
      <c r="H240">
        <v>0</v>
      </c>
      <c r="I240">
        <v>4.5599999999999996</v>
      </c>
      <c r="J240" t="s">
        <v>1128</v>
      </c>
      <c r="K240" t="s">
        <v>29</v>
      </c>
      <c r="L240">
        <v>368</v>
      </c>
      <c r="M240">
        <v>2014</v>
      </c>
      <c r="N240">
        <v>2014</v>
      </c>
      <c r="P240" s="1">
        <v>45674</v>
      </c>
      <c r="Q240" t="s">
        <v>30</v>
      </c>
      <c r="R240" t="s">
        <v>1131</v>
      </c>
      <c r="S240" t="s">
        <v>30</v>
      </c>
      <c r="W240">
        <v>0</v>
      </c>
      <c r="X240">
        <v>0</v>
      </c>
      <c r="Y240" t="s">
        <v>38</v>
      </c>
    </row>
    <row r="241" spans="1:25" x14ac:dyDescent="0.35">
      <c r="A241">
        <v>40392252</v>
      </c>
      <c r="B241" t="s">
        <v>1132</v>
      </c>
      <c r="C241" t="s">
        <v>1133</v>
      </c>
      <c r="D241" t="s">
        <v>1134</v>
      </c>
      <c r="F241" t="str">
        <f>"0800727983"</f>
        <v>0800727983</v>
      </c>
      <c r="G241" t="str">
        <f>"9780800727987"</f>
        <v>9780800727987</v>
      </c>
      <c r="H241">
        <v>0</v>
      </c>
      <c r="I241">
        <v>4.38</v>
      </c>
      <c r="J241" t="s">
        <v>259</v>
      </c>
      <c r="K241" t="s">
        <v>29</v>
      </c>
      <c r="L241">
        <v>356</v>
      </c>
      <c r="M241">
        <v>2019</v>
      </c>
      <c r="N241">
        <v>2019</v>
      </c>
      <c r="P241" s="1">
        <v>45674</v>
      </c>
      <c r="Q241" t="s">
        <v>30</v>
      </c>
      <c r="R241" t="s">
        <v>1135</v>
      </c>
      <c r="S241" t="s">
        <v>30</v>
      </c>
      <c r="W241">
        <v>0</v>
      </c>
      <c r="X241">
        <v>0</v>
      </c>
      <c r="Y241" t="s">
        <v>38</v>
      </c>
    </row>
    <row r="242" spans="1:25" x14ac:dyDescent="0.35">
      <c r="A242">
        <v>35069215</v>
      </c>
      <c r="B242" t="s">
        <v>1136</v>
      </c>
      <c r="C242" t="s">
        <v>1133</v>
      </c>
      <c r="D242" t="s">
        <v>1134</v>
      </c>
      <c r="F242" t="str">
        <f>"0800727975"</f>
        <v>0800727975</v>
      </c>
      <c r="G242" t="str">
        <f>"9780800727970"</f>
        <v>9780800727970</v>
      </c>
      <c r="H242">
        <v>0</v>
      </c>
      <c r="I242">
        <v>4.3</v>
      </c>
      <c r="J242" t="s">
        <v>1137</v>
      </c>
      <c r="K242" t="s">
        <v>29</v>
      </c>
      <c r="L242">
        <v>365</v>
      </c>
      <c r="M242">
        <v>2018</v>
      </c>
      <c r="N242">
        <v>2018</v>
      </c>
      <c r="P242" s="1">
        <v>45674</v>
      </c>
      <c r="Q242" t="s">
        <v>30</v>
      </c>
      <c r="R242" t="s">
        <v>1138</v>
      </c>
      <c r="S242" t="s">
        <v>30</v>
      </c>
      <c r="W242">
        <v>0</v>
      </c>
      <c r="X242">
        <v>0</v>
      </c>
      <c r="Y242" t="s">
        <v>38</v>
      </c>
    </row>
    <row r="243" spans="1:25" x14ac:dyDescent="0.35">
      <c r="A243">
        <v>209351061</v>
      </c>
      <c r="B243" t="s">
        <v>1139</v>
      </c>
      <c r="C243" t="s">
        <v>1095</v>
      </c>
      <c r="D243" t="s">
        <v>1096</v>
      </c>
      <c r="F243" t="str">
        <f>"0764240439"</f>
        <v>0764240439</v>
      </c>
      <c r="G243" t="str">
        <f>"9780764240430"</f>
        <v>9780764240430</v>
      </c>
      <c r="H243">
        <v>0</v>
      </c>
      <c r="I243">
        <v>4.4800000000000004</v>
      </c>
      <c r="J243" t="s">
        <v>36</v>
      </c>
      <c r="K243" t="s">
        <v>29</v>
      </c>
      <c r="L243">
        <v>352</v>
      </c>
      <c r="M243">
        <v>2024</v>
      </c>
      <c r="N243">
        <v>2024</v>
      </c>
      <c r="P243" s="1">
        <v>45673</v>
      </c>
      <c r="Q243" t="s">
        <v>30</v>
      </c>
      <c r="R243" t="s">
        <v>1140</v>
      </c>
      <c r="S243" t="s">
        <v>30</v>
      </c>
      <c r="W243">
        <v>0</v>
      </c>
      <c r="X243">
        <v>0</v>
      </c>
      <c r="Y243" t="s">
        <v>38</v>
      </c>
    </row>
    <row r="244" spans="1:25" x14ac:dyDescent="0.35">
      <c r="A244">
        <v>2042956</v>
      </c>
      <c r="B244" t="s">
        <v>1141</v>
      </c>
      <c r="C244" t="s">
        <v>54</v>
      </c>
      <c r="D244" t="s">
        <v>55</v>
      </c>
      <c r="E244" t="s">
        <v>1142</v>
      </c>
      <c r="F244" t="str">
        <f>"1414301553"</f>
        <v>1414301553</v>
      </c>
      <c r="G244" t="str">
        <f>"9781414301556"</f>
        <v>9781414301556</v>
      </c>
      <c r="H244">
        <v>0</v>
      </c>
      <c r="I244">
        <v>4.04</v>
      </c>
      <c r="J244" t="s">
        <v>227</v>
      </c>
      <c r="K244" t="s">
        <v>29</v>
      </c>
      <c r="L244">
        <v>288</v>
      </c>
      <c r="M244">
        <v>2007</v>
      </c>
      <c r="N244">
        <v>2003</v>
      </c>
      <c r="P244" s="1">
        <v>45672</v>
      </c>
      <c r="Q244" t="s">
        <v>30</v>
      </c>
      <c r="R244" t="s">
        <v>1143</v>
      </c>
      <c r="S244" t="s">
        <v>30</v>
      </c>
      <c r="W244">
        <v>0</v>
      </c>
      <c r="X244">
        <v>0</v>
      </c>
      <c r="Y244" t="s">
        <v>38</v>
      </c>
    </row>
    <row r="245" spans="1:25" x14ac:dyDescent="0.35">
      <c r="A245">
        <v>1470232</v>
      </c>
      <c r="B245" t="s">
        <v>1144</v>
      </c>
      <c r="C245" t="s">
        <v>1145</v>
      </c>
      <c r="D245" t="s">
        <v>1146</v>
      </c>
      <c r="F245" t="str">
        <f>""</f>
        <v/>
      </c>
      <c r="G245" t="str">
        <f>""</f>
        <v/>
      </c>
      <c r="H245">
        <v>0</v>
      </c>
      <c r="I245">
        <v>4.17</v>
      </c>
      <c r="J245" t="s">
        <v>1008</v>
      </c>
      <c r="K245" t="s">
        <v>228</v>
      </c>
      <c r="L245">
        <v>451</v>
      </c>
      <c r="M245">
        <v>2007</v>
      </c>
      <c r="N245">
        <v>2006</v>
      </c>
      <c r="P245" s="1">
        <v>45672</v>
      </c>
      <c r="Q245" t="s">
        <v>30</v>
      </c>
      <c r="R245" t="s">
        <v>1147</v>
      </c>
      <c r="S245" t="s">
        <v>30</v>
      </c>
      <c r="W245">
        <v>0</v>
      </c>
      <c r="X245">
        <v>0</v>
      </c>
      <c r="Y245" t="s">
        <v>173</v>
      </c>
    </row>
    <row r="246" spans="1:25" x14ac:dyDescent="0.35">
      <c r="A246">
        <v>204408200</v>
      </c>
      <c r="B246" t="s">
        <v>1148</v>
      </c>
      <c r="C246" t="s">
        <v>1149</v>
      </c>
      <c r="D246" t="s">
        <v>1150</v>
      </c>
      <c r="F246" t="str">
        <f>""</f>
        <v/>
      </c>
      <c r="G246" t="str">
        <f>""</f>
        <v/>
      </c>
      <c r="H246">
        <v>0</v>
      </c>
      <c r="I246">
        <v>4.21</v>
      </c>
      <c r="K246" t="s">
        <v>85</v>
      </c>
      <c r="L246">
        <v>346</v>
      </c>
      <c r="M246">
        <v>2024</v>
      </c>
      <c r="P246" s="1">
        <v>45672</v>
      </c>
      <c r="Q246" t="s">
        <v>30</v>
      </c>
      <c r="R246" t="s">
        <v>1151</v>
      </c>
      <c r="S246" t="s">
        <v>30</v>
      </c>
      <c r="W246">
        <v>0</v>
      </c>
      <c r="X246">
        <v>0</v>
      </c>
      <c r="Y246" t="s">
        <v>38</v>
      </c>
    </row>
    <row r="247" spans="1:25" x14ac:dyDescent="0.35">
      <c r="A247">
        <v>57185878</v>
      </c>
      <c r="B247" t="s">
        <v>1152</v>
      </c>
      <c r="C247" t="s">
        <v>1153</v>
      </c>
      <c r="D247" t="s">
        <v>1154</v>
      </c>
      <c r="F247" t="str">
        <f>""</f>
        <v/>
      </c>
      <c r="G247" t="str">
        <f>""</f>
        <v/>
      </c>
      <c r="H247">
        <v>0</v>
      </c>
      <c r="I247">
        <v>4.1100000000000003</v>
      </c>
      <c r="J247" t="s">
        <v>1155</v>
      </c>
      <c r="K247" t="s">
        <v>375</v>
      </c>
      <c r="L247">
        <v>160</v>
      </c>
      <c r="M247">
        <v>2025</v>
      </c>
      <c r="N247">
        <v>2025</v>
      </c>
      <c r="P247" s="1">
        <v>45672</v>
      </c>
      <c r="Q247" t="s">
        <v>30</v>
      </c>
      <c r="R247" t="s">
        <v>1156</v>
      </c>
      <c r="S247" t="s">
        <v>30</v>
      </c>
      <c r="W247">
        <v>0</v>
      </c>
      <c r="X247">
        <v>0</v>
      </c>
      <c r="Y247" t="s">
        <v>32</v>
      </c>
    </row>
    <row r="248" spans="1:25" x14ac:dyDescent="0.35">
      <c r="A248">
        <v>6609748</v>
      </c>
      <c r="B248" t="s">
        <v>1157</v>
      </c>
      <c r="C248" t="s">
        <v>1158</v>
      </c>
      <c r="D248" t="s">
        <v>1159</v>
      </c>
      <c r="E248" t="s">
        <v>1160</v>
      </c>
      <c r="F248" t="str">
        <f>"0061791059"</f>
        <v>0061791059</v>
      </c>
      <c r="G248" t="str">
        <f>"9780061791055"</f>
        <v>9780061791055</v>
      </c>
      <c r="H248">
        <v>0</v>
      </c>
      <c r="I248">
        <v>3.94</v>
      </c>
      <c r="J248" t="s">
        <v>1161</v>
      </c>
      <c r="K248" t="s">
        <v>48</v>
      </c>
      <c r="L248">
        <v>272</v>
      </c>
      <c r="M248">
        <v>2010</v>
      </c>
      <c r="N248">
        <v>2009</v>
      </c>
      <c r="P248" s="1">
        <v>45672</v>
      </c>
      <c r="Q248" t="s">
        <v>30</v>
      </c>
      <c r="R248" t="s">
        <v>1162</v>
      </c>
      <c r="S248" t="s">
        <v>30</v>
      </c>
      <c r="W248">
        <v>0</v>
      </c>
      <c r="X248">
        <v>0</v>
      </c>
      <c r="Y248" t="s">
        <v>504</v>
      </c>
    </row>
    <row r="249" spans="1:25" x14ac:dyDescent="0.35">
      <c r="A249">
        <v>200933462</v>
      </c>
      <c r="B249" t="s">
        <v>1163</v>
      </c>
      <c r="C249" t="s">
        <v>1164</v>
      </c>
      <c r="D249" t="s">
        <v>1165</v>
      </c>
      <c r="F249" t="str">
        <f>"1636098347"</f>
        <v>1636098347</v>
      </c>
      <c r="G249" t="str">
        <f>"9781636098340"</f>
        <v>9781636098340</v>
      </c>
      <c r="H249">
        <v>0</v>
      </c>
      <c r="I249">
        <v>4.1100000000000003</v>
      </c>
      <c r="J249" t="s">
        <v>817</v>
      </c>
      <c r="K249" t="s">
        <v>85</v>
      </c>
      <c r="L249">
        <v>375</v>
      </c>
      <c r="M249">
        <v>2024</v>
      </c>
      <c r="N249">
        <v>2024</v>
      </c>
      <c r="P249" s="1">
        <v>45672</v>
      </c>
      <c r="Q249" t="s">
        <v>30</v>
      </c>
      <c r="R249" t="s">
        <v>1166</v>
      </c>
      <c r="S249" t="s">
        <v>30</v>
      </c>
      <c r="W249">
        <v>0</v>
      </c>
      <c r="X249">
        <v>0</v>
      </c>
      <c r="Y249" t="s">
        <v>38</v>
      </c>
    </row>
    <row r="250" spans="1:25" x14ac:dyDescent="0.35">
      <c r="A250">
        <v>24463265</v>
      </c>
      <c r="B250" t="s">
        <v>1167</v>
      </c>
      <c r="C250" t="s">
        <v>1168</v>
      </c>
      <c r="D250" t="s">
        <v>1169</v>
      </c>
      <c r="F250" t="str">
        <f>"1405276177"</f>
        <v>1405276177</v>
      </c>
      <c r="G250" t="str">
        <f>"9781405276177"</f>
        <v>9781405276177</v>
      </c>
      <c r="H250">
        <v>0</v>
      </c>
      <c r="I250">
        <v>3.99</v>
      </c>
      <c r="J250" t="s">
        <v>1170</v>
      </c>
      <c r="K250" t="s">
        <v>29</v>
      </c>
      <c r="L250">
        <v>320</v>
      </c>
      <c r="M250">
        <v>2015</v>
      </c>
      <c r="N250">
        <v>2015</v>
      </c>
      <c r="P250" s="1">
        <v>45672</v>
      </c>
      <c r="Q250" t="s">
        <v>30</v>
      </c>
      <c r="R250" t="s">
        <v>1171</v>
      </c>
      <c r="S250" t="s">
        <v>30</v>
      </c>
      <c r="W250">
        <v>0</v>
      </c>
      <c r="X250">
        <v>0</v>
      </c>
      <c r="Y250" t="s">
        <v>542</v>
      </c>
    </row>
    <row r="251" spans="1:25" x14ac:dyDescent="0.35">
      <c r="A251">
        <v>22572148</v>
      </c>
      <c r="B251" t="s">
        <v>1172</v>
      </c>
      <c r="C251" t="s">
        <v>1173</v>
      </c>
      <c r="D251" t="s">
        <v>1174</v>
      </c>
      <c r="F251" t="str">
        <f>"1401690262"</f>
        <v>1401690262</v>
      </c>
      <c r="G251" t="str">
        <f>"9781401690267"</f>
        <v>9781401690267</v>
      </c>
      <c r="H251">
        <v>0</v>
      </c>
      <c r="I251">
        <v>4.03</v>
      </c>
      <c r="J251" t="s">
        <v>1175</v>
      </c>
      <c r="K251" t="s">
        <v>29</v>
      </c>
      <c r="L251">
        <v>336</v>
      </c>
      <c r="M251">
        <v>2015</v>
      </c>
      <c r="N251">
        <v>2015</v>
      </c>
      <c r="P251" s="1">
        <v>45671</v>
      </c>
      <c r="Q251" t="s">
        <v>30</v>
      </c>
      <c r="R251" t="s">
        <v>1176</v>
      </c>
      <c r="S251" t="s">
        <v>30</v>
      </c>
      <c r="W251">
        <v>0</v>
      </c>
      <c r="X251">
        <v>0</v>
      </c>
      <c r="Y251" t="s">
        <v>38</v>
      </c>
    </row>
    <row r="252" spans="1:25" x14ac:dyDescent="0.35">
      <c r="A252">
        <v>203554192</v>
      </c>
      <c r="B252" t="s">
        <v>1177</v>
      </c>
      <c r="C252" t="s">
        <v>1178</v>
      </c>
      <c r="D252" t="s">
        <v>1179</v>
      </c>
      <c r="F252" t="str">
        <f>""</f>
        <v/>
      </c>
      <c r="G252" t="str">
        <f>""</f>
        <v/>
      </c>
      <c r="H252">
        <v>0</v>
      </c>
      <c r="I252">
        <v>4.4000000000000004</v>
      </c>
      <c r="J252" t="s">
        <v>740</v>
      </c>
      <c r="K252" t="s">
        <v>85</v>
      </c>
      <c r="L252">
        <v>188</v>
      </c>
      <c r="M252">
        <v>2024</v>
      </c>
      <c r="P252" s="1">
        <v>45671</v>
      </c>
      <c r="Q252" t="s">
        <v>30</v>
      </c>
      <c r="R252" t="s">
        <v>1180</v>
      </c>
      <c r="S252" t="s">
        <v>30</v>
      </c>
      <c r="W252">
        <v>0</v>
      </c>
      <c r="X252">
        <v>0</v>
      </c>
      <c r="Y252" t="s">
        <v>38</v>
      </c>
    </row>
    <row r="253" spans="1:25" x14ac:dyDescent="0.35">
      <c r="A253">
        <v>221436037</v>
      </c>
      <c r="B253" t="s">
        <v>1181</v>
      </c>
      <c r="C253" t="s">
        <v>1182</v>
      </c>
      <c r="D253" t="s">
        <v>1183</v>
      </c>
      <c r="F253" t="str">
        <f>""</f>
        <v/>
      </c>
      <c r="G253" t="str">
        <f>"9798896608950"</f>
        <v>9798896608950</v>
      </c>
      <c r="H253">
        <v>0</v>
      </c>
      <c r="I253">
        <v>4.6900000000000004</v>
      </c>
      <c r="J253" t="s">
        <v>740</v>
      </c>
      <c r="K253" t="s">
        <v>85</v>
      </c>
      <c r="L253">
        <v>191</v>
      </c>
      <c r="M253">
        <v>2024</v>
      </c>
      <c r="P253" s="1">
        <v>45671</v>
      </c>
      <c r="Q253" t="s">
        <v>30</v>
      </c>
      <c r="R253" t="s">
        <v>1184</v>
      </c>
      <c r="S253" t="s">
        <v>30</v>
      </c>
      <c r="W253">
        <v>0</v>
      </c>
      <c r="X253">
        <v>0</v>
      </c>
      <c r="Y253" t="s">
        <v>38</v>
      </c>
    </row>
    <row r="254" spans="1:25" x14ac:dyDescent="0.35">
      <c r="A254">
        <v>182094184</v>
      </c>
      <c r="B254" t="s">
        <v>1185</v>
      </c>
      <c r="C254" t="s">
        <v>1095</v>
      </c>
      <c r="D254" t="s">
        <v>1096</v>
      </c>
      <c r="F254" t="str">
        <f>"0764240420"</f>
        <v>0764240420</v>
      </c>
      <c r="G254" t="str">
        <f>"9780764240423"</f>
        <v>9780764240423</v>
      </c>
      <c r="H254">
        <v>0</v>
      </c>
      <c r="I254">
        <v>4.37</v>
      </c>
      <c r="J254" t="s">
        <v>36</v>
      </c>
      <c r="K254" t="s">
        <v>29</v>
      </c>
      <c r="L254">
        <v>350</v>
      </c>
      <c r="M254">
        <v>2024</v>
      </c>
      <c r="N254">
        <v>2024</v>
      </c>
      <c r="P254" s="1">
        <v>45671</v>
      </c>
      <c r="Q254" t="s">
        <v>30</v>
      </c>
      <c r="R254" t="s">
        <v>1186</v>
      </c>
      <c r="S254" t="s">
        <v>30</v>
      </c>
      <c r="W254">
        <v>0</v>
      </c>
      <c r="X254">
        <v>0</v>
      </c>
      <c r="Y254" t="s">
        <v>38</v>
      </c>
    </row>
    <row r="255" spans="1:25" x14ac:dyDescent="0.35">
      <c r="A255">
        <v>57412547</v>
      </c>
      <c r="B255" t="s">
        <v>1187</v>
      </c>
      <c r="C255" t="s">
        <v>1188</v>
      </c>
      <c r="D255" t="s">
        <v>1189</v>
      </c>
      <c r="E255" t="s">
        <v>182</v>
      </c>
      <c r="F255" t="str">
        <f>""</f>
        <v/>
      </c>
      <c r="G255" t="str">
        <f>""</f>
        <v/>
      </c>
      <c r="H255">
        <v>0</v>
      </c>
      <c r="I255">
        <v>4</v>
      </c>
      <c r="K255" t="s">
        <v>85</v>
      </c>
      <c r="L255">
        <v>107</v>
      </c>
      <c r="M255">
        <v>2020</v>
      </c>
      <c r="P255" s="1">
        <v>45671</v>
      </c>
      <c r="Q255" t="s">
        <v>30</v>
      </c>
      <c r="R255" t="s">
        <v>1190</v>
      </c>
      <c r="S255" t="s">
        <v>30</v>
      </c>
      <c r="W255">
        <v>0</v>
      </c>
      <c r="X255">
        <v>0</v>
      </c>
      <c r="Y255" t="s">
        <v>38</v>
      </c>
    </row>
    <row r="256" spans="1:25" x14ac:dyDescent="0.35">
      <c r="A256">
        <v>214974501</v>
      </c>
      <c r="B256" t="s">
        <v>1191</v>
      </c>
      <c r="C256" t="s">
        <v>605</v>
      </c>
      <c r="D256" t="s">
        <v>606</v>
      </c>
      <c r="F256" t="str">
        <f>"0764241524"</f>
        <v>0764241524</v>
      </c>
      <c r="G256" t="str">
        <f>"9780764241529"</f>
        <v>9780764241529</v>
      </c>
      <c r="H256">
        <v>0</v>
      </c>
      <c r="I256">
        <v>4.5199999999999996</v>
      </c>
      <c r="J256" t="s">
        <v>36</v>
      </c>
      <c r="K256" t="s">
        <v>29</v>
      </c>
      <c r="L256">
        <v>368</v>
      </c>
      <c r="M256">
        <v>2025</v>
      </c>
      <c r="N256">
        <v>2025</v>
      </c>
      <c r="P256" s="1">
        <v>45669</v>
      </c>
      <c r="Q256" t="s">
        <v>30</v>
      </c>
      <c r="R256" t="s">
        <v>1192</v>
      </c>
      <c r="S256" t="s">
        <v>30</v>
      </c>
      <c r="W256">
        <v>0</v>
      </c>
      <c r="X256">
        <v>0</v>
      </c>
      <c r="Y256" t="s">
        <v>38</v>
      </c>
    </row>
    <row r="257" spans="1:25" x14ac:dyDescent="0.35">
      <c r="A257">
        <v>59857125</v>
      </c>
      <c r="B257" t="s">
        <v>1193</v>
      </c>
      <c r="C257" t="s">
        <v>1194</v>
      </c>
      <c r="D257" t="s">
        <v>1195</v>
      </c>
      <c r="E257" t="s">
        <v>1196</v>
      </c>
      <c r="F257" t="str">
        <f>"0764239538"</f>
        <v>0764239538</v>
      </c>
      <c r="G257" t="str">
        <f>"9780764239533"</f>
        <v>9780764239533</v>
      </c>
      <c r="H257">
        <v>0</v>
      </c>
      <c r="I257">
        <v>4.08</v>
      </c>
      <c r="J257" t="s">
        <v>36</v>
      </c>
      <c r="K257" t="s">
        <v>29</v>
      </c>
      <c r="L257">
        <v>240</v>
      </c>
      <c r="M257">
        <v>2022</v>
      </c>
      <c r="P257" s="1">
        <v>45669</v>
      </c>
      <c r="Q257" t="s">
        <v>30</v>
      </c>
      <c r="R257" t="s">
        <v>1197</v>
      </c>
      <c r="S257" t="s">
        <v>30</v>
      </c>
      <c r="W257">
        <v>0</v>
      </c>
      <c r="X257">
        <v>0</v>
      </c>
      <c r="Y257" t="s">
        <v>38</v>
      </c>
    </row>
    <row r="258" spans="1:25" x14ac:dyDescent="0.35">
      <c r="A258">
        <v>43125864</v>
      </c>
      <c r="B258" t="s">
        <v>1198</v>
      </c>
      <c r="C258" t="s">
        <v>1199</v>
      </c>
      <c r="D258" t="s">
        <v>1200</v>
      </c>
      <c r="F258" t="str">
        <f>""</f>
        <v/>
      </c>
      <c r="G258" t="str">
        <f>""</f>
        <v/>
      </c>
      <c r="H258">
        <v>0</v>
      </c>
      <c r="I258">
        <v>4.33</v>
      </c>
      <c r="J258" t="s">
        <v>1201</v>
      </c>
      <c r="K258" t="s">
        <v>85</v>
      </c>
      <c r="L258">
        <v>404</v>
      </c>
      <c r="M258">
        <v>2018</v>
      </c>
      <c r="P258" s="1">
        <v>45667</v>
      </c>
      <c r="Q258" t="s">
        <v>30</v>
      </c>
      <c r="R258" t="s">
        <v>1202</v>
      </c>
      <c r="S258" t="s">
        <v>30</v>
      </c>
      <c r="W258">
        <v>0</v>
      </c>
      <c r="X258">
        <v>0</v>
      </c>
      <c r="Y258" t="s">
        <v>203</v>
      </c>
    </row>
    <row r="259" spans="1:25" x14ac:dyDescent="0.35">
      <c r="A259">
        <v>52214103</v>
      </c>
      <c r="B259" t="s">
        <v>1203</v>
      </c>
      <c r="C259" t="s">
        <v>1204</v>
      </c>
      <c r="D259" t="s">
        <v>1205</v>
      </c>
      <c r="F259" t="str">
        <f>"1443459194"</f>
        <v>1443459194</v>
      </c>
      <c r="G259" t="str">
        <f>"9781443459198"</f>
        <v>9781443459198</v>
      </c>
      <c r="H259">
        <v>0</v>
      </c>
      <c r="I259">
        <v>4.47</v>
      </c>
      <c r="J259" t="s">
        <v>1206</v>
      </c>
      <c r="K259" t="s">
        <v>375</v>
      </c>
      <c r="L259">
        <v>304</v>
      </c>
      <c r="M259">
        <v>2020</v>
      </c>
      <c r="N259">
        <v>2020</v>
      </c>
      <c r="P259" s="1">
        <v>45666</v>
      </c>
      <c r="Q259" t="s">
        <v>30</v>
      </c>
      <c r="R259" t="s">
        <v>1207</v>
      </c>
      <c r="S259" t="s">
        <v>30</v>
      </c>
      <c r="W259">
        <v>0</v>
      </c>
      <c r="X259">
        <v>0</v>
      </c>
      <c r="Y259" t="s">
        <v>38</v>
      </c>
    </row>
    <row r="260" spans="1:25" x14ac:dyDescent="0.35">
      <c r="A260">
        <v>11994903</v>
      </c>
      <c r="B260" t="s">
        <v>1208</v>
      </c>
      <c r="C260" t="s">
        <v>718</v>
      </c>
      <c r="D260" t="s">
        <v>719</v>
      </c>
      <c r="F260" t="str">
        <f>"1553654021"</f>
        <v>1553654021</v>
      </c>
      <c r="G260" t="str">
        <f>"9781553654025"</f>
        <v>9781553654025</v>
      </c>
      <c r="H260">
        <v>0</v>
      </c>
      <c r="I260">
        <v>4.41</v>
      </c>
      <c r="J260" t="s">
        <v>720</v>
      </c>
      <c r="K260" t="s">
        <v>29</v>
      </c>
      <c r="L260">
        <v>221</v>
      </c>
      <c r="M260">
        <v>2012</v>
      </c>
      <c r="N260">
        <v>2012</v>
      </c>
      <c r="P260" s="1">
        <v>45666</v>
      </c>
      <c r="Q260" t="s">
        <v>30</v>
      </c>
      <c r="R260" t="s">
        <v>1209</v>
      </c>
      <c r="S260" t="s">
        <v>30</v>
      </c>
      <c r="W260">
        <v>0</v>
      </c>
      <c r="X260">
        <v>0</v>
      </c>
      <c r="Y260" t="s">
        <v>38</v>
      </c>
    </row>
    <row r="261" spans="1:25" x14ac:dyDescent="0.35">
      <c r="A261">
        <v>6973772</v>
      </c>
      <c r="B261" t="s">
        <v>1210</v>
      </c>
      <c r="C261" t="s">
        <v>1095</v>
      </c>
      <c r="D261" t="s">
        <v>1096</v>
      </c>
      <c r="F261" t="str">
        <f>"0764207555"</f>
        <v>0764207555</v>
      </c>
      <c r="G261" t="str">
        <f>"9780764207556"</f>
        <v>9780764207556</v>
      </c>
      <c r="H261">
        <v>0</v>
      </c>
      <c r="I261">
        <v>4.05</v>
      </c>
      <c r="J261" t="s">
        <v>36</v>
      </c>
      <c r="K261" t="s">
        <v>29</v>
      </c>
      <c r="L261">
        <v>348</v>
      </c>
      <c r="M261">
        <v>2010</v>
      </c>
      <c r="N261">
        <v>2010</v>
      </c>
      <c r="P261" s="1">
        <v>45666</v>
      </c>
      <c r="Q261" t="s">
        <v>30</v>
      </c>
      <c r="R261" t="s">
        <v>1211</v>
      </c>
      <c r="S261" t="s">
        <v>30</v>
      </c>
      <c r="W261">
        <v>0</v>
      </c>
      <c r="X261">
        <v>0</v>
      </c>
      <c r="Y261" t="s">
        <v>38</v>
      </c>
    </row>
    <row r="262" spans="1:25" x14ac:dyDescent="0.35">
      <c r="A262">
        <v>211003729</v>
      </c>
      <c r="B262" t="s">
        <v>1212</v>
      </c>
      <c r="C262" t="s">
        <v>1213</v>
      </c>
      <c r="D262" t="s">
        <v>1214</v>
      </c>
      <c r="F262" t="str">
        <f>"125091096X"</f>
        <v>125091096X</v>
      </c>
      <c r="G262" t="str">
        <f>"9781250910967"</f>
        <v>9781250910967</v>
      </c>
      <c r="H262">
        <v>0</v>
      </c>
      <c r="I262">
        <v>4.2300000000000004</v>
      </c>
      <c r="J262" t="s">
        <v>1215</v>
      </c>
      <c r="K262" t="s">
        <v>29</v>
      </c>
      <c r="L262">
        <v>352</v>
      </c>
      <c r="M262">
        <v>2025</v>
      </c>
      <c r="N262">
        <v>2025</v>
      </c>
      <c r="P262" s="1">
        <v>45666</v>
      </c>
      <c r="Q262" t="s">
        <v>30</v>
      </c>
      <c r="R262" t="s">
        <v>1216</v>
      </c>
      <c r="S262" t="s">
        <v>30</v>
      </c>
      <c r="W262">
        <v>0</v>
      </c>
      <c r="X262">
        <v>0</v>
      </c>
      <c r="Y262" t="s">
        <v>38</v>
      </c>
    </row>
    <row r="263" spans="1:25" x14ac:dyDescent="0.35">
      <c r="A263">
        <v>61409925</v>
      </c>
      <c r="B263" t="s">
        <v>1217</v>
      </c>
      <c r="C263" t="s">
        <v>1218</v>
      </c>
      <c r="D263" t="s">
        <v>1219</v>
      </c>
      <c r="F263" t="str">
        <f>""</f>
        <v/>
      </c>
      <c r="G263" t="str">
        <f>""</f>
        <v/>
      </c>
      <c r="H263">
        <v>0</v>
      </c>
      <c r="I263">
        <v>4.41</v>
      </c>
      <c r="K263" t="s">
        <v>85</v>
      </c>
      <c r="M263">
        <v>2022</v>
      </c>
      <c r="N263">
        <v>2022</v>
      </c>
      <c r="P263" s="1">
        <v>45666</v>
      </c>
      <c r="Q263" t="s">
        <v>30</v>
      </c>
      <c r="R263" t="s">
        <v>1220</v>
      </c>
      <c r="S263" t="s">
        <v>30</v>
      </c>
      <c r="W263">
        <v>0</v>
      </c>
      <c r="X263">
        <v>0</v>
      </c>
      <c r="Y263" t="s">
        <v>203</v>
      </c>
    </row>
    <row r="264" spans="1:25" x14ac:dyDescent="0.35">
      <c r="A264">
        <v>53499965</v>
      </c>
      <c r="B264" t="s">
        <v>1221</v>
      </c>
      <c r="C264" t="s">
        <v>1222</v>
      </c>
      <c r="D264" t="s">
        <v>1223</v>
      </c>
      <c r="F264" t="str">
        <f>""</f>
        <v/>
      </c>
      <c r="G264" t="str">
        <f>""</f>
        <v/>
      </c>
      <c r="H264">
        <v>0</v>
      </c>
      <c r="I264">
        <v>4.21</v>
      </c>
      <c r="J264" t="s">
        <v>1224</v>
      </c>
      <c r="K264" t="s">
        <v>85</v>
      </c>
      <c r="L264">
        <v>320</v>
      </c>
      <c r="M264">
        <v>2021</v>
      </c>
      <c r="N264">
        <v>2021</v>
      </c>
      <c r="P264" s="1">
        <v>45666</v>
      </c>
      <c r="Q264" t="s">
        <v>30</v>
      </c>
      <c r="R264" t="s">
        <v>1225</v>
      </c>
      <c r="S264" t="s">
        <v>30</v>
      </c>
      <c r="W264">
        <v>0</v>
      </c>
      <c r="X264">
        <v>0</v>
      </c>
      <c r="Y264" t="s">
        <v>203</v>
      </c>
    </row>
    <row r="265" spans="1:25" x14ac:dyDescent="0.35">
      <c r="A265">
        <v>55377889</v>
      </c>
      <c r="B265" t="s">
        <v>1226</v>
      </c>
      <c r="C265" t="s">
        <v>1222</v>
      </c>
      <c r="D265" t="s">
        <v>1223</v>
      </c>
      <c r="F265" t="str">
        <f>""</f>
        <v/>
      </c>
      <c r="G265" t="str">
        <f>""</f>
        <v/>
      </c>
      <c r="H265">
        <v>0</v>
      </c>
      <c r="I265">
        <v>4.1500000000000004</v>
      </c>
      <c r="J265" t="s">
        <v>1224</v>
      </c>
      <c r="K265" t="s">
        <v>85</v>
      </c>
      <c r="L265">
        <v>228</v>
      </c>
      <c r="M265">
        <v>2020</v>
      </c>
      <c r="N265">
        <v>2020</v>
      </c>
      <c r="P265" s="1">
        <v>45666</v>
      </c>
      <c r="Q265" t="s">
        <v>30</v>
      </c>
      <c r="R265" t="s">
        <v>1227</v>
      </c>
      <c r="S265" t="s">
        <v>30</v>
      </c>
      <c r="W265">
        <v>0</v>
      </c>
      <c r="X265">
        <v>0</v>
      </c>
      <c r="Y265" t="s">
        <v>203</v>
      </c>
    </row>
    <row r="266" spans="1:25" x14ac:dyDescent="0.35">
      <c r="A266">
        <v>44108283</v>
      </c>
      <c r="B266" t="s">
        <v>1228</v>
      </c>
      <c r="C266" t="s">
        <v>1229</v>
      </c>
      <c r="D266" t="s">
        <v>1230</v>
      </c>
      <c r="F266" t="str">
        <f>""</f>
        <v/>
      </c>
      <c r="G266" t="str">
        <f>""</f>
        <v/>
      </c>
      <c r="H266">
        <v>0</v>
      </c>
      <c r="I266">
        <v>4.07</v>
      </c>
      <c r="J266" t="s">
        <v>1231</v>
      </c>
      <c r="K266" t="s">
        <v>85</v>
      </c>
      <c r="L266">
        <v>128</v>
      </c>
      <c r="M266">
        <v>2019</v>
      </c>
      <c r="N266">
        <v>2019</v>
      </c>
      <c r="P266" s="1">
        <v>45666</v>
      </c>
      <c r="Q266" t="s">
        <v>30</v>
      </c>
      <c r="R266" t="s">
        <v>1232</v>
      </c>
      <c r="S266" t="s">
        <v>30</v>
      </c>
      <c r="W266">
        <v>0</v>
      </c>
      <c r="X266">
        <v>0</v>
      </c>
      <c r="Y266" t="s">
        <v>38</v>
      </c>
    </row>
    <row r="267" spans="1:25" x14ac:dyDescent="0.35">
      <c r="A267">
        <v>199602621</v>
      </c>
      <c r="B267" t="s">
        <v>1233</v>
      </c>
      <c r="C267" t="s">
        <v>1234</v>
      </c>
      <c r="D267" t="s">
        <v>1235</v>
      </c>
      <c r="F267" t="str">
        <f>""</f>
        <v/>
      </c>
      <c r="G267" t="str">
        <f>"9798886051063"</f>
        <v>9798886051063</v>
      </c>
      <c r="H267">
        <v>0</v>
      </c>
      <c r="I267">
        <v>4.3499999999999996</v>
      </c>
      <c r="J267" t="s">
        <v>113</v>
      </c>
      <c r="K267" t="s">
        <v>48</v>
      </c>
      <c r="L267">
        <v>320</v>
      </c>
      <c r="M267">
        <v>2024</v>
      </c>
      <c r="N267">
        <v>2024</v>
      </c>
      <c r="P267" s="1">
        <v>45665</v>
      </c>
      <c r="Q267" t="s">
        <v>30</v>
      </c>
      <c r="R267" t="s">
        <v>1236</v>
      </c>
      <c r="S267" t="s">
        <v>30</v>
      </c>
      <c r="W267">
        <v>0</v>
      </c>
      <c r="X267">
        <v>0</v>
      </c>
      <c r="Y267" t="s">
        <v>38</v>
      </c>
    </row>
    <row r="268" spans="1:25" x14ac:dyDescent="0.35">
      <c r="A268">
        <v>26067635</v>
      </c>
      <c r="B268" t="s">
        <v>1237</v>
      </c>
      <c r="C268" t="s">
        <v>1238</v>
      </c>
      <c r="D268" t="s">
        <v>1239</v>
      </c>
      <c r="F268" t="str">
        <f>"1601426011"</f>
        <v>1601426011</v>
      </c>
      <c r="G268" t="str">
        <f>"9781601426017"</f>
        <v>9781601426017</v>
      </c>
      <c r="H268">
        <v>0</v>
      </c>
      <c r="I268">
        <v>4.5</v>
      </c>
      <c r="J268" t="s">
        <v>155</v>
      </c>
      <c r="K268" t="s">
        <v>29</v>
      </c>
      <c r="L268">
        <v>374</v>
      </c>
      <c r="M268">
        <v>2016</v>
      </c>
      <c r="N268">
        <v>2016</v>
      </c>
      <c r="P268" s="1">
        <v>45664</v>
      </c>
      <c r="Q268" t="s">
        <v>30</v>
      </c>
      <c r="R268" t="s">
        <v>1240</v>
      </c>
      <c r="S268" t="s">
        <v>30</v>
      </c>
      <c r="W268">
        <v>0</v>
      </c>
      <c r="X268">
        <v>0</v>
      </c>
      <c r="Y268" t="s">
        <v>38</v>
      </c>
    </row>
    <row r="269" spans="1:25" x14ac:dyDescent="0.35">
      <c r="A269">
        <v>40595448</v>
      </c>
      <c r="B269" t="s">
        <v>1241</v>
      </c>
      <c r="C269" t="s">
        <v>1238</v>
      </c>
      <c r="D269" t="s">
        <v>1239</v>
      </c>
      <c r="F269" t="str">
        <f>"0735291861"</f>
        <v>0735291861</v>
      </c>
      <c r="G269" t="str">
        <f>"9780735291867"</f>
        <v>9780735291867</v>
      </c>
      <c r="H269">
        <v>0</v>
      </c>
      <c r="I269">
        <v>4.51</v>
      </c>
      <c r="J269" t="s">
        <v>155</v>
      </c>
      <c r="K269" t="s">
        <v>29</v>
      </c>
      <c r="L269">
        <v>400</v>
      </c>
      <c r="M269">
        <v>2019</v>
      </c>
      <c r="N269">
        <v>2019</v>
      </c>
      <c r="P269" s="1">
        <v>45664</v>
      </c>
      <c r="Q269" t="s">
        <v>30</v>
      </c>
      <c r="R269" t="s">
        <v>1242</v>
      </c>
      <c r="S269" t="s">
        <v>30</v>
      </c>
      <c r="W269">
        <v>0</v>
      </c>
      <c r="X269">
        <v>0</v>
      </c>
      <c r="Y269" t="s">
        <v>38</v>
      </c>
    </row>
    <row r="270" spans="1:25" x14ac:dyDescent="0.35">
      <c r="A270">
        <v>57187860</v>
      </c>
      <c r="B270" t="s">
        <v>1243</v>
      </c>
      <c r="C270" t="s">
        <v>1244</v>
      </c>
      <c r="D270" t="s">
        <v>1245</v>
      </c>
      <c r="F270" t="str">
        <f>"1734559918"</f>
        <v>1734559918</v>
      </c>
      <c r="G270" t="str">
        <f>"9781734559910"</f>
        <v>9781734559910</v>
      </c>
      <c r="H270">
        <v>0</v>
      </c>
      <c r="I270">
        <v>4.25</v>
      </c>
      <c r="J270" t="s">
        <v>1246</v>
      </c>
      <c r="K270" t="s">
        <v>375</v>
      </c>
      <c r="L270">
        <v>498</v>
      </c>
      <c r="M270">
        <v>2021</v>
      </c>
      <c r="N270">
        <v>2020</v>
      </c>
      <c r="P270" s="1">
        <v>45663</v>
      </c>
      <c r="Q270" t="s">
        <v>30</v>
      </c>
      <c r="R270" t="s">
        <v>1247</v>
      </c>
      <c r="S270" t="s">
        <v>30</v>
      </c>
      <c r="W270">
        <v>0</v>
      </c>
      <c r="X270">
        <v>0</v>
      </c>
      <c r="Y270" t="s">
        <v>38</v>
      </c>
    </row>
    <row r="271" spans="1:25" x14ac:dyDescent="0.35">
      <c r="A271">
        <v>8537327</v>
      </c>
      <c r="B271" t="s">
        <v>1248</v>
      </c>
      <c r="C271" t="s">
        <v>1249</v>
      </c>
      <c r="D271" t="s">
        <v>1250</v>
      </c>
      <c r="F271" t="str">
        <f>"0061962783"</f>
        <v>0061962783</v>
      </c>
      <c r="G271" t="str">
        <f>"9780061962783"</f>
        <v>9780061962783</v>
      </c>
      <c r="H271">
        <v>0</v>
      </c>
      <c r="I271">
        <v>4.12</v>
      </c>
      <c r="J271" t="s">
        <v>292</v>
      </c>
      <c r="K271" t="s">
        <v>48</v>
      </c>
      <c r="L271">
        <v>262</v>
      </c>
      <c r="M271">
        <v>2011</v>
      </c>
      <c r="N271">
        <v>2011</v>
      </c>
      <c r="P271" s="1">
        <v>45663</v>
      </c>
      <c r="Q271" t="s">
        <v>30</v>
      </c>
      <c r="R271" t="s">
        <v>1251</v>
      </c>
      <c r="S271" t="s">
        <v>30</v>
      </c>
      <c r="W271">
        <v>0</v>
      </c>
      <c r="X271">
        <v>0</v>
      </c>
      <c r="Y271" t="s">
        <v>38</v>
      </c>
    </row>
    <row r="272" spans="1:25" x14ac:dyDescent="0.35">
      <c r="A272">
        <v>211096516</v>
      </c>
      <c r="B272" t="s">
        <v>1252</v>
      </c>
      <c r="C272" t="s">
        <v>1253</v>
      </c>
      <c r="D272" t="s">
        <v>1254</v>
      </c>
      <c r="F272" t="str">
        <f>"0063353849"</f>
        <v>0063353849</v>
      </c>
      <c r="G272" t="str">
        <f>"9780063353848"</f>
        <v>9780063353848</v>
      </c>
      <c r="H272">
        <v>0</v>
      </c>
      <c r="I272">
        <v>3.94</v>
      </c>
      <c r="J272" t="s">
        <v>292</v>
      </c>
      <c r="K272" t="s">
        <v>48</v>
      </c>
      <c r="L272">
        <v>432</v>
      </c>
      <c r="M272">
        <v>2025</v>
      </c>
      <c r="N272">
        <v>2025</v>
      </c>
      <c r="P272" s="1">
        <v>45663</v>
      </c>
      <c r="Q272" t="s">
        <v>30</v>
      </c>
      <c r="R272" t="s">
        <v>1255</v>
      </c>
      <c r="S272" t="s">
        <v>30</v>
      </c>
      <c r="W272">
        <v>0</v>
      </c>
      <c r="X272">
        <v>0</v>
      </c>
      <c r="Y272" t="s">
        <v>173</v>
      </c>
    </row>
    <row r="273" spans="1:25" x14ac:dyDescent="0.35">
      <c r="A273">
        <v>61151420</v>
      </c>
      <c r="B273" t="s">
        <v>1256</v>
      </c>
      <c r="C273" t="s">
        <v>1257</v>
      </c>
      <c r="D273" t="s">
        <v>1258</v>
      </c>
      <c r="F273" t="str">
        <f>"0764241184"</f>
        <v>0764241184</v>
      </c>
      <c r="G273" t="str">
        <f>"9780764241185"</f>
        <v>9780764241185</v>
      </c>
      <c r="H273">
        <v>0</v>
      </c>
      <c r="I273">
        <v>4.33</v>
      </c>
      <c r="J273" t="s">
        <v>419</v>
      </c>
      <c r="K273" t="s">
        <v>29</v>
      </c>
      <c r="L273">
        <v>384</v>
      </c>
      <c r="M273">
        <v>2023</v>
      </c>
      <c r="N273">
        <v>2023</v>
      </c>
      <c r="P273" s="1">
        <v>45663</v>
      </c>
      <c r="Q273" t="s">
        <v>30</v>
      </c>
      <c r="R273" t="s">
        <v>1259</v>
      </c>
      <c r="S273" t="s">
        <v>30</v>
      </c>
      <c r="W273">
        <v>0</v>
      </c>
      <c r="X273">
        <v>0</v>
      </c>
      <c r="Y273" t="s">
        <v>38</v>
      </c>
    </row>
    <row r="274" spans="1:25" x14ac:dyDescent="0.35">
      <c r="A274">
        <v>196880341</v>
      </c>
      <c r="B274" t="s">
        <v>1260</v>
      </c>
      <c r="C274" t="s">
        <v>1261</v>
      </c>
      <c r="D274" t="s">
        <v>1262</v>
      </c>
      <c r="F274" t="str">
        <f>""</f>
        <v/>
      </c>
      <c r="G274" t="str">
        <f>""</f>
        <v/>
      </c>
      <c r="H274">
        <v>0</v>
      </c>
      <c r="I274">
        <v>4.46</v>
      </c>
      <c r="K274" t="s">
        <v>85</v>
      </c>
      <c r="L274">
        <v>265</v>
      </c>
      <c r="M274">
        <v>2023</v>
      </c>
      <c r="P274" s="1">
        <v>45663</v>
      </c>
      <c r="Q274" t="s">
        <v>30</v>
      </c>
      <c r="R274" t="s">
        <v>1263</v>
      </c>
      <c r="S274" t="s">
        <v>30</v>
      </c>
      <c r="W274">
        <v>0</v>
      </c>
      <c r="X274">
        <v>0</v>
      </c>
      <c r="Y274" t="s">
        <v>38</v>
      </c>
    </row>
    <row r="275" spans="1:25" x14ac:dyDescent="0.35">
      <c r="A275">
        <v>25942744</v>
      </c>
      <c r="B275" t="s">
        <v>1264</v>
      </c>
      <c r="C275" t="s">
        <v>160</v>
      </c>
      <c r="D275" t="s">
        <v>161</v>
      </c>
      <c r="F275" t="str">
        <f>"0702253774"</f>
        <v>0702253774</v>
      </c>
      <c r="G275" t="str">
        <f>"9780702253775"</f>
        <v>9780702253775</v>
      </c>
      <c r="H275">
        <v>0</v>
      </c>
      <c r="I275">
        <v>3.83</v>
      </c>
      <c r="J275" t="s">
        <v>162</v>
      </c>
      <c r="K275" t="s">
        <v>29</v>
      </c>
      <c r="L275">
        <v>304</v>
      </c>
      <c r="M275">
        <v>2015</v>
      </c>
      <c r="N275">
        <v>2015</v>
      </c>
      <c r="P275" s="1">
        <v>45663</v>
      </c>
      <c r="Q275" t="s">
        <v>30</v>
      </c>
      <c r="R275" t="s">
        <v>1265</v>
      </c>
      <c r="S275" t="s">
        <v>30</v>
      </c>
      <c r="W275">
        <v>0</v>
      </c>
      <c r="X275">
        <v>0</v>
      </c>
      <c r="Y275" t="s">
        <v>38</v>
      </c>
    </row>
    <row r="276" spans="1:25" x14ac:dyDescent="0.35">
      <c r="A276">
        <v>12928972</v>
      </c>
      <c r="B276" t="s">
        <v>1266</v>
      </c>
      <c r="C276" t="s">
        <v>160</v>
      </c>
      <c r="D276" t="s">
        <v>161</v>
      </c>
      <c r="F276" t="str">
        <f>"0702239275"</f>
        <v>0702239275</v>
      </c>
      <c r="G276" t="str">
        <f>"9780702239274"</f>
        <v>9780702239274</v>
      </c>
      <c r="H276">
        <v>0</v>
      </c>
      <c r="I276">
        <v>4.03</v>
      </c>
      <c r="J276" t="s">
        <v>162</v>
      </c>
      <c r="K276" t="s">
        <v>29</v>
      </c>
      <c r="L276">
        <v>253</v>
      </c>
      <c r="M276">
        <v>2011</v>
      </c>
      <c r="N276">
        <v>2011</v>
      </c>
      <c r="P276" s="1">
        <v>45663</v>
      </c>
      <c r="Q276" t="s">
        <v>30</v>
      </c>
      <c r="R276" t="s">
        <v>1267</v>
      </c>
      <c r="S276" t="s">
        <v>30</v>
      </c>
      <c r="W276">
        <v>0</v>
      </c>
      <c r="X276">
        <v>0</v>
      </c>
      <c r="Y276" t="s">
        <v>38</v>
      </c>
    </row>
    <row r="277" spans="1:25" x14ac:dyDescent="0.35">
      <c r="A277">
        <v>52439531</v>
      </c>
      <c r="B277" t="s">
        <v>1268</v>
      </c>
      <c r="C277" t="s">
        <v>1269</v>
      </c>
      <c r="D277" t="s">
        <v>1270</v>
      </c>
      <c r="F277" t="str">
        <f>"1368052401"</f>
        <v>1368052401</v>
      </c>
      <c r="G277" t="str">
        <f>"9781368052405"</f>
        <v>9781368052405</v>
      </c>
      <c r="H277">
        <v>0</v>
      </c>
      <c r="I277">
        <v>4.1399999999999997</v>
      </c>
      <c r="J277" t="s">
        <v>185</v>
      </c>
      <c r="K277" t="s">
        <v>48</v>
      </c>
      <c r="L277">
        <v>386</v>
      </c>
      <c r="M277">
        <v>2020</v>
      </c>
      <c r="N277">
        <v>2020</v>
      </c>
      <c r="P277" s="1">
        <v>45661</v>
      </c>
      <c r="Q277" t="s">
        <v>30</v>
      </c>
      <c r="R277" t="s">
        <v>1271</v>
      </c>
      <c r="S277" t="s">
        <v>30</v>
      </c>
      <c r="W277">
        <v>0</v>
      </c>
      <c r="X277">
        <v>0</v>
      </c>
      <c r="Y277" t="s">
        <v>38</v>
      </c>
    </row>
    <row r="278" spans="1:25" x14ac:dyDescent="0.35">
      <c r="A278">
        <v>75513900</v>
      </c>
      <c r="B278" t="s">
        <v>1272</v>
      </c>
      <c r="C278" t="s">
        <v>1273</v>
      </c>
      <c r="D278" t="s">
        <v>1274</v>
      </c>
      <c r="F278" t="str">
        <f>""</f>
        <v/>
      </c>
      <c r="G278" t="str">
        <f>""</f>
        <v/>
      </c>
      <c r="H278">
        <v>0</v>
      </c>
      <c r="I278">
        <v>4.18</v>
      </c>
      <c r="K278" t="s">
        <v>85</v>
      </c>
      <c r="L278">
        <v>523</v>
      </c>
      <c r="M278">
        <v>2023</v>
      </c>
      <c r="N278">
        <v>2023</v>
      </c>
      <c r="P278" s="1">
        <v>45661</v>
      </c>
      <c r="Q278" t="s">
        <v>30</v>
      </c>
      <c r="R278" t="s">
        <v>1275</v>
      </c>
      <c r="S278" t="s">
        <v>30</v>
      </c>
      <c r="W278">
        <v>0</v>
      </c>
      <c r="X278">
        <v>0</v>
      </c>
      <c r="Y278" t="s">
        <v>38</v>
      </c>
    </row>
    <row r="279" spans="1:25" x14ac:dyDescent="0.35">
      <c r="A279">
        <v>62683720</v>
      </c>
      <c r="B279" t="s">
        <v>1276</v>
      </c>
      <c r="C279" t="s">
        <v>677</v>
      </c>
      <c r="D279" t="s">
        <v>678</v>
      </c>
      <c r="F279" t="str">
        <f>"1922636614"</f>
        <v>1922636614</v>
      </c>
      <c r="G279" t="str">
        <f>"9781922636614"</f>
        <v>9781922636614</v>
      </c>
      <c r="H279">
        <v>0</v>
      </c>
      <c r="I279">
        <v>4.3099999999999996</v>
      </c>
      <c r="J279" t="s">
        <v>448</v>
      </c>
      <c r="K279" t="s">
        <v>85</v>
      </c>
      <c r="L279">
        <v>388</v>
      </c>
      <c r="M279">
        <v>2022</v>
      </c>
      <c r="P279" s="1">
        <v>45661</v>
      </c>
      <c r="Q279" t="s">
        <v>30</v>
      </c>
      <c r="R279" t="s">
        <v>1277</v>
      </c>
      <c r="S279" t="s">
        <v>30</v>
      </c>
      <c r="W279">
        <v>0</v>
      </c>
      <c r="X279">
        <v>0</v>
      </c>
      <c r="Y279" t="s">
        <v>38</v>
      </c>
    </row>
    <row r="280" spans="1:25" x14ac:dyDescent="0.35">
      <c r="A280">
        <v>51272900</v>
      </c>
      <c r="B280" t="s">
        <v>1278</v>
      </c>
      <c r="C280" t="s">
        <v>1279</v>
      </c>
      <c r="D280" t="s">
        <v>1280</v>
      </c>
      <c r="F280" t="str">
        <f>"0800736893"</f>
        <v>0800736893</v>
      </c>
      <c r="G280" t="str">
        <f>"9780800736897"</f>
        <v>9780800736897</v>
      </c>
      <c r="H280">
        <v>0</v>
      </c>
      <c r="I280">
        <v>4.3499999999999996</v>
      </c>
      <c r="J280" t="s">
        <v>1281</v>
      </c>
      <c r="K280" t="s">
        <v>29</v>
      </c>
      <c r="L280">
        <v>400</v>
      </c>
      <c r="M280">
        <v>2020</v>
      </c>
      <c r="N280">
        <v>2020</v>
      </c>
      <c r="P280" s="1">
        <v>45661</v>
      </c>
      <c r="Q280" t="s">
        <v>30</v>
      </c>
      <c r="R280" t="s">
        <v>1282</v>
      </c>
      <c r="S280" t="s">
        <v>30</v>
      </c>
      <c r="W280">
        <v>0</v>
      </c>
      <c r="X280">
        <v>0</v>
      </c>
      <c r="Y280" t="s">
        <v>38</v>
      </c>
    </row>
    <row r="281" spans="1:25" x14ac:dyDescent="0.35">
      <c r="A281">
        <v>11648261</v>
      </c>
      <c r="B281" t="s">
        <v>1283</v>
      </c>
      <c r="C281" t="s">
        <v>1284</v>
      </c>
      <c r="D281" t="s">
        <v>1285</v>
      </c>
      <c r="F281" t="str">
        <f>""</f>
        <v/>
      </c>
      <c r="G281" t="str">
        <f>""</f>
        <v/>
      </c>
      <c r="H281">
        <v>0</v>
      </c>
      <c r="I281">
        <v>3.99</v>
      </c>
      <c r="J281" t="s">
        <v>427</v>
      </c>
      <c r="K281" t="s">
        <v>85</v>
      </c>
      <c r="L281">
        <v>290</v>
      </c>
      <c r="M281">
        <v>2008</v>
      </c>
      <c r="N281">
        <v>2008</v>
      </c>
      <c r="P281" s="1">
        <v>45661</v>
      </c>
      <c r="Q281" t="s">
        <v>30</v>
      </c>
      <c r="R281" t="s">
        <v>1286</v>
      </c>
      <c r="S281" t="s">
        <v>30</v>
      </c>
      <c r="W281">
        <v>0</v>
      </c>
      <c r="X281">
        <v>0</v>
      </c>
      <c r="Y281" t="s">
        <v>38</v>
      </c>
    </row>
    <row r="282" spans="1:25" x14ac:dyDescent="0.35">
      <c r="A282">
        <v>56487333</v>
      </c>
      <c r="B282" t="s">
        <v>1287</v>
      </c>
      <c r="C282" t="s">
        <v>182</v>
      </c>
      <c r="D282" t="s">
        <v>183</v>
      </c>
      <c r="F282" t="str">
        <f>"1510107347"</f>
        <v>1510107347</v>
      </c>
      <c r="G282" t="str">
        <f>"9781510107342"</f>
        <v>9781510107342</v>
      </c>
      <c r="H282">
        <v>0</v>
      </c>
      <c r="I282">
        <v>4.62</v>
      </c>
      <c r="J282" t="s">
        <v>1288</v>
      </c>
      <c r="K282" t="s">
        <v>375</v>
      </c>
      <c r="L282">
        <v>464</v>
      </c>
      <c r="M282">
        <v>2025</v>
      </c>
      <c r="N282">
        <v>2025</v>
      </c>
      <c r="P282" s="1">
        <v>45660</v>
      </c>
      <c r="Q282" t="s">
        <v>30</v>
      </c>
      <c r="R282" t="s">
        <v>1289</v>
      </c>
      <c r="S282" t="s">
        <v>30</v>
      </c>
      <c r="W282">
        <v>0</v>
      </c>
      <c r="X282">
        <v>0</v>
      </c>
      <c r="Y282" t="s">
        <v>38</v>
      </c>
    </row>
    <row r="283" spans="1:25" x14ac:dyDescent="0.35">
      <c r="A283">
        <v>46113778</v>
      </c>
      <c r="B283" t="s">
        <v>1290</v>
      </c>
      <c r="C283" t="s">
        <v>182</v>
      </c>
      <c r="D283" t="s">
        <v>183</v>
      </c>
      <c r="E283" t="s">
        <v>184</v>
      </c>
      <c r="F283" t="str">
        <f>"1510105301"</f>
        <v>1510105301</v>
      </c>
      <c r="G283" t="str">
        <f>"9781510105300"</f>
        <v>9781510105300</v>
      </c>
      <c r="H283">
        <v>0</v>
      </c>
      <c r="I283">
        <v>4.4800000000000004</v>
      </c>
      <c r="J283" t="s">
        <v>830</v>
      </c>
      <c r="K283" t="s">
        <v>48</v>
      </c>
      <c r="L283">
        <v>471</v>
      </c>
      <c r="M283">
        <v>2020</v>
      </c>
      <c r="N283">
        <v>2020</v>
      </c>
      <c r="P283" s="1">
        <v>45660</v>
      </c>
      <c r="Q283" t="s">
        <v>30</v>
      </c>
      <c r="R283" t="s">
        <v>1291</v>
      </c>
      <c r="S283" t="s">
        <v>30</v>
      </c>
      <c r="W283">
        <v>0</v>
      </c>
      <c r="X283">
        <v>0</v>
      </c>
      <c r="Y283" t="s">
        <v>38</v>
      </c>
    </row>
    <row r="284" spans="1:25" x14ac:dyDescent="0.35">
      <c r="A284">
        <v>60468332</v>
      </c>
      <c r="B284" t="s">
        <v>1292</v>
      </c>
      <c r="C284" t="s">
        <v>1293</v>
      </c>
      <c r="D284" t="s">
        <v>1294</v>
      </c>
      <c r="F284" t="str">
        <f>"1538708272"</f>
        <v>1538708272</v>
      </c>
      <c r="G284" t="str">
        <f>"9781538708279"</f>
        <v>9781538708279</v>
      </c>
      <c r="H284">
        <v>0</v>
      </c>
      <c r="I284">
        <v>4.04</v>
      </c>
      <c r="J284" t="s">
        <v>1295</v>
      </c>
      <c r="K284" t="s">
        <v>48</v>
      </c>
      <c r="L284">
        <v>336</v>
      </c>
      <c r="M284">
        <v>2022</v>
      </c>
      <c r="N284">
        <v>2022</v>
      </c>
      <c r="P284" s="1">
        <v>45660</v>
      </c>
      <c r="Q284" t="s">
        <v>30</v>
      </c>
      <c r="R284" t="s">
        <v>1296</v>
      </c>
      <c r="S284" t="s">
        <v>30</v>
      </c>
      <c r="W284">
        <v>0</v>
      </c>
      <c r="X284">
        <v>0</v>
      </c>
      <c r="Y284" t="s">
        <v>38</v>
      </c>
    </row>
    <row r="285" spans="1:25" x14ac:dyDescent="0.35">
      <c r="A285">
        <v>26030734</v>
      </c>
      <c r="B285" t="s">
        <v>1297</v>
      </c>
      <c r="C285" t="s">
        <v>1298</v>
      </c>
      <c r="D285" t="s">
        <v>1299</v>
      </c>
      <c r="F285" t="str">
        <f>"0316381993"</f>
        <v>0316381993</v>
      </c>
      <c r="G285" t="str">
        <f>"9780316381994"</f>
        <v>9780316381994</v>
      </c>
      <c r="H285">
        <v>0</v>
      </c>
      <c r="I285">
        <v>4.2</v>
      </c>
      <c r="J285" t="s">
        <v>185</v>
      </c>
      <c r="K285" t="s">
        <v>48</v>
      </c>
      <c r="L285">
        <v>282</v>
      </c>
      <c r="M285">
        <v>2016</v>
      </c>
      <c r="N285">
        <v>2016</v>
      </c>
      <c r="P285" s="1">
        <v>45660</v>
      </c>
      <c r="Q285" t="s">
        <v>30</v>
      </c>
      <c r="R285" t="s">
        <v>1300</v>
      </c>
      <c r="S285" t="s">
        <v>30</v>
      </c>
      <c r="W285">
        <v>0</v>
      </c>
      <c r="X285">
        <v>0</v>
      </c>
      <c r="Y285" t="s">
        <v>38</v>
      </c>
    </row>
    <row r="286" spans="1:25" x14ac:dyDescent="0.35">
      <c r="A286">
        <v>311226</v>
      </c>
      <c r="B286" t="s">
        <v>1301</v>
      </c>
      <c r="C286" t="s">
        <v>480</v>
      </c>
      <c r="D286" t="s">
        <v>481</v>
      </c>
      <c r="F286" t="str">
        <f>""</f>
        <v/>
      </c>
      <c r="G286" t="str">
        <f>""</f>
        <v/>
      </c>
      <c r="H286">
        <v>0</v>
      </c>
      <c r="I286">
        <v>3.72</v>
      </c>
      <c r="J286" t="s">
        <v>611</v>
      </c>
      <c r="K286" t="s">
        <v>29</v>
      </c>
      <c r="L286">
        <v>431</v>
      </c>
      <c r="M286">
        <v>2004</v>
      </c>
      <c r="N286">
        <v>1937</v>
      </c>
      <c r="P286" s="1">
        <v>45655</v>
      </c>
      <c r="Q286" t="s">
        <v>30</v>
      </c>
      <c r="R286" t="s">
        <v>1302</v>
      </c>
      <c r="S286" t="s">
        <v>30</v>
      </c>
      <c r="W286">
        <v>0</v>
      </c>
      <c r="X286">
        <v>0</v>
      </c>
      <c r="Y286" t="s">
        <v>38</v>
      </c>
    </row>
    <row r="287" spans="1:25" x14ac:dyDescent="0.35">
      <c r="A287">
        <v>311127</v>
      </c>
      <c r="B287" t="s">
        <v>1303</v>
      </c>
      <c r="C287" t="s">
        <v>480</v>
      </c>
      <c r="D287" t="s">
        <v>481</v>
      </c>
      <c r="F287" t="str">
        <f>"0099465582"</f>
        <v>0099465582</v>
      </c>
      <c r="G287" t="str">
        <f>"9780099465584"</f>
        <v>9780099465584</v>
      </c>
      <c r="H287">
        <v>0</v>
      </c>
      <c r="I287">
        <v>3.97</v>
      </c>
      <c r="J287" t="s">
        <v>1304</v>
      </c>
      <c r="K287" t="s">
        <v>29</v>
      </c>
      <c r="L287">
        <v>368</v>
      </c>
      <c r="M287">
        <v>2004</v>
      </c>
      <c r="N287">
        <v>1935</v>
      </c>
      <c r="P287" s="1">
        <v>45655</v>
      </c>
      <c r="Q287" t="s">
        <v>30</v>
      </c>
      <c r="R287" t="s">
        <v>1305</v>
      </c>
      <c r="S287" t="s">
        <v>30</v>
      </c>
      <c r="W287">
        <v>0</v>
      </c>
      <c r="X287">
        <v>0</v>
      </c>
      <c r="Y287" t="s">
        <v>38</v>
      </c>
    </row>
    <row r="288" spans="1:25" x14ac:dyDescent="0.35">
      <c r="A288">
        <v>311308</v>
      </c>
      <c r="B288" t="s">
        <v>1306</v>
      </c>
      <c r="C288" t="s">
        <v>480</v>
      </c>
      <c r="D288" t="s">
        <v>481</v>
      </c>
      <c r="F288" t="str">
        <f>"0099465833"</f>
        <v>0099465833</v>
      </c>
      <c r="G288" t="str">
        <f>"9780099465836"</f>
        <v>9780099465836</v>
      </c>
      <c r="H288">
        <v>0</v>
      </c>
      <c r="I288">
        <v>4.2300000000000004</v>
      </c>
      <c r="J288" t="s">
        <v>611</v>
      </c>
      <c r="K288" t="s">
        <v>29</v>
      </c>
      <c r="L288">
        <v>282</v>
      </c>
      <c r="M288">
        <v>2004</v>
      </c>
      <c r="N288">
        <v>1932</v>
      </c>
      <c r="P288" s="1">
        <v>45655</v>
      </c>
      <c r="Q288" t="s">
        <v>30</v>
      </c>
      <c r="R288" t="s">
        <v>1307</v>
      </c>
      <c r="S288" t="s">
        <v>30</v>
      </c>
      <c r="W288">
        <v>0</v>
      </c>
      <c r="X288">
        <v>0</v>
      </c>
      <c r="Y288" t="s">
        <v>38</v>
      </c>
    </row>
    <row r="289" spans="1:25" x14ac:dyDescent="0.35">
      <c r="A289">
        <v>220493023</v>
      </c>
      <c r="B289" t="s">
        <v>1308</v>
      </c>
      <c r="C289" t="s">
        <v>446</v>
      </c>
      <c r="D289" t="s">
        <v>447</v>
      </c>
      <c r="F289" t="str">
        <f>"1923218123"</f>
        <v>1923218123</v>
      </c>
      <c r="G289" t="str">
        <f>"9781923218123"</f>
        <v>9781923218123</v>
      </c>
      <c r="H289">
        <v>0</v>
      </c>
      <c r="I289">
        <v>4.33</v>
      </c>
      <c r="J289" t="s">
        <v>448</v>
      </c>
      <c r="K289" t="s">
        <v>85</v>
      </c>
      <c r="L289">
        <v>353</v>
      </c>
      <c r="M289">
        <v>2024</v>
      </c>
      <c r="P289" s="1">
        <v>45655</v>
      </c>
      <c r="Q289" t="s">
        <v>30</v>
      </c>
      <c r="R289" t="s">
        <v>1309</v>
      </c>
      <c r="S289" t="s">
        <v>30</v>
      </c>
      <c r="W289">
        <v>0</v>
      </c>
      <c r="X289">
        <v>0</v>
      </c>
      <c r="Y289" t="s">
        <v>38</v>
      </c>
    </row>
    <row r="290" spans="1:25" x14ac:dyDescent="0.35">
      <c r="A290">
        <v>34201983</v>
      </c>
      <c r="B290" t="s">
        <v>1310</v>
      </c>
      <c r="C290" t="s">
        <v>1311</v>
      </c>
      <c r="D290" t="s">
        <v>1312</v>
      </c>
      <c r="F290" t="str">
        <f>"0062658492"</f>
        <v>0062658492</v>
      </c>
      <c r="G290" t="str">
        <f>"9780062658494"</f>
        <v>9780062658494</v>
      </c>
      <c r="H290">
        <v>0</v>
      </c>
      <c r="I290">
        <v>4.0999999999999996</v>
      </c>
      <c r="J290" t="s">
        <v>292</v>
      </c>
      <c r="K290" t="s">
        <v>85</v>
      </c>
      <c r="L290">
        <v>0</v>
      </c>
      <c r="M290">
        <v>2017</v>
      </c>
      <c r="N290">
        <v>2017</v>
      </c>
      <c r="P290" s="1">
        <v>45655</v>
      </c>
      <c r="Q290" t="s">
        <v>30</v>
      </c>
      <c r="R290" t="s">
        <v>1313</v>
      </c>
      <c r="S290" t="s">
        <v>30</v>
      </c>
      <c r="W290">
        <v>0</v>
      </c>
      <c r="X290">
        <v>0</v>
      </c>
      <c r="Y290" t="s">
        <v>38</v>
      </c>
    </row>
    <row r="291" spans="1:25" x14ac:dyDescent="0.35">
      <c r="A291">
        <v>12926132</v>
      </c>
      <c r="B291" t="s">
        <v>1314</v>
      </c>
      <c r="C291" t="s">
        <v>1315</v>
      </c>
      <c r="D291" t="s">
        <v>1316</v>
      </c>
      <c r="F291" t="str">
        <f>"1599908735"</f>
        <v>1599908735</v>
      </c>
      <c r="G291" t="str">
        <f>"9781599908731"</f>
        <v>9781599908731</v>
      </c>
      <c r="H291">
        <v>0</v>
      </c>
      <c r="I291">
        <v>4.01</v>
      </c>
      <c r="J291" t="s">
        <v>1317</v>
      </c>
      <c r="K291" t="s">
        <v>48</v>
      </c>
      <c r="L291">
        <v>336</v>
      </c>
      <c r="M291">
        <v>2012</v>
      </c>
      <c r="N291">
        <v>2012</v>
      </c>
      <c r="P291" s="1">
        <v>45653</v>
      </c>
      <c r="Q291" t="s">
        <v>30</v>
      </c>
      <c r="R291" t="s">
        <v>1318</v>
      </c>
      <c r="S291" t="s">
        <v>30</v>
      </c>
      <c r="W291">
        <v>0</v>
      </c>
      <c r="X291">
        <v>0</v>
      </c>
      <c r="Y291" t="s">
        <v>38</v>
      </c>
    </row>
    <row r="292" spans="1:25" x14ac:dyDescent="0.35">
      <c r="A292">
        <v>85990</v>
      </c>
      <c r="B292" t="s">
        <v>1319</v>
      </c>
      <c r="C292" t="s">
        <v>1315</v>
      </c>
      <c r="D292" t="s">
        <v>1316</v>
      </c>
      <c r="F292" t="str">
        <f>"1599900734"</f>
        <v>1599900734</v>
      </c>
      <c r="G292" t="str">
        <f>"9781599900735"</f>
        <v>9781599900735</v>
      </c>
      <c r="H292">
        <v>0</v>
      </c>
      <c r="I292">
        <v>4.04</v>
      </c>
      <c r="J292" t="s">
        <v>1317</v>
      </c>
      <c r="K292" t="s">
        <v>29</v>
      </c>
      <c r="L292">
        <v>314</v>
      </c>
      <c r="M292">
        <v>2007</v>
      </c>
      <c r="N292">
        <v>2005</v>
      </c>
      <c r="P292" s="1">
        <v>45653</v>
      </c>
      <c r="Q292" t="s">
        <v>30</v>
      </c>
      <c r="R292" t="s">
        <v>1320</v>
      </c>
      <c r="S292" t="s">
        <v>30</v>
      </c>
      <c r="W292">
        <v>0</v>
      </c>
      <c r="X292">
        <v>0</v>
      </c>
      <c r="Y292" t="s">
        <v>38</v>
      </c>
    </row>
    <row r="293" spans="1:25" x14ac:dyDescent="0.35">
      <c r="A293">
        <v>55654712</v>
      </c>
      <c r="B293" t="s">
        <v>1321</v>
      </c>
      <c r="C293" t="s">
        <v>257</v>
      </c>
      <c r="D293" t="s">
        <v>258</v>
      </c>
      <c r="F293" t="str">
        <f>"080073839X"</f>
        <v>080073839X</v>
      </c>
      <c r="G293" t="str">
        <f>"9780800738396"</f>
        <v>9780800738396</v>
      </c>
      <c r="H293">
        <v>0</v>
      </c>
      <c r="I293">
        <v>4.04</v>
      </c>
      <c r="J293" t="s">
        <v>1281</v>
      </c>
      <c r="K293" t="s">
        <v>29</v>
      </c>
      <c r="L293">
        <v>352</v>
      </c>
      <c r="M293">
        <v>2021</v>
      </c>
      <c r="N293">
        <v>2021</v>
      </c>
      <c r="P293" s="1">
        <v>45653</v>
      </c>
      <c r="Q293" t="s">
        <v>30</v>
      </c>
      <c r="R293" t="s">
        <v>1322</v>
      </c>
      <c r="S293" t="s">
        <v>30</v>
      </c>
      <c r="W293">
        <v>0</v>
      </c>
      <c r="X293">
        <v>0</v>
      </c>
      <c r="Y293" t="s">
        <v>38</v>
      </c>
    </row>
    <row r="294" spans="1:25" x14ac:dyDescent="0.35">
      <c r="A294">
        <v>290195</v>
      </c>
      <c r="B294" t="s">
        <v>1323</v>
      </c>
      <c r="C294" t="s">
        <v>1324</v>
      </c>
      <c r="D294" t="s">
        <v>1325</v>
      </c>
      <c r="F294" t="str">
        <f>"0446615382"</f>
        <v>0446615382</v>
      </c>
      <c r="G294" t="str">
        <f>"9780446615389"</f>
        <v>9780446615389</v>
      </c>
      <c r="H294">
        <v>0</v>
      </c>
      <c r="I294">
        <v>4.2699999999999996</v>
      </c>
      <c r="J294" t="s">
        <v>1326</v>
      </c>
      <c r="K294" t="s">
        <v>228</v>
      </c>
      <c r="L294">
        <v>384</v>
      </c>
      <c r="M294">
        <v>2005</v>
      </c>
      <c r="N294">
        <v>2001</v>
      </c>
      <c r="P294" s="1">
        <v>45652</v>
      </c>
      <c r="Q294" t="s">
        <v>30</v>
      </c>
      <c r="R294" t="s">
        <v>1327</v>
      </c>
      <c r="S294" t="s">
        <v>30</v>
      </c>
      <c r="W294">
        <v>0</v>
      </c>
      <c r="X294">
        <v>0</v>
      </c>
      <c r="Y294" t="s">
        <v>38</v>
      </c>
    </row>
    <row r="295" spans="1:25" x14ac:dyDescent="0.35">
      <c r="A295">
        <v>11389341</v>
      </c>
      <c r="B295" t="s">
        <v>1328</v>
      </c>
      <c r="C295" t="s">
        <v>233</v>
      </c>
      <c r="D295" t="s">
        <v>234</v>
      </c>
      <c r="E295" t="s">
        <v>1329</v>
      </c>
      <c r="F295" t="str">
        <f>"0525952470"</f>
        <v>0525952470</v>
      </c>
      <c r="G295" t="str">
        <f>"9780525952473"</f>
        <v>9780525952473</v>
      </c>
      <c r="H295">
        <v>0</v>
      </c>
      <c r="I295">
        <v>4.49</v>
      </c>
      <c r="J295" t="s">
        <v>1330</v>
      </c>
      <c r="K295" t="s">
        <v>48</v>
      </c>
      <c r="L295">
        <v>288</v>
      </c>
      <c r="M295">
        <v>2011</v>
      </c>
      <c r="N295">
        <v>2011</v>
      </c>
      <c r="P295" s="1">
        <v>45652</v>
      </c>
      <c r="S295" t="s">
        <v>51</v>
      </c>
      <c r="W295">
        <v>1</v>
      </c>
      <c r="X295">
        <v>0</v>
      </c>
      <c r="Y295" t="s">
        <v>122</v>
      </c>
    </row>
    <row r="296" spans="1:25" x14ac:dyDescent="0.35">
      <c r="A296">
        <v>37903770</v>
      </c>
      <c r="B296" t="s">
        <v>1331</v>
      </c>
      <c r="C296" t="s">
        <v>948</v>
      </c>
      <c r="D296" t="s">
        <v>949</v>
      </c>
      <c r="F296" t="str">
        <f>""</f>
        <v/>
      </c>
      <c r="G296" t="str">
        <f>""</f>
        <v/>
      </c>
      <c r="H296">
        <v>0</v>
      </c>
      <c r="I296">
        <v>4.0999999999999996</v>
      </c>
      <c r="J296" t="s">
        <v>1332</v>
      </c>
      <c r="K296" t="s">
        <v>29</v>
      </c>
      <c r="L296">
        <v>301</v>
      </c>
      <c r="M296">
        <v>2018</v>
      </c>
      <c r="N296">
        <v>2017</v>
      </c>
      <c r="P296" s="1">
        <v>45652</v>
      </c>
      <c r="Q296" t="s">
        <v>30</v>
      </c>
      <c r="R296" t="s">
        <v>1333</v>
      </c>
      <c r="S296" t="s">
        <v>30</v>
      </c>
      <c r="W296">
        <v>0</v>
      </c>
      <c r="X296">
        <v>0</v>
      </c>
      <c r="Y296" t="s">
        <v>38</v>
      </c>
    </row>
    <row r="297" spans="1:25" x14ac:dyDescent="0.35">
      <c r="A297">
        <v>55990730</v>
      </c>
      <c r="B297" t="s">
        <v>1334</v>
      </c>
      <c r="C297" t="s">
        <v>1335</v>
      </c>
      <c r="D297" t="s">
        <v>1336</v>
      </c>
      <c r="F297" t="str">
        <f>"1684512018"</f>
        <v>1684512018</v>
      </c>
      <c r="G297" t="str">
        <f>"9781684512010"</f>
        <v>9781684512010</v>
      </c>
      <c r="H297">
        <v>0</v>
      </c>
      <c r="I297">
        <v>4.4400000000000004</v>
      </c>
      <c r="J297" t="s">
        <v>1337</v>
      </c>
      <c r="K297" t="s">
        <v>85</v>
      </c>
      <c r="L297">
        <v>271</v>
      </c>
      <c r="M297">
        <v>2021</v>
      </c>
      <c r="N297">
        <v>2021</v>
      </c>
      <c r="P297" s="1">
        <v>45652</v>
      </c>
      <c r="Q297" t="s">
        <v>30</v>
      </c>
      <c r="R297" t="s">
        <v>1338</v>
      </c>
      <c r="S297" t="s">
        <v>30</v>
      </c>
      <c r="W297">
        <v>0</v>
      </c>
      <c r="X297">
        <v>0</v>
      </c>
      <c r="Y297" t="s">
        <v>38</v>
      </c>
    </row>
    <row r="298" spans="1:25" x14ac:dyDescent="0.35">
      <c r="A298">
        <v>209399791</v>
      </c>
      <c r="B298" t="s">
        <v>1339</v>
      </c>
      <c r="C298" t="s">
        <v>624</v>
      </c>
      <c r="D298" t="s">
        <v>625</v>
      </c>
      <c r="F298" t="str">
        <f>"149647628X"</f>
        <v>149647628X</v>
      </c>
      <c r="G298" t="str">
        <f>"9781496476289"</f>
        <v>9781496476289</v>
      </c>
      <c r="H298">
        <v>0</v>
      </c>
      <c r="I298">
        <v>4.2300000000000004</v>
      </c>
      <c r="J298" t="s">
        <v>626</v>
      </c>
      <c r="K298" t="s">
        <v>48</v>
      </c>
      <c r="L298">
        <v>274</v>
      </c>
      <c r="M298">
        <v>2024</v>
      </c>
      <c r="N298">
        <v>2024</v>
      </c>
      <c r="P298" s="1">
        <v>45652</v>
      </c>
      <c r="Q298" t="s">
        <v>30</v>
      </c>
      <c r="R298" t="s">
        <v>1340</v>
      </c>
      <c r="S298" t="s">
        <v>30</v>
      </c>
      <c r="W298">
        <v>0</v>
      </c>
      <c r="X298">
        <v>0</v>
      </c>
      <c r="Y298" t="s">
        <v>38</v>
      </c>
    </row>
    <row r="299" spans="1:25" x14ac:dyDescent="0.35">
      <c r="A299">
        <v>359994</v>
      </c>
      <c r="B299" t="s">
        <v>1341</v>
      </c>
      <c r="C299" t="s">
        <v>624</v>
      </c>
      <c r="D299" t="s">
        <v>625</v>
      </c>
      <c r="F299" t="str">
        <f>"0764229893"</f>
        <v>0764229893</v>
      </c>
      <c r="G299" t="str">
        <f>"9780764229893"</f>
        <v>9780764229893</v>
      </c>
      <c r="H299">
        <v>0</v>
      </c>
      <c r="I299">
        <v>4.34</v>
      </c>
      <c r="J299" t="s">
        <v>36</v>
      </c>
      <c r="K299" t="s">
        <v>29</v>
      </c>
      <c r="L299">
        <v>317</v>
      </c>
      <c r="M299">
        <v>2005</v>
      </c>
      <c r="N299">
        <v>1995</v>
      </c>
      <c r="P299" s="1">
        <v>45652</v>
      </c>
      <c r="Q299" t="s">
        <v>30</v>
      </c>
      <c r="R299" t="s">
        <v>1342</v>
      </c>
      <c r="S299" t="s">
        <v>30</v>
      </c>
      <c r="W299">
        <v>0</v>
      </c>
      <c r="X299">
        <v>0</v>
      </c>
      <c r="Y299" t="s">
        <v>122</v>
      </c>
    </row>
    <row r="300" spans="1:25" x14ac:dyDescent="0.35">
      <c r="A300">
        <v>25350</v>
      </c>
      <c r="B300" t="s">
        <v>1343</v>
      </c>
      <c r="C300" t="s">
        <v>1344</v>
      </c>
      <c r="D300" t="s">
        <v>1345</v>
      </c>
      <c r="F300" t="str">
        <f>"0007157150"</f>
        <v>0007157150</v>
      </c>
      <c r="G300" t="str">
        <f>"9780007157150"</f>
        <v>9780007157150</v>
      </c>
      <c r="H300">
        <v>0</v>
      </c>
      <c r="I300">
        <v>3.93</v>
      </c>
      <c r="J300" t="s">
        <v>292</v>
      </c>
      <c r="K300" t="s">
        <v>29</v>
      </c>
      <c r="L300">
        <v>160</v>
      </c>
      <c r="M300">
        <v>2005</v>
      </c>
      <c r="N300">
        <v>1938</v>
      </c>
      <c r="P300" s="1">
        <v>45652</v>
      </c>
      <c r="Q300" t="s">
        <v>30</v>
      </c>
      <c r="R300" t="s">
        <v>1346</v>
      </c>
      <c r="S300" t="s">
        <v>30</v>
      </c>
      <c r="W300">
        <v>0</v>
      </c>
      <c r="X300">
        <v>0</v>
      </c>
      <c r="Y300" t="s">
        <v>1347</v>
      </c>
    </row>
    <row r="301" spans="1:25" x14ac:dyDescent="0.35">
      <c r="A301">
        <v>90589067</v>
      </c>
      <c r="B301" t="s">
        <v>1348</v>
      </c>
      <c r="C301" t="s">
        <v>1349</v>
      </c>
      <c r="D301" t="s">
        <v>1350</v>
      </c>
      <c r="F301" t="str">
        <f>""</f>
        <v/>
      </c>
      <c r="G301" t="str">
        <f>""</f>
        <v/>
      </c>
      <c r="H301">
        <v>0</v>
      </c>
      <c r="I301">
        <v>4.25</v>
      </c>
      <c r="J301" t="s">
        <v>1351</v>
      </c>
      <c r="K301" t="s">
        <v>85</v>
      </c>
      <c r="L301">
        <v>373</v>
      </c>
      <c r="M301">
        <v>2023</v>
      </c>
      <c r="N301">
        <v>2023</v>
      </c>
      <c r="P301" s="1">
        <v>45652</v>
      </c>
      <c r="Q301" t="s">
        <v>30</v>
      </c>
      <c r="R301" t="s">
        <v>1352</v>
      </c>
      <c r="S301" t="s">
        <v>30</v>
      </c>
      <c r="W301">
        <v>0</v>
      </c>
      <c r="X301">
        <v>0</v>
      </c>
      <c r="Y301" t="s">
        <v>38</v>
      </c>
    </row>
    <row r="302" spans="1:25" x14ac:dyDescent="0.35">
      <c r="A302">
        <v>221245533</v>
      </c>
      <c r="B302" t="s">
        <v>1353</v>
      </c>
      <c r="C302" t="s">
        <v>1354</v>
      </c>
      <c r="D302" t="s">
        <v>1355</v>
      </c>
      <c r="F302" t="str">
        <f>""</f>
        <v/>
      </c>
      <c r="G302" t="str">
        <f>""</f>
        <v/>
      </c>
      <c r="H302">
        <v>0</v>
      </c>
      <c r="I302">
        <v>4.4000000000000004</v>
      </c>
      <c r="K302" t="s">
        <v>85</v>
      </c>
      <c r="L302">
        <v>44</v>
      </c>
      <c r="M302">
        <v>2024</v>
      </c>
      <c r="N302">
        <v>2024</v>
      </c>
      <c r="P302" s="1">
        <v>45652</v>
      </c>
      <c r="Q302" t="s">
        <v>30</v>
      </c>
      <c r="R302" t="s">
        <v>1356</v>
      </c>
      <c r="S302" t="s">
        <v>30</v>
      </c>
      <c r="W302">
        <v>0</v>
      </c>
      <c r="X302">
        <v>0</v>
      </c>
      <c r="Y302" t="s">
        <v>38</v>
      </c>
    </row>
    <row r="303" spans="1:25" x14ac:dyDescent="0.35">
      <c r="A303">
        <v>199698485</v>
      </c>
      <c r="B303" t="s">
        <v>1357</v>
      </c>
      <c r="C303" t="s">
        <v>1358</v>
      </c>
      <c r="D303" t="s">
        <v>1359</v>
      </c>
      <c r="F303" t="str">
        <f>""</f>
        <v/>
      </c>
      <c r="G303" t="str">
        <f>""</f>
        <v/>
      </c>
      <c r="H303">
        <v>0</v>
      </c>
      <c r="I303">
        <v>4.17</v>
      </c>
      <c r="J303" t="s">
        <v>1360</v>
      </c>
      <c r="K303" t="s">
        <v>85</v>
      </c>
      <c r="L303">
        <v>490</v>
      </c>
      <c r="M303">
        <v>2024</v>
      </c>
      <c r="N303">
        <v>2024</v>
      </c>
      <c r="P303" s="1">
        <v>45652</v>
      </c>
      <c r="Q303" t="s">
        <v>30</v>
      </c>
      <c r="R303" t="s">
        <v>1361</v>
      </c>
      <c r="S303" t="s">
        <v>30</v>
      </c>
      <c r="W303">
        <v>0</v>
      </c>
      <c r="X303">
        <v>0</v>
      </c>
      <c r="Y303" t="s">
        <v>122</v>
      </c>
    </row>
    <row r="304" spans="1:25" x14ac:dyDescent="0.35">
      <c r="A304">
        <v>2156</v>
      </c>
      <c r="B304" t="s">
        <v>1362</v>
      </c>
      <c r="C304" t="s">
        <v>452</v>
      </c>
      <c r="D304" t="s">
        <v>453</v>
      </c>
      <c r="E304" t="s">
        <v>1363</v>
      </c>
      <c r="F304" t="str">
        <f>"0192802631"</f>
        <v>0192802631</v>
      </c>
      <c r="G304" t="str">
        <f>"9780192802637"</f>
        <v>9780192802637</v>
      </c>
      <c r="H304">
        <v>0</v>
      </c>
      <c r="I304">
        <v>4.1500000000000004</v>
      </c>
      <c r="J304" t="s">
        <v>1364</v>
      </c>
      <c r="K304" t="s">
        <v>29</v>
      </c>
      <c r="L304">
        <v>249</v>
      </c>
      <c r="M304">
        <v>2004</v>
      </c>
      <c r="N304">
        <v>1817</v>
      </c>
      <c r="P304" s="1">
        <v>45652</v>
      </c>
      <c r="Q304" t="s">
        <v>30</v>
      </c>
      <c r="R304" t="s">
        <v>1365</v>
      </c>
      <c r="S304" t="s">
        <v>30</v>
      </c>
      <c r="W304">
        <v>0</v>
      </c>
      <c r="X304">
        <v>0</v>
      </c>
      <c r="Y304" t="s">
        <v>38</v>
      </c>
    </row>
    <row r="305" spans="1:25" x14ac:dyDescent="0.35">
      <c r="A305">
        <v>1232</v>
      </c>
      <c r="B305" t="s">
        <v>1366</v>
      </c>
      <c r="C305" t="s">
        <v>1367</v>
      </c>
      <c r="D305" t="s">
        <v>1368</v>
      </c>
      <c r="E305" t="s">
        <v>1369</v>
      </c>
      <c r="F305" t="str">
        <f>""</f>
        <v/>
      </c>
      <c r="G305" t="str">
        <f>""</f>
        <v/>
      </c>
      <c r="H305">
        <v>0</v>
      </c>
      <c r="I305">
        <v>4.3</v>
      </c>
      <c r="J305" t="s">
        <v>274</v>
      </c>
      <c r="K305" t="s">
        <v>29</v>
      </c>
      <c r="L305">
        <v>487</v>
      </c>
      <c r="M305">
        <v>2005</v>
      </c>
      <c r="N305">
        <v>2001</v>
      </c>
      <c r="P305" s="1">
        <v>45652</v>
      </c>
      <c r="Q305" t="s">
        <v>30</v>
      </c>
      <c r="R305" t="s">
        <v>1370</v>
      </c>
      <c r="S305" t="s">
        <v>30</v>
      </c>
      <c r="W305">
        <v>0</v>
      </c>
      <c r="X305">
        <v>0</v>
      </c>
      <c r="Y305" t="s">
        <v>38</v>
      </c>
    </row>
    <row r="306" spans="1:25" x14ac:dyDescent="0.35">
      <c r="A306">
        <v>9361589</v>
      </c>
      <c r="B306" t="s">
        <v>1371</v>
      </c>
      <c r="C306" t="s">
        <v>1372</v>
      </c>
      <c r="D306" t="s">
        <v>1373</v>
      </c>
      <c r="F306" t="str">
        <f>""</f>
        <v/>
      </c>
      <c r="G306" t="str">
        <f>"9780385534635"</f>
        <v>9780385534635</v>
      </c>
      <c r="H306">
        <v>0</v>
      </c>
      <c r="I306">
        <v>4.01</v>
      </c>
      <c r="J306" t="s">
        <v>637</v>
      </c>
      <c r="K306" t="s">
        <v>48</v>
      </c>
      <c r="L306">
        <v>506</v>
      </c>
      <c r="M306">
        <v>2011</v>
      </c>
      <c r="N306">
        <v>2011</v>
      </c>
      <c r="P306" s="1">
        <v>45652</v>
      </c>
      <c r="Q306" t="s">
        <v>30</v>
      </c>
      <c r="R306" t="s">
        <v>1374</v>
      </c>
      <c r="S306" t="s">
        <v>30</v>
      </c>
      <c r="W306">
        <v>0</v>
      </c>
      <c r="X306">
        <v>0</v>
      </c>
      <c r="Y306" t="s">
        <v>38</v>
      </c>
    </row>
    <row r="307" spans="1:25" x14ac:dyDescent="0.35">
      <c r="A307">
        <v>15823480</v>
      </c>
      <c r="B307" t="s">
        <v>1375</v>
      </c>
      <c r="C307" t="s">
        <v>1376</v>
      </c>
      <c r="D307" t="s">
        <v>1377</v>
      </c>
      <c r="E307" t="s">
        <v>1378</v>
      </c>
      <c r="F307" t="str">
        <f>"0345803922"</f>
        <v>0345803922</v>
      </c>
      <c r="G307" t="str">
        <f>"9780345803924"</f>
        <v>9780345803924</v>
      </c>
      <c r="H307">
        <v>0</v>
      </c>
      <c r="I307">
        <v>4.0999999999999996</v>
      </c>
      <c r="J307" t="s">
        <v>1379</v>
      </c>
      <c r="K307" t="s">
        <v>29</v>
      </c>
      <c r="L307">
        <v>964</v>
      </c>
      <c r="M307">
        <v>2012</v>
      </c>
      <c r="N307">
        <v>1878</v>
      </c>
      <c r="P307" s="1">
        <v>45652</v>
      </c>
      <c r="Q307" t="s">
        <v>30</v>
      </c>
      <c r="R307" t="s">
        <v>1380</v>
      </c>
      <c r="S307" t="s">
        <v>30</v>
      </c>
      <c r="W307">
        <v>0</v>
      </c>
      <c r="X307">
        <v>0</v>
      </c>
      <c r="Y307" t="s">
        <v>38</v>
      </c>
    </row>
    <row r="308" spans="1:25" x14ac:dyDescent="0.35">
      <c r="A308">
        <v>13623848</v>
      </c>
      <c r="B308" t="s">
        <v>1381</v>
      </c>
      <c r="C308" t="s">
        <v>1382</v>
      </c>
      <c r="D308" t="s">
        <v>1383</v>
      </c>
      <c r="F308" t="str">
        <f>""</f>
        <v/>
      </c>
      <c r="G308" t="str">
        <f>""</f>
        <v/>
      </c>
      <c r="H308">
        <v>0</v>
      </c>
      <c r="I308">
        <v>4.3099999999999996</v>
      </c>
      <c r="J308" t="s">
        <v>1384</v>
      </c>
      <c r="K308" t="s">
        <v>29</v>
      </c>
      <c r="L308">
        <v>408</v>
      </c>
      <c r="M308">
        <v>2012</v>
      </c>
      <c r="N308">
        <v>2011</v>
      </c>
      <c r="P308" s="1">
        <v>45652</v>
      </c>
      <c r="Q308" t="s">
        <v>30</v>
      </c>
      <c r="R308" t="s">
        <v>1385</v>
      </c>
      <c r="S308" t="s">
        <v>30</v>
      </c>
      <c r="W308">
        <v>0</v>
      </c>
      <c r="X308">
        <v>0</v>
      </c>
      <c r="Y308" t="s">
        <v>38</v>
      </c>
    </row>
    <row r="309" spans="1:25" x14ac:dyDescent="0.35">
      <c r="A309">
        <v>7126</v>
      </c>
      <c r="B309" t="s">
        <v>1386</v>
      </c>
      <c r="C309" t="s">
        <v>1387</v>
      </c>
      <c r="D309" t="s">
        <v>1388</v>
      </c>
      <c r="E309" t="s">
        <v>1389</v>
      </c>
      <c r="F309" t="str">
        <f>"0140449264"</f>
        <v>0140449264</v>
      </c>
      <c r="G309" t="str">
        <f>"9780140449266"</f>
        <v>9780140449266</v>
      </c>
      <c r="H309">
        <v>0</v>
      </c>
      <c r="I309">
        <v>4.3099999999999996</v>
      </c>
      <c r="J309" t="s">
        <v>1390</v>
      </c>
      <c r="K309" t="s">
        <v>29</v>
      </c>
      <c r="L309">
        <v>1276</v>
      </c>
      <c r="M309">
        <v>2003</v>
      </c>
      <c r="N309">
        <v>1846</v>
      </c>
      <c r="P309" s="1">
        <v>45652</v>
      </c>
      <c r="Q309" t="s">
        <v>30</v>
      </c>
      <c r="R309" t="s">
        <v>1391</v>
      </c>
      <c r="S309" t="s">
        <v>30</v>
      </c>
      <c r="W309">
        <v>0</v>
      </c>
      <c r="X309">
        <v>0</v>
      </c>
      <c r="Y309" t="s">
        <v>38</v>
      </c>
    </row>
    <row r="310" spans="1:25" x14ac:dyDescent="0.35">
      <c r="A310">
        <v>138374408</v>
      </c>
      <c r="B310" t="s">
        <v>1392</v>
      </c>
      <c r="C310" t="s">
        <v>205</v>
      </c>
      <c r="D310" t="s">
        <v>206</v>
      </c>
      <c r="F310" t="str">
        <f>""</f>
        <v/>
      </c>
      <c r="G310" t="str">
        <f>""</f>
        <v/>
      </c>
      <c r="H310">
        <v>0</v>
      </c>
      <c r="I310">
        <v>4.28</v>
      </c>
      <c r="K310" t="s">
        <v>85</v>
      </c>
      <c r="L310">
        <v>212</v>
      </c>
      <c r="M310">
        <v>2023</v>
      </c>
      <c r="P310" s="1">
        <v>45652</v>
      </c>
      <c r="Q310" t="s">
        <v>30</v>
      </c>
      <c r="R310" t="s">
        <v>1393</v>
      </c>
      <c r="S310" t="s">
        <v>30</v>
      </c>
      <c r="W310">
        <v>0</v>
      </c>
      <c r="X310">
        <v>0</v>
      </c>
      <c r="Y310" t="s">
        <v>38</v>
      </c>
    </row>
    <row r="311" spans="1:25" x14ac:dyDescent="0.35">
      <c r="A311">
        <v>209351047</v>
      </c>
      <c r="B311" t="s">
        <v>1394</v>
      </c>
      <c r="C311" t="s">
        <v>820</v>
      </c>
      <c r="D311" t="s">
        <v>821</v>
      </c>
      <c r="F311" t="str">
        <f>"076424292X"</f>
        <v>076424292X</v>
      </c>
      <c r="G311" t="str">
        <f>"9780764242922"</f>
        <v>9780764242922</v>
      </c>
      <c r="H311">
        <v>5</v>
      </c>
      <c r="I311">
        <v>4.0999999999999996</v>
      </c>
      <c r="J311" t="s">
        <v>36</v>
      </c>
      <c r="K311" t="s">
        <v>29</v>
      </c>
      <c r="L311">
        <v>208</v>
      </c>
      <c r="M311">
        <v>2024</v>
      </c>
      <c r="N311">
        <v>2024</v>
      </c>
      <c r="P311" s="1">
        <v>45519</v>
      </c>
      <c r="S311" t="s">
        <v>51</v>
      </c>
      <c r="W311">
        <v>1</v>
      </c>
      <c r="X311">
        <v>0</v>
      </c>
      <c r="Y311" t="s">
        <v>38</v>
      </c>
    </row>
    <row r="312" spans="1:25" x14ac:dyDescent="0.35">
      <c r="A312">
        <v>209351079</v>
      </c>
      <c r="B312" t="s">
        <v>1395</v>
      </c>
      <c r="C312" t="s">
        <v>1396</v>
      </c>
      <c r="D312" t="s">
        <v>1397</v>
      </c>
      <c r="F312" t="str">
        <f>"0764243691"</f>
        <v>0764243691</v>
      </c>
      <c r="G312" t="str">
        <f>"9780764243691"</f>
        <v>9780764243691</v>
      </c>
      <c r="H312">
        <v>0</v>
      </c>
      <c r="I312">
        <v>4.5199999999999996</v>
      </c>
      <c r="J312" t="s">
        <v>36</v>
      </c>
      <c r="K312" t="s">
        <v>29</v>
      </c>
      <c r="L312">
        <v>400</v>
      </c>
      <c r="M312">
        <v>2024</v>
      </c>
      <c r="N312">
        <v>2024</v>
      </c>
      <c r="P312" s="1">
        <v>45652</v>
      </c>
      <c r="Q312" t="s">
        <v>30</v>
      </c>
      <c r="R312" t="s">
        <v>1398</v>
      </c>
      <c r="S312" t="s">
        <v>30</v>
      </c>
      <c r="W312">
        <v>0</v>
      </c>
      <c r="X312">
        <v>0</v>
      </c>
      <c r="Y312" t="s">
        <v>38</v>
      </c>
    </row>
    <row r="313" spans="1:25" x14ac:dyDescent="0.35">
      <c r="A313">
        <v>214516786</v>
      </c>
      <c r="B313" t="s">
        <v>1399</v>
      </c>
      <c r="C313" t="s">
        <v>1400</v>
      </c>
      <c r="D313" t="s">
        <v>1401</v>
      </c>
      <c r="F313" t="str">
        <f>""</f>
        <v/>
      </c>
      <c r="G313" t="str">
        <f>""</f>
        <v/>
      </c>
      <c r="H313">
        <v>0</v>
      </c>
      <c r="I313">
        <v>4.54</v>
      </c>
      <c r="J313" t="s">
        <v>1402</v>
      </c>
      <c r="K313" t="s">
        <v>29</v>
      </c>
      <c r="M313">
        <v>2024</v>
      </c>
      <c r="N313">
        <v>2024</v>
      </c>
      <c r="P313" s="1">
        <v>45652</v>
      </c>
      <c r="Q313" t="s">
        <v>30</v>
      </c>
      <c r="R313" t="s">
        <v>1403</v>
      </c>
      <c r="S313" t="s">
        <v>30</v>
      </c>
      <c r="W313">
        <v>0</v>
      </c>
      <c r="X313">
        <v>0</v>
      </c>
      <c r="Y313" t="s">
        <v>38</v>
      </c>
    </row>
    <row r="314" spans="1:25" x14ac:dyDescent="0.35">
      <c r="A314">
        <v>21795840</v>
      </c>
      <c r="B314" t="s">
        <v>1404</v>
      </c>
      <c r="C314" t="s">
        <v>1405</v>
      </c>
      <c r="D314" t="s">
        <v>1406</v>
      </c>
      <c r="F314" t="str">
        <f>"1621840298"</f>
        <v>1621840298</v>
      </c>
      <c r="G314" t="str">
        <f>"9781621840299"</f>
        <v>9781621840299</v>
      </c>
      <c r="H314">
        <v>0</v>
      </c>
      <c r="I314">
        <v>4.1900000000000004</v>
      </c>
      <c r="J314" t="s">
        <v>131</v>
      </c>
      <c r="K314" t="s">
        <v>29</v>
      </c>
      <c r="L314">
        <v>389</v>
      </c>
      <c r="M314">
        <v>2014</v>
      </c>
      <c r="N314">
        <v>2014</v>
      </c>
      <c r="P314" s="1">
        <v>45652</v>
      </c>
      <c r="Q314" t="s">
        <v>30</v>
      </c>
      <c r="R314" t="s">
        <v>1407</v>
      </c>
      <c r="S314" t="s">
        <v>30</v>
      </c>
      <c r="W314">
        <v>0</v>
      </c>
      <c r="X314">
        <v>0</v>
      </c>
      <c r="Y314" t="s">
        <v>38</v>
      </c>
    </row>
    <row r="315" spans="1:25" x14ac:dyDescent="0.35">
      <c r="A315">
        <v>203596896</v>
      </c>
      <c r="B315" t="s">
        <v>1408</v>
      </c>
      <c r="C315" t="s">
        <v>1409</v>
      </c>
      <c r="D315" t="s">
        <v>1410</v>
      </c>
      <c r="F315" t="str">
        <f>""</f>
        <v/>
      </c>
      <c r="G315" t="str">
        <f>""</f>
        <v/>
      </c>
      <c r="H315">
        <v>0</v>
      </c>
      <c r="I315">
        <v>4.3</v>
      </c>
      <c r="K315" t="s">
        <v>85</v>
      </c>
      <c r="L315">
        <v>114</v>
      </c>
      <c r="M315">
        <v>2023</v>
      </c>
      <c r="P315" s="1">
        <v>45652</v>
      </c>
      <c r="Q315" t="s">
        <v>30</v>
      </c>
      <c r="R315" t="s">
        <v>1411</v>
      </c>
      <c r="S315" t="s">
        <v>30</v>
      </c>
      <c r="W315">
        <v>0</v>
      </c>
      <c r="X315">
        <v>0</v>
      </c>
      <c r="Y315" t="s">
        <v>38</v>
      </c>
    </row>
    <row r="316" spans="1:25" x14ac:dyDescent="0.35">
      <c r="A316">
        <v>51341533</v>
      </c>
      <c r="B316" t="s">
        <v>1412</v>
      </c>
      <c r="C316" t="s">
        <v>1413</v>
      </c>
      <c r="D316" t="s">
        <v>1414</v>
      </c>
      <c r="F316" t="str">
        <f>"1534414916"</f>
        <v>1534414916</v>
      </c>
      <c r="G316" t="str">
        <f>"9781534414914"</f>
        <v>9781534414914</v>
      </c>
      <c r="H316">
        <v>0</v>
      </c>
      <c r="I316">
        <v>4.3</v>
      </c>
      <c r="J316" t="s">
        <v>540</v>
      </c>
      <c r="K316" t="s">
        <v>48</v>
      </c>
      <c r="L316">
        <v>378</v>
      </c>
      <c r="M316">
        <v>2020</v>
      </c>
      <c r="N316">
        <v>2020</v>
      </c>
      <c r="P316" s="1">
        <v>45652</v>
      </c>
      <c r="Q316" t="s">
        <v>30</v>
      </c>
      <c r="R316" t="s">
        <v>1415</v>
      </c>
      <c r="S316" t="s">
        <v>30</v>
      </c>
      <c r="W316">
        <v>0</v>
      </c>
      <c r="X316">
        <v>0</v>
      </c>
      <c r="Y316" t="s">
        <v>38</v>
      </c>
    </row>
    <row r="317" spans="1:25" x14ac:dyDescent="0.35">
      <c r="A317">
        <v>180351992</v>
      </c>
      <c r="B317" t="s">
        <v>1416</v>
      </c>
      <c r="C317" t="s">
        <v>1417</v>
      </c>
      <c r="D317" t="s">
        <v>1418</v>
      </c>
      <c r="F317" t="str">
        <f>"084070867X"</f>
        <v>084070867X</v>
      </c>
      <c r="G317" t="str">
        <f>"9780840708670"</f>
        <v>9780840708670</v>
      </c>
      <c r="H317">
        <v>0</v>
      </c>
      <c r="I317">
        <v>3.89</v>
      </c>
      <c r="J317" t="s">
        <v>1175</v>
      </c>
      <c r="K317" t="s">
        <v>48</v>
      </c>
      <c r="L317">
        <v>294</v>
      </c>
      <c r="M317">
        <v>2024</v>
      </c>
      <c r="N317">
        <v>2024</v>
      </c>
      <c r="P317" s="1">
        <v>45649</v>
      </c>
      <c r="Q317" t="s">
        <v>30</v>
      </c>
      <c r="R317" t="s">
        <v>1419</v>
      </c>
      <c r="S317" t="s">
        <v>30</v>
      </c>
      <c r="W317">
        <v>0</v>
      </c>
      <c r="X317">
        <v>0</v>
      </c>
      <c r="Y317" t="s">
        <v>38</v>
      </c>
    </row>
    <row r="318" spans="1:25" x14ac:dyDescent="0.35">
      <c r="A318">
        <v>6515834</v>
      </c>
      <c r="B318" t="s">
        <v>1420</v>
      </c>
      <c r="C318" t="s">
        <v>1421</v>
      </c>
      <c r="D318" t="s">
        <v>1422</v>
      </c>
      <c r="E318" t="s">
        <v>1423</v>
      </c>
      <c r="F318" t="str">
        <f>"1434767957"</f>
        <v>1434767957</v>
      </c>
      <c r="G318" t="str">
        <f>"9781434767950"</f>
        <v>9781434767950</v>
      </c>
      <c r="H318">
        <v>0</v>
      </c>
      <c r="I318">
        <v>4.13</v>
      </c>
      <c r="J318" t="s">
        <v>1424</v>
      </c>
      <c r="K318" t="s">
        <v>29</v>
      </c>
      <c r="L318">
        <v>167</v>
      </c>
      <c r="M318">
        <v>2009</v>
      </c>
      <c r="N318">
        <v>2009</v>
      </c>
      <c r="P318" s="1">
        <v>45646</v>
      </c>
      <c r="Q318" t="s">
        <v>30</v>
      </c>
      <c r="R318" t="s">
        <v>1425</v>
      </c>
      <c r="S318" t="s">
        <v>30</v>
      </c>
      <c r="W318">
        <v>0</v>
      </c>
      <c r="X318">
        <v>0</v>
      </c>
      <c r="Y318" t="s">
        <v>122</v>
      </c>
    </row>
    <row r="319" spans="1:25" x14ac:dyDescent="0.35">
      <c r="A319">
        <v>208841368</v>
      </c>
      <c r="B319" t="s">
        <v>1426</v>
      </c>
      <c r="C319" t="s">
        <v>1427</v>
      </c>
      <c r="D319" t="s">
        <v>1428</v>
      </c>
      <c r="F319" t="str">
        <f>"0356519198"</f>
        <v>0356519198</v>
      </c>
      <c r="G319" t="str">
        <f>"9780356519197"</f>
        <v>9780356519197</v>
      </c>
      <c r="H319">
        <v>0</v>
      </c>
      <c r="I319">
        <v>4.3099999999999996</v>
      </c>
      <c r="J319" t="s">
        <v>803</v>
      </c>
      <c r="K319" t="s">
        <v>48</v>
      </c>
      <c r="L319">
        <v>368</v>
      </c>
      <c r="M319">
        <v>2025</v>
      </c>
      <c r="N319">
        <v>2025</v>
      </c>
      <c r="P319" s="1">
        <v>45645</v>
      </c>
      <c r="Q319" t="s">
        <v>30</v>
      </c>
      <c r="R319" t="s">
        <v>1429</v>
      </c>
      <c r="S319" t="s">
        <v>30</v>
      </c>
      <c r="W319">
        <v>0</v>
      </c>
      <c r="X319">
        <v>0</v>
      </c>
      <c r="Y319" t="s">
        <v>38</v>
      </c>
    </row>
    <row r="320" spans="1:25" x14ac:dyDescent="0.35">
      <c r="A320">
        <v>49370265</v>
      </c>
      <c r="B320" t="s">
        <v>1430</v>
      </c>
      <c r="C320" t="s">
        <v>1431</v>
      </c>
      <c r="D320" t="s">
        <v>1432</v>
      </c>
      <c r="F320" t="str">
        <f>"0785233075"</f>
        <v>0785233075</v>
      </c>
      <c r="G320" t="str">
        <f>"9780785233077"</f>
        <v>9780785233077</v>
      </c>
      <c r="H320">
        <v>0</v>
      </c>
      <c r="I320">
        <v>4.2</v>
      </c>
      <c r="J320" t="s">
        <v>1175</v>
      </c>
      <c r="K320" t="s">
        <v>29</v>
      </c>
      <c r="L320">
        <v>336</v>
      </c>
      <c r="M320">
        <v>2020</v>
      </c>
      <c r="N320">
        <v>2020</v>
      </c>
      <c r="P320" s="1">
        <v>45645</v>
      </c>
      <c r="Q320" t="s">
        <v>30</v>
      </c>
      <c r="R320" t="s">
        <v>1433</v>
      </c>
      <c r="S320" t="s">
        <v>30</v>
      </c>
      <c r="W320">
        <v>0</v>
      </c>
      <c r="X320">
        <v>0</v>
      </c>
      <c r="Y320" t="s">
        <v>38</v>
      </c>
    </row>
    <row r="321" spans="1:25" x14ac:dyDescent="0.35">
      <c r="A321">
        <v>14504761</v>
      </c>
      <c r="B321" t="s">
        <v>1434</v>
      </c>
      <c r="C321" t="s">
        <v>1435</v>
      </c>
      <c r="D321" t="s">
        <v>1436</v>
      </c>
      <c r="F321" t="str">
        <f>"1609360990"</f>
        <v>1609360990</v>
      </c>
      <c r="G321" t="str">
        <f>"9781609360993"</f>
        <v>9781609360993</v>
      </c>
      <c r="H321">
        <v>0</v>
      </c>
      <c r="I321">
        <v>3.78</v>
      </c>
      <c r="J321" t="s">
        <v>1437</v>
      </c>
      <c r="K321" t="s">
        <v>29</v>
      </c>
      <c r="L321">
        <v>320</v>
      </c>
      <c r="M321">
        <v>2012</v>
      </c>
      <c r="N321">
        <v>2012</v>
      </c>
      <c r="P321" s="1">
        <v>45644</v>
      </c>
      <c r="Q321" t="s">
        <v>30</v>
      </c>
      <c r="R321" t="s">
        <v>1438</v>
      </c>
      <c r="S321" t="s">
        <v>30</v>
      </c>
      <c r="W321">
        <v>0</v>
      </c>
      <c r="X321">
        <v>0</v>
      </c>
      <c r="Y321" t="s">
        <v>38</v>
      </c>
    </row>
    <row r="322" spans="1:25" x14ac:dyDescent="0.35">
      <c r="A322">
        <v>204955572</v>
      </c>
      <c r="B322" t="s">
        <v>1439</v>
      </c>
      <c r="C322" t="s">
        <v>205</v>
      </c>
      <c r="D322" t="s">
        <v>206</v>
      </c>
      <c r="F322" t="str">
        <f>""</f>
        <v/>
      </c>
      <c r="G322" t="str">
        <f>""</f>
        <v/>
      </c>
      <c r="H322">
        <v>0</v>
      </c>
      <c r="I322">
        <v>4.58</v>
      </c>
      <c r="K322" t="s">
        <v>85</v>
      </c>
      <c r="L322">
        <v>249</v>
      </c>
      <c r="M322">
        <v>2024</v>
      </c>
      <c r="P322" s="1">
        <v>45644</v>
      </c>
      <c r="Q322" t="s">
        <v>30</v>
      </c>
      <c r="R322" t="s">
        <v>1440</v>
      </c>
      <c r="S322" t="s">
        <v>30</v>
      </c>
      <c r="W322">
        <v>0</v>
      </c>
      <c r="X322">
        <v>0</v>
      </c>
      <c r="Y322" t="s">
        <v>173</v>
      </c>
    </row>
    <row r="323" spans="1:25" x14ac:dyDescent="0.35">
      <c r="A323">
        <v>195018891</v>
      </c>
      <c r="B323" t="s">
        <v>1441</v>
      </c>
      <c r="C323" t="s">
        <v>205</v>
      </c>
      <c r="D323" t="s">
        <v>206</v>
      </c>
      <c r="F323" t="str">
        <f>""</f>
        <v/>
      </c>
      <c r="G323" t="str">
        <f>""</f>
        <v/>
      </c>
      <c r="H323">
        <v>0</v>
      </c>
      <c r="I323">
        <v>4.47</v>
      </c>
      <c r="K323" t="s">
        <v>85</v>
      </c>
      <c r="L323">
        <v>195</v>
      </c>
      <c r="M323">
        <v>2023</v>
      </c>
      <c r="P323" s="1">
        <v>45644</v>
      </c>
      <c r="Q323" t="s">
        <v>30</v>
      </c>
      <c r="R323" t="s">
        <v>1442</v>
      </c>
      <c r="S323" t="s">
        <v>30</v>
      </c>
      <c r="W323">
        <v>0</v>
      </c>
      <c r="X323">
        <v>0</v>
      </c>
      <c r="Y323" t="s">
        <v>38</v>
      </c>
    </row>
    <row r="324" spans="1:25" x14ac:dyDescent="0.35">
      <c r="A324">
        <v>61273343</v>
      </c>
      <c r="B324" t="s">
        <v>1443</v>
      </c>
      <c r="C324" t="s">
        <v>1444</v>
      </c>
      <c r="D324" t="s">
        <v>1445</v>
      </c>
      <c r="F324" t="str">
        <f>"1668007908"</f>
        <v>1668007908</v>
      </c>
      <c r="G324" t="str">
        <f>"9781668007907"</f>
        <v>9781668007907</v>
      </c>
      <c r="H324">
        <v>0</v>
      </c>
      <c r="I324">
        <v>3.63</v>
      </c>
      <c r="J324" t="s">
        <v>798</v>
      </c>
      <c r="K324" t="s">
        <v>29</v>
      </c>
      <c r="L324">
        <v>325</v>
      </c>
      <c r="M324">
        <v>2023</v>
      </c>
      <c r="N324">
        <v>2023</v>
      </c>
      <c r="P324" s="1">
        <v>45644</v>
      </c>
      <c r="Q324" t="s">
        <v>30</v>
      </c>
      <c r="R324" t="s">
        <v>1446</v>
      </c>
      <c r="S324" t="s">
        <v>30</v>
      </c>
      <c r="W324">
        <v>0</v>
      </c>
      <c r="X324">
        <v>0</v>
      </c>
      <c r="Y324" t="s">
        <v>38</v>
      </c>
    </row>
    <row r="325" spans="1:25" x14ac:dyDescent="0.35">
      <c r="A325">
        <v>52210045</v>
      </c>
      <c r="B325" t="s">
        <v>1447</v>
      </c>
      <c r="C325" t="s">
        <v>1444</v>
      </c>
      <c r="D325" t="s">
        <v>1445</v>
      </c>
      <c r="F325" t="str">
        <f>""</f>
        <v/>
      </c>
      <c r="G325" t="str">
        <f>""</f>
        <v/>
      </c>
      <c r="H325">
        <v>0</v>
      </c>
      <c r="I325">
        <v>3.38</v>
      </c>
      <c r="J325" t="s">
        <v>798</v>
      </c>
      <c r="K325" t="s">
        <v>375</v>
      </c>
      <c r="L325">
        <v>367</v>
      </c>
      <c r="M325">
        <v>2020</v>
      </c>
      <c r="N325">
        <v>2020</v>
      </c>
      <c r="P325" s="1">
        <v>45644</v>
      </c>
      <c r="Q325" t="s">
        <v>30</v>
      </c>
      <c r="R325" t="s">
        <v>1448</v>
      </c>
      <c r="S325" t="s">
        <v>30</v>
      </c>
      <c r="W325">
        <v>0</v>
      </c>
      <c r="X325">
        <v>0</v>
      </c>
      <c r="Y325" t="s">
        <v>38</v>
      </c>
    </row>
    <row r="326" spans="1:25" x14ac:dyDescent="0.35">
      <c r="A326">
        <v>54303829</v>
      </c>
      <c r="B326" t="s">
        <v>1449</v>
      </c>
      <c r="C326" t="s">
        <v>1444</v>
      </c>
      <c r="D326" t="s">
        <v>1445</v>
      </c>
      <c r="F326" t="str">
        <f>"198216087X"</f>
        <v>198216087X</v>
      </c>
      <c r="G326" t="str">
        <f>"9781982160876"</f>
        <v>9781982160876</v>
      </c>
      <c r="H326">
        <v>0</v>
      </c>
      <c r="I326">
        <v>3.51</v>
      </c>
      <c r="J326" t="s">
        <v>798</v>
      </c>
      <c r="K326" t="s">
        <v>29</v>
      </c>
      <c r="L326">
        <v>345</v>
      </c>
      <c r="M326">
        <v>2021</v>
      </c>
      <c r="N326">
        <v>2021</v>
      </c>
      <c r="P326" s="1">
        <v>45644</v>
      </c>
      <c r="Q326" t="s">
        <v>30</v>
      </c>
      <c r="R326" t="s">
        <v>1450</v>
      </c>
      <c r="S326" t="s">
        <v>30</v>
      </c>
      <c r="W326">
        <v>0</v>
      </c>
      <c r="X326">
        <v>0</v>
      </c>
      <c r="Y326" t="s">
        <v>38</v>
      </c>
    </row>
    <row r="327" spans="1:25" x14ac:dyDescent="0.35">
      <c r="A327">
        <v>198386827</v>
      </c>
      <c r="B327" t="s">
        <v>1451</v>
      </c>
      <c r="C327" t="s">
        <v>1452</v>
      </c>
      <c r="D327" t="s">
        <v>1453</v>
      </c>
      <c r="F327" t="str">
        <f>"1739545931"</f>
        <v>1739545931</v>
      </c>
      <c r="G327" t="str">
        <f>"9781739545932"</f>
        <v>9781739545932</v>
      </c>
      <c r="H327">
        <v>0</v>
      </c>
      <c r="I327">
        <v>4</v>
      </c>
      <c r="K327" t="s">
        <v>85</v>
      </c>
      <c r="L327">
        <v>376</v>
      </c>
      <c r="M327">
        <v>2023</v>
      </c>
      <c r="P327" s="1">
        <v>45644</v>
      </c>
      <c r="Q327" t="s">
        <v>30</v>
      </c>
      <c r="R327" t="s">
        <v>1454</v>
      </c>
      <c r="S327" t="s">
        <v>30</v>
      </c>
      <c r="W327">
        <v>0</v>
      </c>
      <c r="X327">
        <v>0</v>
      </c>
      <c r="Y327" t="s">
        <v>32</v>
      </c>
    </row>
    <row r="328" spans="1:25" x14ac:dyDescent="0.35">
      <c r="A328">
        <v>215805924</v>
      </c>
      <c r="B328" t="s">
        <v>1455</v>
      </c>
      <c r="C328" t="s">
        <v>348</v>
      </c>
      <c r="D328" t="s">
        <v>349</v>
      </c>
      <c r="F328" t="str">
        <f>"0593546253"</f>
        <v>0593546253</v>
      </c>
      <c r="G328" t="str">
        <f>"9780593546253"</f>
        <v>9780593546253</v>
      </c>
      <c r="H328">
        <v>0</v>
      </c>
      <c r="I328">
        <v>4.3</v>
      </c>
      <c r="J328" t="s">
        <v>350</v>
      </c>
      <c r="K328" t="s">
        <v>29</v>
      </c>
      <c r="L328">
        <v>336</v>
      </c>
      <c r="M328">
        <v>2025</v>
      </c>
      <c r="N328">
        <v>2025</v>
      </c>
      <c r="P328" s="1">
        <v>45643</v>
      </c>
      <c r="Q328" t="s">
        <v>30</v>
      </c>
      <c r="R328" t="s">
        <v>1456</v>
      </c>
      <c r="S328" t="s">
        <v>30</v>
      </c>
      <c r="W328">
        <v>0</v>
      </c>
      <c r="X328">
        <v>0</v>
      </c>
      <c r="Y328" t="s">
        <v>444</v>
      </c>
    </row>
    <row r="329" spans="1:25" x14ac:dyDescent="0.35">
      <c r="A329">
        <v>214974562</v>
      </c>
      <c r="B329" t="s">
        <v>1457</v>
      </c>
      <c r="C329" t="s">
        <v>1458</v>
      </c>
      <c r="D329" t="s">
        <v>1459</v>
      </c>
      <c r="E329" t="s">
        <v>1460</v>
      </c>
      <c r="F329" t="str">
        <f>"1540904083"</f>
        <v>1540904083</v>
      </c>
      <c r="G329" t="str">
        <f>"9781540904089"</f>
        <v>9781540904089</v>
      </c>
      <c r="H329">
        <v>0</v>
      </c>
      <c r="I329">
        <v>4.8099999999999996</v>
      </c>
      <c r="J329" t="s">
        <v>1461</v>
      </c>
      <c r="K329" t="s">
        <v>48</v>
      </c>
      <c r="L329">
        <v>256</v>
      </c>
      <c r="M329">
        <v>2025</v>
      </c>
      <c r="P329" s="1">
        <v>45642</v>
      </c>
      <c r="Q329" t="s">
        <v>30</v>
      </c>
      <c r="R329" t="s">
        <v>1462</v>
      </c>
      <c r="S329" t="s">
        <v>30</v>
      </c>
      <c r="W329">
        <v>0</v>
      </c>
      <c r="X329">
        <v>0</v>
      </c>
      <c r="Y329" t="s">
        <v>122</v>
      </c>
    </row>
    <row r="330" spans="1:25" x14ac:dyDescent="0.35">
      <c r="A330">
        <v>20894026</v>
      </c>
      <c r="B330" t="s">
        <v>1463</v>
      </c>
      <c r="C330" t="s">
        <v>1464</v>
      </c>
      <c r="D330" t="s">
        <v>1465</v>
      </c>
      <c r="F330" t="str">
        <f>"0545156645"</f>
        <v>0545156645</v>
      </c>
      <c r="G330" t="str">
        <f>"9780545156646"</f>
        <v>9780545156646</v>
      </c>
      <c r="H330">
        <v>0</v>
      </c>
      <c r="I330">
        <v>3.99</v>
      </c>
      <c r="J330" t="s">
        <v>356</v>
      </c>
      <c r="K330" t="s">
        <v>48</v>
      </c>
      <c r="L330">
        <v>384</v>
      </c>
      <c r="M330">
        <v>2014</v>
      </c>
      <c r="N330">
        <v>2014</v>
      </c>
      <c r="P330" s="1">
        <v>45642</v>
      </c>
      <c r="Q330" t="s">
        <v>30</v>
      </c>
      <c r="R330" t="s">
        <v>1466</v>
      </c>
      <c r="S330" t="s">
        <v>30</v>
      </c>
      <c r="W330">
        <v>0</v>
      </c>
      <c r="X330">
        <v>0</v>
      </c>
      <c r="Y330" t="s">
        <v>38</v>
      </c>
    </row>
    <row r="331" spans="1:25" x14ac:dyDescent="0.35">
      <c r="A331">
        <v>368468</v>
      </c>
      <c r="B331" t="s">
        <v>1467</v>
      </c>
      <c r="C331" t="s">
        <v>1464</v>
      </c>
      <c r="D331" t="s">
        <v>1465</v>
      </c>
      <c r="F331" t="str">
        <f>"0385323069"</f>
        <v>0385323069</v>
      </c>
      <c r="G331" t="str">
        <f>"9780385323062"</f>
        <v>9780385323062</v>
      </c>
      <c r="H331">
        <v>0</v>
      </c>
      <c r="I331">
        <v>3.97</v>
      </c>
      <c r="J331" t="s">
        <v>472</v>
      </c>
      <c r="K331" t="s">
        <v>48</v>
      </c>
      <c r="L331">
        <v>243</v>
      </c>
      <c r="M331">
        <v>1999</v>
      </c>
      <c r="N331">
        <v>1999</v>
      </c>
      <c r="P331" s="1">
        <v>45642</v>
      </c>
      <c r="Q331" t="s">
        <v>30</v>
      </c>
      <c r="R331" t="s">
        <v>1468</v>
      </c>
      <c r="S331" t="s">
        <v>30</v>
      </c>
      <c r="W331">
        <v>0</v>
      </c>
      <c r="X331">
        <v>0</v>
      </c>
      <c r="Y331" t="s">
        <v>38</v>
      </c>
    </row>
    <row r="332" spans="1:25" x14ac:dyDescent="0.35">
      <c r="A332">
        <v>11288619</v>
      </c>
      <c r="B332" t="s">
        <v>1469</v>
      </c>
      <c r="C332" t="s">
        <v>1464</v>
      </c>
      <c r="D332" t="s">
        <v>1465</v>
      </c>
      <c r="F332" t="str">
        <f>"0385734913"</f>
        <v>0385734913</v>
      </c>
      <c r="G332" t="str">
        <f>"9780385734912"</f>
        <v>9780385734912</v>
      </c>
      <c r="H332">
        <v>0</v>
      </c>
      <c r="I332">
        <v>4.13</v>
      </c>
      <c r="J332" t="s">
        <v>1470</v>
      </c>
      <c r="K332" t="s">
        <v>48</v>
      </c>
      <c r="L332">
        <v>320</v>
      </c>
      <c r="M332">
        <v>2012</v>
      </c>
      <c r="N332">
        <v>2012</v>
      </c>
      <c r="P332" s="1">
        <v>45642</v>
      </c>
      <c r="Q332" t="s">
        <v>30</v>
      </c>
      <c r="R332" t="s">
        <v>1471</v>
      </c>
      <c r="S332" t="s">
        <v>30</v>
      </c>
      <c r="W332">
        <v>0</v>
      </c>
      <c r="X332">
        <v>0</v>
      </c>
      <c r="Y332" t="s">
        <v>38</v>
      </c>
    </row>
    <row r="333" spans="1:25" x14ac:dyDescent="0.35">
      <c r="A333">
        <v>28561667</v>
      </c>
      <c r="B333" t="s">
        <v>1472</v>
      </c>
      <c r="C333" t="s">
        <v>1473</v>
      </c>
      <c r="D333" t="s">
        <v>1474</v>
      </c>
      <c r="F333" t="str">
        <f>"0764218131"</f>
        <v>0764218131</v>
      </c>
      <c r="G333" t="str">
        <f>"9780764218132"</f>
        <v>9780764218132</v>
      </c>
      <c r="H333">
        <v>0</v>
      </c>
      <c r="I333">
        <v>3.94</v>
      </c>
      <c r="J333" t="s">
        <v>36</v>
      </c>
      <c r="K333" t="s">
        <v>29</v>
      </c>
      <c r="L333">
        <v>445</v>
      </c>
      <c r="M333">
        <v>2016</v>
      </c>
      <c r="N333">
        <v>2016</v>
      </c>
      <c r="P333" s="1">
        <v>45642</v>
      </c>
      <c r="Q333" t="s">
        <v>30</v>
      </c>
      <c r="R333" t="s">
        <v>1475</v>
      </c>
      <c r="S333" t="s">
        <v>30</v>
      </c>
      <c r="W333">
        <v>0</v>
      </c>
      <c r="X333">
        <v>0</v>
      </c>
      <c r="Y333" t="s">
        <v>38</v>
      </c>
    </row>
    <row r="334" spans="1:25" x14ac:dyDescent="0.35">
      <c r="A334">
        <v>15756277</v>
      </c>
      <c r="B334" t="s">
        <v>1476</v>
      </c>
      <c r="C334" t="s">
        <v>1477</v>
      </c>
      <c r="D334" t="s">
        <v>1478</v>
      </c>
      <c r="F334" t="str">
        <f>"054545901X"</f>
        <v>054545901X</v>
      </c>
      <c r="G334" t="str">
        <f>"9780545459013"</f>
        <v>9780545459013</v>
      </c>
      <c r="H334">
        <v>0</v>
      </c>
      <c r="I334">
        <v>4.4400000000000004</v>
      </c>
      <c r="J334" t="s">
        <v>1479</v>
      </c>
      <c r="K334" t="s">
        <v>48</v>
      </c>
      <c r="L334">
        <v>272</v>
      </c>
      <c r="M334">
        <v>2013</v>
      </c>
      <c r="N334">
        <v>2013</v>
      </c>
      <c r="P334" s="1">
        <v>45642</v>
      </c>
      <c r="Q334" t="s">
        <v>30</v>
      </c>
      <c r="R334" t="s">
        <v>1480</v>
      </c>
      <c r="S334" t="s">
        <v>30</v>
      </c>
      <c r="W334">
        <v>0</v>
      </c>
      <c r="X334">
        <v>0</v>
      </c>
      <c r="Y334" t="s">
        <v>38</v>
      </c>
    </row>
    <row r="335" spans="1:25" x14ac:dyDescent="0.35">
      <c r="A335">
        <v>3002300</v>
      </c>
      <c r="B335" t="s">
        <v>1481</v>
      </c>
      <c r="C335" t="s">
        <v>1482</v>
      </c>
      <c r="D335" t="s">
        <v>1483</v>
      </c>
      <c r="F335" t="str">
        <f>"1416905855"</f>
        <v>1416905855</v>
      </c>
      <c r="G335" t="str">
        <f>"9781416905851"</f>
        <v>9781416905851</v>
      </c>
      <c r="H335">
        <v>0</v>
      </c>
      <c r="I335">
        <v>4.0999999999999996</v>
      </c>
      <c r="J335" t="s">
        <v>1484</v>
      </c>
      <c r="K335" t="s">
        <v>48</v>
      </c>
      <c r="L335">
        <v>316</v>
      </c>
      <c r="M335">
        <v>2008</v>
      </c>
      <c r="N335">
        <v>2008</v>
      </c>
      <c r="P335" s="1">
        <v>45640</v>
      </c>
      <c r="Q335" t="s">
        <v>30</v>
      </c>
      <c r="R335" t="s">
        <v>1485</v>
      </c>
      <c r="S335" t="s">
        <v>30</v>
      </c>
      <c r="W335">
        <v>0</v>
      </c>
      <c r="X335">
        <v>0</v>
      </c>
      <c r="Y335" t="s">
        <v>38</v>
      </c>
    </row>
    <row r="336" spans="1:25" x14ac:dyDescent="0.35">
      <c r="A336">
        <v>16120511</v>
      </c>
      <c r="B336" t="s">
        <v>1486</v>
      </c>
      <c r="C336" t="s">
        <v>1487</v>
      </c>
      <c r="D336" t="s">
        <v>1488</v>
      </c>
      <c r="F336" t="str">
        <f>""</f>
        <v/>
      </c>
      <c r="G336" t="str">
        <f>""</f>
        <v/>
      </c>
      <c r="H336">
        <v>0</v>
      </c>
      <c r="I336">
        <v>3.97</v>
      </c>
      <c r="J336" t="s">
        <v>1489</v>
      </c>
      <c r="K336" t="s">
        <v>375</v>
      </c>
      <c r="L336">
        <v>46</v>
      </c>
      <c r="M336">
        <v>2012</v>
      </c>
      <c r="N336">
        <v>2012</v>
      </c>
      <c r="P336" s="1">
        <v>45638</v>
      </c>
      <c r="Q336" t="s">
        <v>30</v>
      </c>
      <c r="R336" t="s">
        <v>1490</v>
      </c>
      <c r="S336" t="s">
        <v>30</v>
      </c>
      <c r="W336">
        <v>0</v>
      </c>
      <c r="X336">
        <v>0</v>
      </c>
      <c r="Y336" t="s">
        <v>38</v>
      </c>
    </row>
    <row r="337" spans="1:25" x14ac:dyDescent="0.35">
      <c r="A337">
        <v>33538922</v>
      </c>
      <c r="B337" t="s">
        <v>1491</v>
      </c>
      <c r="C337" t="s">
        <v>1487</v>
      </c>
      <c r="D337" t="s">
        <v>1488</v>
      </c>
      <c r="E337" t="s">
        <v>1492</v>
      </c>
      <c r="F337" t="str">
        <f>"1941114237"</f>
        <v>1941114237</v>
      </c>
      <c r="G337" t="str">
        <f>"9781941114230"</f>
        <v>9781941114230</v>
      </c>
      <c r="H337">
        <v>0</v>
      </c>
      <c r="I337">
        <v>4.25</v>
      </c>
      <c r="J337" t="s">
        <v>1493</v>
      </c>
      <c r="K337" t="s">
        <v>29</v>
      </c>
      <c r="L337">
        <v>133</v>
      </c>
      <c r="M337">
        <v>2016</v>
      </c>
      <c r="N337">
        <v>2016</v>
      </c>
      <c r="P337" s="1">
        <v>45638</v>
      </c>
      <c r="Q337" t="s">
        <v>30</v>
      </c>
      <c r="R337" t="s">
        <v>1494</v>
      </c>
      <c r="S337" t="s">
        <v>30</v>
      </c>
      <c r="W337">
        <v>0</v>
      </c>
      <c r="X337">
        <v>0</v>
      </c>
      <c r="Y337" t="s">
        <v>38</v>
      </c>
    </row>
    <row r="338" spans="1:25" x14ac:dyDescent="0.35">
      <c r="A338">
        <v>36650577</v>
      </c>
      <c r="B338" t="s">
        <v>1495</v>
      </c>
      <c r="C338" t="s">
        <v>1487</v>
      </c>
      <c r="D338" t="s">
        <v>1488</v>
      </c>
      <c r="F338" t="str">
        <f>"1941114490"</f>
        <v>1941114490</v>
      </c>
      <c r="G338" t="str">
        <f>"9781941114490"</f>
        <v>9781941114490</v>
      </c>
      <c r="H338">
        <v>0</v>
      </c>
      <c r="I338">
        <v>4.49</v>
      </c>
      <c r="J338" t="s">
        <v>1493</v>
      </c>
      <c r="K338" t="s">
        <v>29</v>
      </c>
      <c r="L338">
        <v>86</v>
      </c>
      <c r="M338">
        <v>2017</v>
      </c>
      <c r="P338" s="1">
        <v>45638</v>
      </c>
      <c r="Q338" t="s">
        <v>30</v>
      </c>
      <c r="R338" t="s">
        <v>1496</v>
      </c>
      <c r="S338" t="s">
        <v>30</v>
      </c>
      <c r="W338">
        <v>0</v>
      </c>
      <c r="X338">
        <v>0</v>
      </c>
      <c r="Y338" t="s">
        <v>122</v>
      </c>
    </row>
    <row r="339" spans="1:25" x14ac:dyDescent="0.35">
      <c r="A339">
        <v>45363</v>
      </c>
      <c r="B339" t="s">
        <v>1497</v>
      </c>
      <c r="C339" t="s">
        <v>1487</v>
      </c>
      <c r="D339" t="s">
        <v>1488</v>
      </c>
      <c r="E339" t="s">
        <v>1498</v>
      </c>
      <c r="F339" t="str">
        <f>"158134399X"</f>
        <v>158134399X</v>
      </c>
      <c r="G339" t="str">
        <f>"9781581343991"</f>
        <v>9781581343991</v>
      </c>
      <c r="H339">
        <v>0</v>
      </c>
      <c r="I339">
        <v>4.3499999999999996</v>
      </c>
      <c r="J339" t="s">
        <v>1499</v>
      </c>
      <c r="K339" t="s">
        <v>48</v>
      </c>
      <c r="L339">
        <v>80</v>
      </c>
      <c r="M339">
        <v>2002</v>
      </c>
      <c r="N339">
        <v>2002</v>
      </c>
      <c r="P339" s="1">
        <v>45638</v>
      </c>
      <c r="Q339" t="s">
        <v>30</v>
      </c>
      <c r="R339" t="s">
        <v>1500</v>
      </c>
      <c r="S339" t="s">
        <v>30</v>
      </c>
      <c r="W339">
        <v>0</v>
      </c>
      <c r="X339">
        <v>0</v>
      </c>
      <c r="Y339" t="s">
        <v>122</v>
      </c>
    </row>
    <row r="340" spans="1:25" x14ac:dyDescent="0.35">
      <c r="A340">
        <v>10775271</v>
      </c>
      <c r="B340" t="s">
        <v>1501</v>
      </c>
      <c r="C340" t="s">
        <v>1487</v>
      </c>
      <c r="D340" t="s">
        <v>1488</v>
      </c>
      <c r="E340" t="s">
        <v>1502</v>
      </c>
      <c r="F340" t="str">
        <f>"1433526514"</f>
        <v>1433526514</v>
      </c>
      <c r="G340" t="str">
        <f>"9781433526510"</f>
        <v>9781433526510</v>
      </c>
      <c r="H340">
        <v>0</v>
      </c>
      <c r="I340">
        <v>4.05</v>
      </c>
      <c r="J340" t="s">
        <v>1503</v>
      </c>
      <c r="K340" t="s">
        <v>29</v>
      </c>
      <c r="L340">
        <v>176</v>
      </c>
      <c r="M340">
        <v>2011</v>
      </c>
      <c r="N340">
        <v>2011</v>
      </c>
      <c r="P340" s="1">
        <v>45638</v>
      </c>
      <c r="Q340" t="s">
        <v>30</v>
      </c>
      <c r="R340" t="s">
        <v>1504</v>
      </c>
      <c r="S340" t="s">
        <v>30</v>
      </c>
      <c r="W340">
        <v>0</v>
      </c>
      <c r="X340">
        <v>0</v>
      </c>
      <c r="Y340" t="s">
        <v>38</v>
      </c>
    </row>
    <row r="341" spans="1:25" x14ac:dyDescent="0.35">
      <c r="A341">
        <v>28650013</v>
      </c>
      <c r="B341" t="s">
        <v>1505</v>
      </c>
      <c r="C341" t="s">
        <v>1487</v>
      </c>
      <c r="D341" t="s">
        <v>1488</v>
      </c>
      <c r="F341" t="str">
        <f>"178498051X"</f>
        <v>178498051X</v>
      </c>
      <c r="G341" t="str">
        <f>"9781784980511"</f>
        <v>9781784980511</v>
      </c>
      <c r="H341">
        <v>0</v>
      </c>
      <c r="I341">
        <v>4.1900000000000004</v>
      </c>
      <c r="J341" t="s">
        <v>1506</v>
      </c>
      <c r="K341" t="s">
        <v>48</v>
      </c>
      <c r="L341">
        <v>154</v>
      </c>
      <c r="M341">
        <v>2016</v>
      </c>
      <c r="P341" s="1">
        <v>45638</v>
      </c>
      <c r="Q341" t="s">
        <v>30</v>
      </c>
      <c r="R341" t="s">
        <v>1507</v>
      </c>
      <c r="S341" t="s">
        <v>30</v>
      </c>
      <c r="W341">
        <v>0</v>
      </c>
      <c r="X341">
        <v>0</v>
      </c>
      <c r="Y341" t="s">
        <v>38</v>
      </c>
    </row>
    <row r="342" spans="1:25" x14ac:dyDescent="0.35">
      <c r="A342">
        <v>210215</v>
      </c>
      <c r="B342" t="s">
        <v>1508</v>
      </c>
      <c r="C342" t="s">
        <v>1487</v>
      </c>
      <c r="D342" t="s">
        <v>1488</v>
      </c>
      <c r="F342" t="str">
        <f>"0801070791"</f>
        <v>0801070791</v>
      </c>
      <c r="G342" t="str">
        <f>"9780801070792"</f>
        <v>9780801070792</v>
      </c>
      <c r="H342">
        <v>0</v>
      </c>
      <c r="I342">
        <v>4.3099999999999996</v>
      </c>
      <c r="J342" t="s">
        <v>1509</v>
      </c>
      <c r="K342" t="s">
        <v>29</v>
      </c>
      <c r="L342">
        <v>245</v>
      </c>
      <c r="M342">
        <v>1993</v>
      </c>
      <c r="N342">
        <v>1993</v>
      </c>
      <c r="P342" s="1">
        <v>45638</v>
      </c>
      <c r="Q342" t="s">
        <v>30</v>
      </c>
      <c r="R342" t="s">
        <v>1510</v>
      </c>
      <c r="S342" t="s">
        <v>30</v>
      </c>
      <c r="W342">
        <v>0</v>
      </c>
      <c r="X342">
        <v>0</v>
      </c>
      <c r="Y342" t="s">
        <v>122</v>
      </c>
    </row>
    <row r="343" spans="1:25" x14ac:dyDescent="0.35">
      <c r="A343">
        <v>6641627</v>
      </c>
      <c r="B343" t="s">
        <v>1511</v>
      </c>
      <c r="C343" t="s">
        <v>1487</v>
      </c>
      <c r="D343" t="s">
        <v>1488</v>
      </c>
      <c r="F343" t="str">
        <f>"1433514370"</f>
        <v>1433514370</v>
      </c>
      <c r="G343" t="str">
        <f>"9781433514371"</f>
        <v>9781433514371</v>
      </c>
      <c r="H343">
        <v>0</v>
      </c>
      <c r="I343">
        <v>4.29</v>
      </c>
      <c r="J343" t="s">
        <v>1503</v>
      </c>
      <c r="K343" t="s">
        <v>48</v>
      </c>
      <c r="L343">
        <v>160</v>
      </c>
      <c r="M343">
        <v>2009</v>
      </c>
      <c r="N343">
        <v>2009</v>
      </c>
      <c r="P343" s="1">
        <v>45638</v>
      </c>
      <c r="Q343" t="s">
        <v>30</v>
      </c>
      <c r="R343" t="s">
        <v>1512</v>
      </c>
      <c r="S343" t="s">
        <v>30</v>
      </c>
      <c r="W343">
        <v>0</v>
      </c>
      <c r="X343">
        <v>0</v>
      </c>
      <c r="Y343" t="s">
        <v>122</v>
      </c>
    </row>
    <row r="344" spans="1:25" x14ac:dyDescent="0.35">
      <c r="A344">
        <v>31804442</v>
      </c>
      <c r="B344" t="s">
        <v>1513</v>
      </c>
      <c r="C344" t="s">
        <v>1487</v>
      </c>
      <c r="D344" t="s">
        <v>1488</v>
      </c>
      <c r="F344" t="str">
        <f>"143355349X"</f>
        <v>143355349X</v>
      </c>
      <c r="G344" t="str">
        <f>"9781433553493"</f>
        <v>9781433553493</v>
      </c>
      <c r="H344">
        <v>0</v>
      </c>
      <c r="I344">
        <v>4.3499999999999996</v>
      </c>
      <c r="J344" t="s">
        <v>1503</v>
      </c>
      <c r="K344" t="s">
        <v>48</v>
      </c>
      <c r="L344">
        <v>432</v>
      </c>
      <c r="M344">
        <v>2017</v>
      </c>
      <c r="P344" s="1">
        <v>45638</v>
      </c>
      <c r="Q344" t="s">
        <v>30</v>
      </c>
      <c r="R344" t="s">
        <v>1514</v>
      </c>
      <c r="S344" t="s">
        <v>30</v>
      </c>
      <c r="W344">
        <v>0</v>
      </c>
      <c r="X344">
        <v>0</v>
      </c>
      <c r="Y344" t="s">
        <v>122</v>
      </c>
    </row>
    <row r="345" spans="1:25" x14ac:dyDescent="0.35">
      <c r="A345">
        <v>11885323</v>
      </c>
      <c r="B345" t="s">
        <v>1515</v>
      </c>
      <c r="C345" t="s">
        <v>1487</v>
      </c>
      <c r="D345" t="s">
        <v>1488</v>
      </c>
      <c r="E345" t="s">
        <v>233</v>
      </c>
      <c r="F345" t="str">
        <f>"1433528525"</f>
        <v>1433528525</v>
      </c>
      <c r="G345" t="str">
        <f>"9781433528521"</f>
        <v>9781433528521</v>
      </c>
      <c r="H345">
        <v>0</v>
      </c>
      <c r="I345">
        <v>4.16</v>
      </c>
      <c r="J345" t="s">
        <v>1503</v>
      </c>
      <c r="K345" t="s">
        <v>48</v>
      </c>
      <c r="L345">
        <v>304</v>
      </c>
      <c r="M345">
        <v>2011</v>
      </c>
      <c r="N345">
        <v>2011</v>
      </c>
      <c r="P345" s="1">
        <v>45638</v>
      </c>
      <c r="Q345" t="s">
        <v>30</v>
      </c>
      <c r="R345" t="s">
        <v>1516</v>
      </c>
      <c r="S345" t="s">
        <v>30</v>
      </c>
      <c r="W345">
        <v>0</v>
      </c>
      <c r="X345">
        <v>0</v>
      </c>
      <c r="Y345" t="s">
        <v>122</v>
      </c>
    </row>
    <row r="346" spans="1:25" x14ac:dyDescent="0.35">
      <c r="A346">
        <v>59003883</v>
      </c>
      <c r="B346" t="s">
        <v>1517</v>
      </c>
      <c r="C346" t="s">
        <v>1518</v>
      </c>
      <c r="D346" t="s">
        <v>1519</v>
      </c>
      <c r="E346" t="s">
        <v>1520</v>
      </c>
      <c r="F346" t="str">
        <f>"0712353895"</f>
        <v>0712353895</v>
      </c>
      <c r="G346" t="str">
        <f>"9780712353892"</f>
        <v>9780712353892</v>
      </c>
      <c r="H346">
        <v>0</v>
      </c>
      <c r="I346">
        <v>3.45</v>
      </c>
      <c r="J346" t="s">
        <v>1521</v>
      </c>
      <c r="K346" t="s">
        <v>29</v>
      </c>
      <c r="L346">
        <v>320</v>
      </c>
      <c r="M346">
        <v>2021</v>
      </c>
      <c r="N346">
        <v>1944</v>
      </c>
      <c r="P346" s="1">
        <v>45636</v>
      </c>
      <c r="Q346" t="s">
        <v>30</v>
      </c>
      <c r="R346" t="s">
        <v>1522</v>
      </c>
      <c r="S346" t="s">
        <v>30</v>
      </c>
      <c r="W346">
        <v>0</v>
      </c>
      <c r="X346">
        <v>0</v>
      </c>
      <c r="Y346" t="s">
        <v>38</v>
      </c>
    </row>
    <row r="347" spans="1:25" x14ac:dyDescent="0.35">
      <c r="A347">
        <v>55918521</v>
      </c>
      <c r="B347" t="s">
        <v>1523</v>
      </c>
      <c r="C347" t="s">
        <v>1524</v>
      </c>
      <c r="D347" t="s">
        <v>1525</v>
      </c>
      <c r="E347" t="s">
        <v>1526</v>
      </c>
      <c r="F347" t="str">
        <f>"0008450668"</f>
        <v>0008450668</v>
      </c>
      <c r="G347" t="str">
        <f>"9780008450663"</f>
        <v>9780008450663</v>
      </c>
      <c r="H347">
        <v>0</v>
      </c>
      <c r="I347">
        <v>3.54</v>
      </c>
      <c r="J347" t="s">
        <v>1527</v>
      </c>
      <c r="K347" t="s">
        <v>48</v>
      </c>
      <c r="L347">
        <v>339</v>
      </c>
      <c r="M347">
        <v>2021</v>
      </c>
      <c r="N347">
        <v>2021</v>
      </c>
      <c r="P347" s="1">
        <v>45636</v>
      </c>
      <c r="Q347" t="s">
        <v>30</v>
      </c>
      <c r="R347" t="s">
        <v>1528</v>
      </c>
      <c r="S347" t="s">
        <v>30</v>
      </c>
      <c r="W347">
        <v>0</v>
      </c>
      <c r="X347">
        <v>0</v>
      </c>
      <c r="Y347" t="s">
        <v>38</v>
      </c>
    </row>
    <row r="348" spans="1:25" x14ac:dyDescent="0.35">
      <c r="A348">
        <v>211138933</v>
      </c>
      <c r="B348" t="s">
        <v>1529</v>
      </c>
      <c r="C348" t="s">
        <v>401</v>
      </c>
      <c r="D348" t="s">
        <v>402</v>
      </c>
      <c r="F348" t="str">
        <f>""</f>
        <v/>
      </c>
      <c r="G348" t="str">
        <f>""</f>
        <v/>
      </c>
      <c r="H348">
        <v>5</v>
      </c>
      <c r="I348">
        <v>4.41</v>
      </c>
      <c r="K348" t="s">
        <v>85</v>
      </c>
      <c r="L348">
        <v>308</v>
      </c>
      <c r="M348">
        <v>2024</v>
      </c>
      <c r="P348" s="1">
        <v>45495</v>
      </c>
      <c r="S348" t="s">
        <v>51</v>
      </c>
      <c r="W348">
        <v>1</v>
      </c>
      <c r="X348">
        <v>0</v>
      </c>
      <c r="Y348" t="s">
        <v>38</v>
      </c>
    </row>
    <row r="349" spans="1:25" x14ac:dyDescent="0.35">
      <c r="A349">
        <v>202907744</v>
      </c>
      <c r="B349" t="s">
        <v>1530</v>
      </c>
      <c r="C349" t="s">
        <v>1531</v>
      </c>
      <c r="D349" t="s">
        <v>1532</v>
      </c>
      <c r="F349" t="str">
        <f>""</f>
        <v/>
      </c>
      <c r="G349" t="str">
        <f>"9798867745752"</f>
        <v>9798867745752</v>
      </c>
      <c r="H349">
        <v>5</v>
      </c>
      <c r="I349">
        <v>5</v>
      </c>
      <c r="J349" t="s">
        <v>1121</v>
      </c>
      <c r="K349" t="s">
        <v>29</v>
      </c>
      <c r="L349">
        <v>52</v>
      </c>
      <c r="M349">
        <v>2023</v>
      </c>
      <c r="P349" s="1">
        <v>45635</v>
      </c>
      <c r="S349" t="s">
        <v>51</v>
      </c>
      <c r="W349">
        <v>1</v>
      </c>
      <c r="X349">
        <v>0</v>
      </c>
      <c r="Y349" t="s">
        <v>122</v>
      </c>
    </row>
    <row r="350" spans="1:25" x14ac:dyDescent="0.35">
      <c r="A350">
        <v>123009383</v>
      </c>
      <c r="B350" t="s">
        <v>1533</v>
      </c>
      <c r="C350" t="s">
        <v>1531</v>
      </c>
      <c r="D350" t="s">
        <v>1532</v>
      </c>
      <c r="F350" t="str">
        <f>""</f>
        <v/>
      </c>
      <c r="G350" t="str">
        <f>"9798377914761"</f>
        <v>9798377914761</v>
      </c>
      <c r="H350">
        <v>5</v>
      </c>
      <c r="I350">
        <v>5</v>
      </c>
      <c r="J350" t="s">
        <v>1121</v>
      </c>
      <c r="K350" t="s">
        <v>29</v>
      </c>
      <c r="L350">
        <v>64</v>
      </c>
      <c r="M350">
        <v>2023</v>
      </c>
      <c r="P350" s="1">
        <v>45635</v>
      </c>
      <c r="S350" t="s">
        <v>51</v>
      </c>
      <c r="W350">
        <v>1</v>
      </c>
      <c r="X350">
        <v>0</v>
      </c>
      <c r="Y350" t="s">
        <v>122</v>
      </c>
    </row>
    <row r="351" spans="1:25" x14ac:dyDescent="0.35">
      <c r="A351">
        <v>210331622</v>
      </c>
      <c r="B351" t="s">
        <v>1534</v>
      </c>
      <c r="C351" t="s">
        <v>1535</v>
      </c>
      <c r="D351" t="s">
        <v>1536</v>
      </c>
      <c r="F351" t="str">
        <f>"0316576794"</f>
        <v>0316576794</v>
      </c>
      <c r="G351" t="str">
        <f>"9780316576796"</f>
        <v>9780316576796</v>
      </c>
      <c r="H351">
        <v>0</v>
      </c>
      <c r="I351">
        <v>4.1100000000000003</v>
      </c>
      <c r="J351" t="s">
        <v>522</v>
      </c>
      <c r="K351" t="s">
        <v>48</v>
      </c>
      <c r="L351">
        <v>336</v>
      </c>
      <c r="M351">
        <v>2024</v>
      </c>
      <c r="N351">
        <v>2024</v>
      </c>
      <c r="P351" s="1">
        <v>45631</v>
      </c>
      <c r="Q351" t="s">
        <v>30</v>
      </c>
      <c r="R351" t="s">
        <v>1537</v>
      </c>
      <c r="S351" t="s">
        <v>30</v>
      </c>
      <c r="W351">
        <v>0</v>
      </c>
      <c r="X351">
        <v>0</v>
      </c>
      <c r="Y351" t="s">
        <v>38</v>
      </c>
    </row>
    <row r="352" spans="1:25" x14ac:dyDescent="0.35">
      <c r="A352">
        <v>217044592</v>
      </c>
      <c r="B352" t="s">
        <v>1538</v>
      </c>
      <c r="C352" t="s">
        <v>1539</v>
      </c>
      <c r="D352" t="s">
        <v>1540</v>
      </c>
      <c r="F352" t="str">
        <f>"059369855X"</f>
        <v>059369855X</v>
      </c>
      <c r="G352" t="str">
        <f>"9780593698556"</f>
        <v>9780593698556</v>
      </c>
      <c r="H352">
        <v>0</v>
      </c>
      <c r="I352">
        <v>4.6100000000000003</v>
      </c>
      <c r="J352" t="s">
        <v>1541</v>
      </c>
      <c r="K352" t="s">
        <v>85</v>
      </c>
      <c r="M352">
        <v>2025</v>
      </c>
      <c r="P352" s="1">
        <v>45631</v>
      </c>
      <c r="Q352" t="s">
        <v>30</v>
      </c>
      <c r="R352" t="s">
        <v>1542</v>
      </c>
      <c r="S352" t="s">
        <v>30</v>
      </c>
      <c r="W352">
        <v>0</v>
      </c>
      <c r="X352">
        <v>0</v>
      </c>
      <c r="Y352" t="s">
        <v>38</v>
      </c>
    </row>
    <row r="353" spans="1:25" x14ac:dyDescent="0.35">
      <c r="A353">
        <v>32623542</v>
      </c>
      <c r="B353" t="s">
        <v>1543</v>
      </c>
      <c r="C353" t="s">
        <v>1539</v>
      </c>
      <c r="D353" t="s">
        <v>1540</v>
      </c>
      <c r="F353" t="str">
        <f>"1101994851"</f>
        <v>1101994851</v>
      </c>
      <c r="G353" t="str">
        <f>"9781101994856"</f>
        <v>9781101994856</v>
      </c>
      <c r="H353">
        <v>0</v>
      </c>
      <c r="I353">
        <v>4.08</v>
      </c>
      <c r="J353" t="s">
        <v>1541</v>
      </c>
      <c r="K353" t="s">
        <v>48</v>
      </c>
      <c r="L353">
        <v>304</v>
      </c>
      <c r="M353">
        <v>2017</v>
      </c>
      <c r="N353">
        <v>2017</v>
      </c>
      <c r="P353" s="1">
        <v>45631</v>
      </c>
      <c r="Q353" t="s">
        <v>30</v>
      </c>
      <c r="R353" t="s">
        <v>1544</v>
      </c>
      <c r="S353" t="s">
        <v>30</v>
      </c>
      <c r="W353">
        <v>0</v>
      </c>
      <c r="X353">
        <v>0</v>
      </c>
      <c r="Y353" t="s">
        <v>38</v>
      </c>
    </row>
    <row r="354" spans="1:25" x14ac:dyDescent="0.35">
      <c r="A354">
        <v>59719104</v>
      </c>
      <c r="B354" t="s">
        <v>1545</v>
      </c>
      <c r="C354" t="s">
        <v>1546</v>
      </c>
      <c r="D354" t="s">
        <v>1547</v>
      </c>
      <c r="F354" t="str">
        <f>"0593201418"</f>
        <v>0593201418</v>
      </c>
      <c r="G354" t="str">
        <f>"9780593201411"</f>
        <v>9780593201411</v>
      </c>
      <c r="H354">
        <v>0</v>
      </c>
      <c r="I354">
        <v>4.0599999999999996</v>
      </c>
      <c r="J354" t="s">
        <v>350</v>
      </c>
      <c r="K354" t="s">
        <v>29</v>
      </c>
      <c r="L354">
        <v>368</v>
      </c>
      <c r="M354">
        <v>2022</v>
      </c>
      <c r="N354">
        <v>2022</v>
      </c>
      <c r="P354" s="1">
        <v>45631</v>
      </c>
      <c r="Q354" t="s">
        <v>30</v>
      </c>
      <c r="R354" t="s">
        <v>1548</v>
      </c>
      <c r="S354" t="s">
        <v>30</v>
      </c>
      <c r="W354">
        <v>0</v>
      </c>
      <c r="X354">
        <v>0</v>
      </c>
      <c r="Y354" t="s">
        <v>38</v>
      </c>
    </row>
    <row r="355" spans="1:25" x14ac:dyDescent="0.35">
      <c r="A355">
        <v>60194162</v>
      </c>
      <c r="B355" t="s">
        <v>1549</v>
      </c>
      <c r="C355" t="s">
        <v>1550</v>
      </c>
      <c r="D355" t="s">
        <v>1551</v>
      </c>
      <c r="F355" t="str">
        <f>"0063251922"</f>
        <v>0063251922</v>
      </c>
      <c r="G355" t="str">
        <f>"9780063251922"</f>
        <v>9780063251922</v>
      </c>
      <c r="H355">
        <v>0</v>
      </c>
      <c r="I355">
        <v>4.4800000000000004</v>
      </c>
      <c r="J355" t="s">
        <v>1552</v>
      </c>
      <c r="K355" t="s">
        <v>48</v>
      </c>
      <c r="L355">
        <v>560</v>
      </c>
      <c r="M355">
        <v>2022</v>
      </c>
      <c r="N355">
        <v>2022</v>
      </c>
      <c r="P355" s="1">
        <v>45630</v>
      </c>
      <c r="Q355" t="s">
        <v>30</v>
      </c>
      <c r="R355" t="s">
        <v>1553</v>
      </c>
      <c r="S355" t="s">
        <v>30</v>
      </c>
      <c r="W355">
        <v>0</v>
      </c>
      <c r="X355">
        <v>0</v>
      </c>
      <c r="Y355" t="s">
        <v>38</v>
      </c>
    </row>
    <row r="356" spans="1:25" x14ac:dyDescent="0.35">
      <c r="A356">
        <v>198429462</v>
      </c>
      <c r="B356" t="s">
        <v>1554</v>
      </c>
      <c r="C356" t="s">
        <v>1555</v>
      </c>
      <c r="D356" t="s">
        <v>1556</v>
      </c>
      <c r="F356" t="str">
        <f>"1962513009"</f>
        <v>1962513009</v>
      </c>
      <c r="G356" t="str">
        <f>"9781962513005"</f>
        <v>9781962513005</v>
      </c>
      <c r="H356">
        <v>0</v>
      </c>
      <c r="I356">
        <v>4.34</v>
      </c>
      <c r="J356" t="s">
        <v>1557</v>
      </c>
      <c r="K356" t="s">
        <v>85</v>
      </c>
      <c r="L356">
        <v>268</v>
      </c>
      <c r="M356">
        <v>2023</v>
      </c>
      <c r="N356">
        <v>2023</v>
      </c>
      <c r="P356" s="1">
        <v>45630</v>
      </c>
      <c r="Q356" t="s">
        <v>30</v>
      </c>
      <c r="R356" t="s">
        <v>1558</v>
      </c>
      <c r="S356" t="s">
        <v>30</v>
      </c>
      <c r="W356">
        <v>0</v>
      </c>
      <c r="X356">
        <v>0</v>
      </c>
      <c r="Y356" t="s">
        <v>38</v>
      </c>
    </row>
    <row r="357" spans="1:25" x14ac:dyDescent="0.35">
      <c r="A357">
        <v>200199023</v>
      </c>
      <c r="B357" t="s">
        <v>1559</v>
      </c>
      <c r="C357" t="s">
        <v>1560</v>
      </c>
      <c r="D357" t="s">
        <v>1561</v>
      </c>
      <c r="F357" t="str">
        <f>""</f>
        <v/>
      </c>
      <c r="G357" t="str">
        <f>"9798891340886"</f>
        <v>9798891340886</v>
      </c>
      <c r="H357">
        <v>0</v>
      </c>
      <c r="I357">
        <v>4.7300000000000004</v>
      </c>
      <c r="J357" t="s">
        <v>1562</v>
      </c>
      <c r="K357" t="s">
        <v>85</v>
      </c>
      <c r="L357">
        <v>252</v>
      </c>
      <c r="M357">
        <v>2023</v>
      </c>
      <c r="N357">
        <v>2023</v>
      </c>
      <c r="P357" s="1">
        <v>45630</v>
      </c>
      <c r="Q357" t="s">
        <v>30</v>
      </c>
      <c r="R357" t="s">
        <v>1563</v>
      </c>
      <c r="S357" t="s">
        <v>30</v>
      </c>
      <c r="W357">
        <v>0</v>
      </c>
      <c r="X357">
        <v>0</v>
      </c>
      <c r="Y357" t="s">
        <v>38</v>
      </c>
    </row>
    <row r="358" spans="1:25" x14ac:dyDescent="0.35">
      <c r="A358">
        <v>203578712</v>
      </c>
      <c r="B358" t="s">
        <v>1564</v>
      </c>
      <c r="C358" t="s">
        <v>1565</v>
      </c>
      <c r="D358" t="s">
        <v>1566</v>
      </c>
      <c r="F358" t="str">
        <f>"1250292840"</f>
        <v>1250292840</v>
      </c>
      <c r="G358" t="str">
        <f>"9781250292841"</f>
        <v>9781250292841</v>
      </c>
      <c r="H358">
        <v>0</v>
      </c>
      <c r="I358">
        <v>3.6</v>
      </c>
      <c r="J358" t="s">
        <v>1567</v>
      </c>
      <c r="K358" t="s">
        <v>48</v>
      </c>
      <c r="L358">
        <v>336</v>
      </c>
      <c r="M358">
        <v>2024</v>
      </c>
      <c r="N358">
        <v>2024</v>
      </c>
      <c r="P358" s="1">
        <v>45629</v>
      </c>
      <c r="Q358" t="s">
        <v>30</v>
      </c>
      <c r="R358" t="s">
        <v>1568</v>
      </c>
      <c r="S358" t="s">
        <v>30</v>
      </c>
      <c r="W358">
        <v>0</v>
      </c>
      <c r="X358">
        <v>0</v>
      </c>
      <c r="Y358" t="s">
        <v>38</v>
      </c>
    </row>
    <row r="359" spans="1:25" x14ac:dyDescent="0.35">
      <c r="A359">
        <v>200309177</v>
      </c>
      <c r="B359" t="s">
        <v>1569</v>
      </c>
      <c r="C359" t="s">
        <v>1570</v>
      </c>
      <c r="D359" t="s">
        <v>1571</v>
      </c>
      <c r="F359" t="str">
        <f>"1471415805"</f>
        <v>1471415805</v>
      </c>
      <c r="G359" t="str">
        <f>"9781471415807"</f>
        <v>9781471415807</v>
      </c>
      <c r="H359">
        <v>0</v>
      </c>
      <c r="I359">
        <v>4.37</v>
      </c>
      <c r="J359" t="s">
        <v>1572</v>
      </c>
      <c r="K359" t="s">
        <v>85</v>
      </c>
      <c r="L359">
        <v>311</v>
      </c>
      <c r="M359">
        <v>2024</v>
      </c>
      <c r="N359">
        <v>2024</v>
      </c>
      <c r="P359" s="1">
        <v>45629</v>
      </c>
      <c r="Q359" t="s">
        <v>30</v>
      </c>
      <c r="R359" t="s">
        <v>1573</v>
      </c>
      <c r="S359" t="s">
        <v>30</v>
      </c>
      <c r="W359">
        <v>0</v>
      </c>
      <c r="X359">
        <v>0</v>
      </c>
      <c r="Y359" t="s">
        <v>38</v>
      </c>
    </row>
    <row r="360" spans="1:25" x14ac:dyDescent="0.35">
      <c r="A360">
        <v>49631287</v>
      </c>
      <c r="B360" t="s">
        <v>1574</v>
      </c>
      <c r="C360" t="s">
        <v>1575</v>
      </c>
      <c r="D360" t="s">
        <v>1576</v>
      </c>
      <c r="F360" t="str">
        <f>"161620818X"</f>
        <v>161620818X</v>
      </c>
      <c r="G360" t="str">
        <f>"9781616208189"</f>
        <v>9781616208189</v>
      </c>
      <c r="H360">
        <v>0</v>
      </c>
      <c r="I360">
        <v>4.32</v>
      </c>
      <c r="J360" t="s">
        <v>1577</v>
      </c>
      <c r="K360" t="s">
        <v>48</v>
      </c>
      <c r="L360">
        <v>352</v>
      </c>
      <c r="M360">
        <v>2020</v>
      </c>
      <c r="N360">
        <v>2020</v>
      </c>
      <c r="P360" s="1">
        <v>45628</v>
      </c>
      <c r="Q360" t="s">
        <v>30</v>
      </c>
      <c r="R360" t="s">
        <v>1578</v>
      </c>
      <c r="S360" t="s">
        <v>30</v>
      </c>
      <c r="W360">
        <v>0</v>
      </c>
      <c r="X360">
        <v>0</v>
      </c>
      <c r="Y360" t="s">
        <v>38</v>
      </c>
    </row>
    <row r="361" spans="1:25" x14ac:dyDescent="0.35">
      <c r="A361">
        <v>56196875</v>
      </c>
      <c r="B361" t="s">
        <v>1579</v>
      </c>
      <c r="C361" t="s">
        <v>1580</v>
      </c>
      <c r="D361" t="s">
        <v>1581</v>
      </c>
      <c r="E361" t="s">
        <v>1582</v>
      </c>
      <c r="F361" t="str">
        <f>"0008470081"</f>
        <v>0008470081</v>
      </c>
      <c r="G361" t="str">
        <f>"9780008470081"</f>
        <v>9780008470081</v>
      </c>
      <c r="H361">
        <v>0</v>
      </c>
      <c r="I361">
        <v>3.65</v>
      </c>
      <c r="J361" t="s">
        <v>1583</v>
      </c>
      <c r="K361" t="s">
        <v>48</v>
      </c>
      <c r="L361">
        <v>256</v>
      </c>
      <c r="M361">
        <v>2021</v>
      </c>
      <c r="N361">
        <v>1927</v>
      </c>
      <c r="P361" s="1">
        <v>45628</v>
      </c>
      <c r="Q361" t="s">
        <v>30</v>
      </c>
      <c r="R361" t="s">
        <v>1584</v>
      </c>
      <c r="S361" t="s">
        <v>30</v>
      </c>
      <c r="W361">
        <v>0</v>
      </c>
      <c r="X361">
        <v>0</v>
      </c>
      <c r="Y361" t="s">
        <v>542</v>
      </c>
    </row>
    <row r="362" spans="1:25" x14ac:dyDescent="0.35">
      <c r="A362">
        <v>63354417</v>
      </c>
      <c r="B362" t="s">
        <v>1585</v>
      </c>
      <c r="C362" t="s">
        <v>1586</v>
      </c>
      <c r="D362" t="s">
        <v>1587</v>
      </c>
      <c r="F362" t="str">
        <f>"0785246819"</f>
        <v>0785246819</v>
      </c>
      <c r="G362" t="str">
        <f>"9780785246817"</f>
        <v>9780785246817</v>
      </c>
      <c r="H362">
        <v>0</v>
      </c>
      <c r="I362">
        <v>4</v>
      </c>
      <c r="J362" t="s">
        <v>1175</v>
      </c>
      <c r="K362" t="s">
        <v>29</v>
      </c>
      <c r="L362">
        <v>338</v>
      </c>
      <c r="M362">
        <v>2023</v>
      </c>
      <c r="N362">
        <v>2023</v>
      </c>
      <c r="P362" s="1">
        <v>45626</v>
      </c>
      <c r="Q362" t="s">
        <v>30</v>
      </c>
      <c r="R362" t="s">
        <v>1588</v>
      </c>
      <c r="S362" t="s">
        <v>30</v>
      </c>
      <c r="W362">
        <v>0</v>
      </c>
      <c r="X362">
        <v>0</v>
      </c>
      <c r="Y362" t="s">
        <v>38</v>
      </c>
    </row>
    <row r="363" spans="1:25" x14ac:dyDescent="0.35">
      <c r="A363">
        <v>58429280</v>
      </c>
      <c r="B363" t="s">
        <v>1589</v>
      </c>
      <c r="C363" t="s">
        <v>1586</v>
      </c>
      <c r="D363" t="s">
        <v>1587</v>
      </c>
      <c r="F363" t="str">
        <f>"078524672X"</f>
        <v>078524672X</v>
      </c>
      <c r="G363" t="str">
        <f>"9780785246725"</f>
        <v>9780785246725</v>
      </c>
      <c r="H363">
        <v>0</v>
      </c>
      <c r="I363">
        <v>3.87</v>
      </c>
      <c r="J363" t="s">
        <v>1175</v>
      </c>
      <c r="K363" t="s">
        <v>29</v>
      </c>
      <c r="L363">
        <v>336</v>
      </c>
      <c r="M363">
        <v>2022</v>
      </c>
      <c r="N363">
        <v>2022</v>
      </c>
      <c r="P363" s="1">
        <v>45626</v>
      </c>
      <c r="Q363" t="s">
        <v>30</v>
      </c>
      <c r="R363" t="s">
        <v>1590</v>
      </c>
      <c r="S363" t="s">
        <v>30</v>
      </c>
      <c r="W363">
        <v>0</v>
      </c>
      <c r="X363">
        <v>0</v>
      </c>
      <c r="Y363" t="s">
        <v>38</v>
      </c>
    </row>
    <row r="364" spans="1:25" x14ac:dyDescent="0.35">
      <c r="A364">
        <v>201335471</v>
      </c>
      <c r="B364" t="s">
        <v>1591</v>
      </c>
      <c r="C364" t="s">
        <v>1586</v>
      </c>
      <c r="D364" t="s">
        <v>1587</v>
      </c>
      <c r="F364" t="str">
        <f>"078524686X"</f>
        <v>078524686X</v>
      </c>
      <c r="G364" t="str">
        <f>"9780785246862"</f>
        <v>9780785246862</v>
      </c>
      <c r="H364">
        <v>0</v>
      </c>
      <c r="I364">
        <v>4.2</v>
      </c>
      <c r="J364" t="s">
        <v>1175</v>
      </c>
      <c r="K364" t="s">
        <v>29</v>
      </c>
      <c r="L364">
        <v>352</v>
      </c>
      <c r="M364">
        <v>2024</v>
      </c>
      <c r="N364">
        <v>2024</v>
      </c>
      <c r="P364" s="1">
        <v>45626</v>
      </c>
      <c r="Q364" t="s">
        <v>30</v>
      </c>
      <c r="R364" t="s">
        <v>1592</v>
      </c>
      <c r="S364" t="s">
        <v>30</v>
      </c>
      <c r="W364">
        <v>0</v>
      </c>
      <c r="X364">
        <v>0</v>
      </c>
      <c r="Y364" t="s">
        <v>38</v>
      </c>
    </row>
    <row r="365" spans="1:25" x14ac:dyDescent="0.35">
      <c r="A365">
        <v>197268116</v>
      </c>
      <c r="B365" t="s">
        <v>1593</v>
      </c>
      <c r="C365" t="s">
        <v>1594</v>
      </c>
      <c r="D365" t="s">
        <v>1595</v>
      </c>
      <c r="E365" t="s">
        <v>1596</v>
      </c>
      <c r="F365" t="str">
        <f>"1640608982"</f>
        <v>1640608982</v>
      </c>
      <c r="G365" t="str">
        <f>"9781640608986"</f>
        <v>9781640608986</v>
      </c>
      <c r="H365">
        <v>0</v>
      </c>
      <c r="I365">
        <v>4.3499999999999996</v>
      </c>
      <c r="J365" t="s">
        <v>1597</v>
      </c>
      <c r="K365" t="s">
        <v>29</v>
      </c>
      <c r="L365">
        <v>240</v>
      </c>
      <c r="M365">
        <v>2024</v>
      </c>
      <c r="P365" s="1">
        <v>45626</v>
      </c>
      <c r="Q365" t="s">
        <v>30</v>
      </c>
      <c r="R365" t="s">
        <v>1598</v>
      </c>
      <c r="S365" t="s">
        <v>30</v>
      </c>
      <c r="W365">
        <v>0</v>
      </c>
      <c r="X365">
        <v>0</v>
      </c>
      <c r="Y365" t="s">
        <v>38</v>
      </c>
    </row>
    <row r="366" spans="1:25" x14ac:dyDescent="0.35">
      <c r="A366">
        <v>209351055</v>
      </c>
      <c r="B366" t="s">
        <v>1599</v>
      </c>
      <c r="C366" t="s">
        <v>525</v>
      </c>
      <c r="D366" t="s">
        <v>526</v>
      </c>
      <c r="F366" t="str">
        <f>"0764241702"</f>
        <v>0764241702</v>
      </c>
      <c r="G366" t="str">
        <f>"9780764241703"</f>
        <v>9780764241703</v>
      </c>
      <c r="H366">
        <v>0</v>
      </c>
      <c r="I366">
        <v>4.43</v>
      </c>
      <c r="J366" t="s">
        <v>36</v>
      </c>
      <c r="K366" t="s">
        <v>29</v>
      </c>
      <c r="L366">
        <v>320</v>
      </c>
      <c r="M366">
        <v>2024</v>
      </c>
      <c r="N366">
        <v>2024</v>
      </c>
      <c r="P366" s="1">
        <v>45626</v>
      </c>
      <c r="Q366" t="s">
        <v>30</v>
      </c>
      <c r="R366" t="s">
        <v>1600</v>
      </c>
      <c r="S366" t="s">
        <v>30</v>
      </c>
      <c r="W366">
        <v>0</v>
      </c>
      <c r="X366">
        <v>0</v>
      </c>
      <c r="Y366" t="s">
        <v>38</v>
      </c>
    </row>
    <row r="367" spans="1:25" x14ac:dyDescent="0.35">
      <c r="A367">
        <v>261689</v>
      </c>
      <c r="B367" t="s">
        <v>1601</v>
      </c>
      <c r="C367" t="s">
        <v>480</v>
      </c>
      <c r="D367" t="s">
        <v>481</v>
      </c>
      <c r="F367" t="str">
        <f>"0099465639"</f>
        <v>0099465639</v>
      </c>
      <c r="G367" t="str">
        <f>"9780099465638"</f>
        <v>9780099465638</v>
      </c>
      <c r="H367">
        <v>0</v>
      </c>
      <c r="I367">
        <v>4.17</v>
      </c>
      <c r="J367" t="s">
        <v>611</v>
      </c>
      <c r="K367" t="s">
        <v>29</v>
      </c>
      <c r="L367">
        <v>328</v>
      </c>
      <c r="M367">
        <v>2004</v>
      </c>
      <c r="N367">
        <v>1950</v>
      </c>
      <c r="P367" s="1">
        <v>45579</v>
      </c>
      <c r="Q367" t="s">
        <v>30</v>
      </c>
      <c r="R367" t="s">
        <v>1602</v>
      </c>
      <c r="S367" t="s">
        <v>30</v>
      </c>
      <c r="W367">
        <v>1</v>
      </c>
      <c r="X367">
        <v>0</v>
      </c>
      <c r="Y367" t="s">
        <v>38</v>
      </c>
    </row>
    <row r="368" spans="1:25" x14ac:dyDescent="0.35">
      <c r="A368">
        <v>199798488</v>
      </c>
      <c r="B368" t="s">
        <v>1603</v>
      </c>
      <c r="C368" t="s">
        <v>1604</v>
      </c>
      <c r="D368" t="s">
        <v>1605</v>
      </c>
      <c r="F368" t="str">
        <f>"1668025272"</f>
        <v>1668025272</v>
      </c>
      <c r="G368" t="str">
        <f>"9781668025277"</f>
        <v>9781668025277</v>
      </c>
      <c r="H368">
        <v>0</v>
      </c>
      <c r="I368">
        <v>3.69</v>
      </c>
      <c r="J368" t="s">
        <v>1606</v>
      </c>
      <c r="K368" t="s">
        <v>48</v>
      </c>
      <c r="L368">
        <v>278</v>
      </c>
      <c r="M368">
        <v>2024</v>
      </c>
      <c r="N368">
        <v>2024</v>
      </c>
      <c r="P368" s="1">
        <v>45622</v>
      </c>
      <c r="Q368" t="s">
        <v>30</v>
      </c>
      <c r="R368" t="s">
        <v>1607</v>
      </c>
      <c r="S368" t="s">
        <v>30</v>
      </c>
      <c r="W368">
        <v>0</v>
      </c>
      <c r="X368">
        <v>0</v>
      </c>
      <c r="Y368" t="s">
        <v>173</v>
      </c>
    </row>
    <row r="369" spans="1:25" x14ac:dyDescent="0.35">
      <c r="A369">
        <v>215353471</v>
      </c>
      <c r="B369" t="s">
        <v>1608</v>
      </c>
      <c r="C369" t="s">
        <v>1609</v>
      </c>
      <c r="D369" t="s">
        <v>1610</v>
      </c>
      <c r="F369" t="str">
        <f>""</f>
        <v/>
      </c>
      <c r="G369" t="str">
        <f>""</f>
        <v/>
      </c>
      <c r="H369">
        <v>0</v>
      </c>
      <c r="I369">
        <v>4.3</v>
      </c>
      <c r="J369" t="s">
        <v>1611</v>
      </c>
      <c r="K369" t="s">
        <v>85</v>
      </c>
      <c r="L369">
        <v>278</v>
      </c>
      <c r="M369">
        <v>2024</v>
      </c>
      <c r="N369">
        <v>2024</v>
      </c>
      <c r="P369" s="1">
        <v>45622</v>
      </c>
      <c r="Q369" t="s">
        <v>30</v>
      </c>
      <c r="R369" t="s">
        <v>1612</v>
      </c>
      <c r="S369" t="s">
        <v>30</v>
      </c>
      <c r="W369">
        <v>0</v>
      </c>
      <c r="X369">
        <v>0</v>
      </c>
      <c r="Y369" t="s">
        <v>38</v>
      </c>
    </row>
    <row r="370" spans="1:25" x14ac:dyDescent="0.35">
      <c r="A370">
        <v>42642044</v>
      </c>
      <c r="B370" t="s">
        <v>1613</v>
      </c>
      <c r="C370" t="s">
        <v>1614</v>
      </c>
      <c r="D370" t="s">
        <v>1615</v>
      </c>
      <c r="E370" t="s">
        <v>1616</v>
      </c>
      <c r="F370" t="str">
        <f>"1626727465"</f>
        <v>1626727465</v>
      </c>
      <c r="G370" t="str">
        <f>"9781626727465"</f>
        <v>9781626727465</v>
      </c>
      <c r="H370">
        <v>5</v>
      </c>
      <c r="I370">
        <v>4.41</v>
      </c>
      <c r="J370" t="s">
        <v>1617</v>
      </c>
      <c r="K370" t="s">
        <v>48</v>
      </c>
      <c r="L370">
        <v>42</v>
      </c>
      <c r="M370">
        <v>2019</v>
      </c>
      <c r="N370">
        <v>2019</v>
      </c>
      <c r="P370" s="1">
        <v>45615</v>
      </c>
      <c r="S370" t="s">
        <v>51</v>
      </c>
      <c r="W370">
        <v>1</v>
      </c>
      <c r="X370">
        <v>0</v>
      </c>
      <c r="Y370" t="s">
        <v>38</v>
      </c>
    </row>
    <row r="371" spans="1:25" x14ac:dyDescent="0.35">
      <c r="A371">
        <v>39665297</v>
      </c>
      <c r="B371" t="s">
        <v>1618</v>
      </c>
      <c r="C371" t="s">
        <v>1619</v>
      </c>
      <c r="D371" t="s">
        <v>1620</v>
      </c>
      <c r="E371" t="s">
        <v>1621</v>
      </c>
      <c r="F371" t="str">
        <f>"1681340771"</f>
        <v>1681340771</v>
      </c>
      <c r="G371" t="str">
        <f>"9781681340777"</f>
        <v>9781681340777</v>
      </c>
      <c r="H371">
        <v>4</v>
      </c>
      <c r="I371">
        <v>3.68</v>
      </c>
      <c r="J371" t="s">
        <v>1622</v>
      </c>
      <c r="K371" t="s">
        <v>48</v>
      </c>
      <c r="L371">
        <v>32</v>
      </c>
      <c r="M371">
        <v>2018</v>
      </c>
      <c r="N371">
        <v>2018</v>
      </c>
      <c r="P371" s="1">
        <v>45615</v>
      </c>
      <c r="S371" t="s">
        <v>51</v>
      </c>
      <c r="W371">
        <v>1</v>
      </c>
      <c r="X371">
        <v>0</v>
      </c>
      <c r="Y371" t="s">
        <v>38</v>
      </c>
    </row>
    <row r="372" spans="1:25" x14ac:dyDescent="0.35">
      <c r="A372">
        <v>209351104</v>
      </c>
      <c r="B372" t="s">
        <v>1623</v>
      </c>
      <c r="C372" t="s">
        <v>98</v>
      </c>
      <c r="D372" t="s">
        <v>99</v>
      </c>
      <c r="F372" t="str">
        <f>"0764244205"</f>
        <v>0764244205</v>
      </c>
      <c r="G372" t="str">
        <f>"9780764244209"</f>
        <v>9780764244209</v>
      </c>
      <c r="H372">
        <v>0</v>
      </c>
      <c r="I372">
        <v>4.6399999999999997</v>
      </c>
      <c r="J372" t="s">
        <v>36</v>
      </c>
      <c r="K372" t="s">
        <v>29</v>
      </c>
      <c r="L372">
        <v>384</v>
      </c>
      <c r="M372">
        <v>2024</v>
      </c>
      <c r="N372">
        <v>2024</v>
      </c>
      <c r="P372" s="1">
        <v>45615</v>
      </c>
      <c r="Q372" t="s">
        <v>30</v>
      </c>
      <c r="R372" t="s">
        <v>1624</v>
      </c>
      <c r="S372" t="s">
        <v>30</v>
      </c>
      <c r="W372">
        <v>0</v>
      </c>
      <c r="X372">
        <v>0</v>
      </c>
      <c r="Y372" t="s">
        <v>38</v>
      </c>
    </row>
    <row r="373" spans="1:25" x14ac:dyDescent="0.35">
      <c r="A373">
        <v>61260992</v>
      </c>
      <c r="B373" t="s">
        <v>1625</v>
      </c>
      <c r="C373" t="s">
        <v>572</v>
      </c>
      <c r="D373" t="s">
        <v>573</v>
      </c>
      <c r="F373" t="str">
        <f>"0593545923"</f>
        <v>0593545923</v>
      </c>
      <c r="G373" t="str">
        <f>"9780593545928"</f>
        <v>9780593545928</v>
      </c>
      <c r="H373">
        <v>4</v>
      </c>
      <c r="I373">
        <v>4.1900000000000004</v>
      </c>
      <c r="J373" t="s">
        <v>350</v>
      </c>
      <c r="K373" t="s">
        <v>48</v>
      </c>
      <c r="L373">
        <v>310</v>
      </c>
      <c r="M373">
        <v>2023</v>
      </c>
      <c r="N373">
        <v>2023</v>
      </c>
      <c r="P373" s="1">
        <v>45581</v>
      </c>
      <c r="S373" t="s">
        <v>51</v>
      </c>
      <c r="W373">
        <v>1</v>
      </c>
      <c r="X373">
        <v>0</v>
      </c>
      <c r="Y373" t="s">
        <v>38</v>
      </c>
    </row>
    <row r="374" spans="1:25" x14ac:dyDescent="0.35">
      <c r="A374">
        <v>199909306</v>
      </c>
      <c r="B374" t="s">
        <v>1626</v>
      </c>
      <c r="C374" t="s">
        <v>1627</v>
      </c>
      <c r="D374" t="s">
        <v>1628</v>
      </c>
      <c r="F374" t="str">
        <f>""</f>
        <v/>
      </c>
      <c r="G374" t="str">
        <f>""</f>
        <v/>
      </c>
      <c r="H374">
        <v>0</v>
      </c>
      <c r="I374">
        <v>4.38</v>
      </c>
      <c r="J374" t="s">
        <v>1629</v>
      </c>
      <c r="K374" t="s">
        <v>85</v>
      </c>
      <c r="L374">
        <v>327</v>
      </c>
      <c r="M374">
        <v>2024</v>
      </c>
      <c r="P374" s="1">
        <v>45612</v>
      </c>
      <c r="Q374" t="s">
        <v>30</v>
      </c>
      <c r="R374" t="s">
        <v>1630</v>
      </c>
      <c r="S374" t="s">
        <v>30</v>
      </c>
      <c r="W374">
        <v>0</v>
      </c>
      <c r="X374">
        <v>0</v>
      </c>
      <c r="Y374" t="s">
        <v>38</v>
      </c>
    </row>
    <row r="375" spans="1:25" x14ac:dyDescent="0.35">
      <c r="A375">
        <v>80870466</v>
      </c>
      <c r="B375" t="s">
        <v>1631</v>
      </c>
      <c r="C375" t="s">
        <v>1627</v>
      </c>
      <c r="D375" t="s">
        <v>1628</v>
      </c>
      <c r="F375" t="str">
        <f>""</f>
        <v/>
      </c>
      <c r="G375" t="str">
        <f>""</f>
        <v/>
      </c>
      <c r="H375">
        <v>0</v>
      </c>
      <c r="I375">
        <v>4.4400000000000004</v>
      </c>
      <c r="J375" t="s">
        <v>1629</v>
      </c>
      <c r="K375" t="s">
        <v>85</v>
      </c>
      <c r="L375">
        <v>370</v>
      </c>
      <c r="M375">
        <v>2023</v>
      </c>
      <c r="P375" s="1">
        <v>45612</v>
      </c>
      <c r="Q375" t="s">
        <v>30</v>
      </c>
      <c r="R375" t="s">
        <v>1632</v>
      </c>
      <c r="S375" t="s">
        <v>30</v>
      </c>
      <c r="W375">
        <v>0</v>
      </c>
      <c r="X375">
        <v>0</v>
      </c>
      <c r="Y375" t="s">
        <v>38</v>
      </c>
    </row>
    <row r="376" spans="1:25" x14ac:dyDescent="0.35">
      <c r="A376">
        <v>60206518</v>
      </c>
      <c r="B376" t="s">
        <v>1633</v>
      </c>
      <c r="C376" t="s">
        <v>1627</v>
      </c>
      <c r="D376" t="s">
        <v>1628</v>
      </c>
      <c r="F376" t="str">
        <f>""</f>
        <v/>
      </c>
      <c r="G376" t="str">
        <f>""</f>
        <v/>
      </c>
      <c r="H376">
        <v>0</v>
      </c>
      <c r="I376">
        <v>4.3600000000000003</v>
      </c>
      <c r="J376" t="s">
        <v>1629</v>
      </c>
      <c r="K376" t="s">
        <v>85</v>
      </c>
      <c r="L376">
        <v>360</v>
      </c>
      <c r="M376">
        <v>2022</v>
      </c>
      <c r="P376" s="1">
        <v>45612</v>
      </c>
      <c r="Q376" t="s">
        <v>30</v>
      </c>
      <c r="R376" t="s">
        <v>1634</v>
      </c>
      <c r="S376" t="s">
        <v>30</v>
      </c>
      <c r="W376">
        <v>0</v>
      </c>
      <c r="X376">
        <v>0</v>
      </c>
      <c r="Y376" t="s">
        <v>38</v>
      </c>
    </row>
    <row r="377" spans="1:25" x14ac:dyDescent="0.35">
      <c r="A377">
        <v>57451840</v>
      </c>
      <c r="B377" t="s">
        <v>1635</v>
      </c>
      <c r="C377" t="s">
        <v>1627</v>
      </c>
      <c r="D377" t="s">
        <v>1628</v>
      </c>
      <c r="F377" t="str">
        <f>""</f>
        <v/>
      </c>
      <c r="G377" t="str">
        <f>""</f>
        <v/>
      </c>
      <c r="H377">
        <v>0</v>
      </c>
      <c r="I377">
        <v>4.1900000000000004</v>
      </c>
      <c r="J377" t="s">
        <v>1629</v>
      </c>
      <c r="K377" t="s">
        <v>85</v>
      </c>
      <c r="L377">
        <v>480</v>
      </c>
      <c r="M377">
        <v>2021</v>
      </c>
      <c r="P377" s="1">
        <v>45612</v>
      </c>
      <c r="Q377" t="s">
        <v>30</v>
      </c>
      <c r="R377" t="s">
        <v>1636</v>
      </c>
      <c r="S377" t="s">
        <v>30</v>
      </c>
      <c r="W377">
        <v>0</v>
      </c>
      <c r="X377">
        <v>0</v>
      </c>
      <c r="Y377" t="s">
        <v>38</v>
      </c>
    </row>
    <row r="378" spans="1:25" x14ac:dyDescent="0.35">
      <c r="A378">
        <v>58065804</v>
      </c>
      <c r="B378" t="s">
        <v>1637</v>
      </c>
      <c r="C378" t="s">
        <v>572</v>
      </c>
      <c r="D378" t="s">
        <v>573</v>
      </c>
      <c r="F378" t="str">
        <f>"0593197291"</f>
        <v>0593197291</v>
      </c>
      <c r="G378" t="str">
        <f>"9780593197295"</f>
        <v>9780593197295</v>
      </c>
      <c r="H378">
        <v>4</v>
      </c>
      <c r="I378">
        <v>4.09</v>
      </c>
      <c r="J378" t="s">
        <v>350</v>
      </c>
      <c r="K378" t="s">
        <v>48</v>
      </c>
      <c r="L378">
        <v>325</v>
      </c>
      <c r="M378">
        <v>2022</v>
      </c>
      <c r="N378">
        <v>2022</v>
      </c>
      <c r="P378" s="1">
        <v>45581</v>
      </c>
      <c r="S378" t="s">
        <v>51</v>
      </c>
      <c r="W378">
        <v>1</v>
      </c>
      <c r="X378">
        <v>0</v>
      </c>
      <c r="Y378" t="s">
        <v>38</v>
      </c>
    </row>
    <row r="379" spans="1:25" x14ac:dyDescent="0.35">
      <c r="A379">
        <v>202190353</v>
      </c>
      <c r="B379" t="s">
        <v>1638</v>
      </c>
      <c r="C379" t="s">
        <v>1639</v>
      </c>
      <c r="D379" t="s">
        <v>1640</v>
      </c>
      <c r="F379" t="str">
        <f>""</f>
        <v/>
      </c>
      <c r="G379" t="str">
        <f>""</f>
        <v/>
      </c>
      <c r="H379">
        <v>0</v>
      </c>
      <c r="I379">
        <v>4.8</v>
      </c>
      <c r="J379" t="s">
        <v>1641</v>
      </c>
      <c r="K379" t="s">
        <v>1642</v>
      </c>
      <c r="M379">
        <v>2024</v>
      </c>
      <c r="P379" s="1">
        <v>45605</v>
      </c>
      <c r="Q379" t="s">
        <v>30</v>
      </c>
      <c r="R379" t="s">
        <v>1643</v>
      </c>
      <c r="S379" t="s">
        <v>30</v>
      </c>
      <c r="W379">
        <v>0</v>
      </c>
      <c r="X379">
        <v>0</v>
      </c>
      <c r="Y379" t="s">
        <v>38</v>
      </c>
    </row>
    <row r="380" spans="1:25" x14ac:dyDescent="0.35">
      <c r="A380">
        <v>88830905</v>
      </c>
      <c r="B380" t="s">
        <v>1644</v>
      </c>
      <c r="C380" t="s">
        <v>1645</v>
      </c>
      <c r="D380" t="s">
        <v>1646</v>
      </c>
      <c r="F380" t="str">
        <f>""</f>
        <v/>
      </c>
      <c r="G380" t="str">
        <f>"9798886050585"</f>
        <v>9798886050585</v>
      </c>
      <c r="H380">
        <v>0</v>
      </c>
      <c r="I380">
        <v>4.04</v>
      </c>
      <c r="J380" t="s">
        <v>113</v>
      </c>
      <c r="K380" t="s">
        <v>48</v>
      </c>
      <c r="L380">
        <v>368</v>
      </c>
      <c r="M380">
        <v>2023</v>
      </c>
      <c r="P380" s="1">
        <v>45605</v>
      </c>
      <c r="Q380" t="s">
        <v>30</v>
      </c>
      <c r="R380" t="s">
        <v>1647</v>
      </c>
      <c r="S380" t="s">
        <v>30</v>
      </c>
      <c r="W380">
        <v>0</v>
      </c>
      <c r="X380">
        <v>0</v>
      </c>
      <c r="Y380" t="s">
        <v>38</v>
      </c>
    </row>
    <row r="381" spans="1:25" x14ac:dyDescent="0.35">
      <c r="A381">
        <v>178836173</v>
      </c>
      <c r="B381" t="s">
        <v>1648</v>
      </c>
      <c r="C381" t="s">
        <v>1649</v>
      </c>
      <c r="D381" t="s">
        <v>1650</v>
      </c>
      <c r="F381" t="str">
        <f>"1496479661"</f>
        <v>1496479661</v>
      </c>
      <c r="G381" t="str">
        <f>"9781496479662"</f>
        <v>9781496479662</v>
      </c>
      <c r="H381">
        <v>0</v>
      </c>
      <c r="I381">
        <v>4.5199999999999996</v>
      </c>
      <c r="J381" t="s">
        <v>626</v>
      </c>
      <c r="K381" t="s">
        <v>48</v>
      </c>
      <c r="L381">
        <v>400</v>
      </c>
      <c r="M381">
        <v>2024</v>
      </c>
      <c r="N381">
        <v>2024</v>
      </c>
      <c r="P381" s="1">
        <v>45605</v>
      </c>
      <c r="Q381" t="s">
        <v>30</v>
      </c>
      <c r="R381" t="s">
        <v>1651</v>
      </c>
      <c r="S381" t="s">
        <v>30</v>
      </c>
      <c r="W381">
        <v>0</v>
      </c>
      <c r="X381">
        <v>0</v>
      </c>
      <c r="Y381" t="s">
        <v>38</v>
      </c>
    </row>
    <row r="382" spans="1:25" x14ac:dyDescent="0.35">
      <c r="A382">
        <v>63318699</v>
      </c>
      <c r="B382" t="s">
        <v>1652</v>
      </c>
      <c r="C382" t="s">
        <v>1653</v>
      </c>
      <c r="D382" t="s">
        <v>1654</v>
      </c>
      <c r="F382" t="str">
        <f>"1649172796"</f>
        <v>1649172796</v>
      </c>
      <c r="G382" t="str">
        <f>"9781649172792"</f>
        <v>9781649172792</v>
      </c>
      <c r="H382">
        <v>0</v>
      </c>
      <c r="I382">
        <v>4.46</v>
      </c>
      <c r="J382" t="s">
        <v>1655</v>
      </c>
      <c r="K382" t="s">
        <v>85</v>
      </c>
      <c r="L382">
        <v>300</v>
      </c>
      <c r="M382">
        <v>2023</v>
      </c>
      <c r="P382" s="1">
        <v>45605</v>
      </c>
      <c r="Q382" t="s">
        <v>30</v>
      </c>
      <c r="R382" t="s">
        <v>1656</v>
      </c>
      <c r="S382" t="s">
        <v>30</v>
      </c>
      <c r="W382">
        <v>0</v>
      </c>
      <c r="X382">
        <v>0</v>
      </c>
      <c r="Y382" t="s">
        <v>38</v>
      </c>
    </row>
    <row r="383" spans="1:25" x14ac:dyDescent="0.35">
      <c r="A383">
        <v>53965865</v>
      </c>
      <c r="B383" t="s">
        <v>1657</v>
      </c>
      <c r="C383" t="s">
        <v>572</v>
      </c>
      <c r="D383" t="s">
        <v>573</v>
      </c>
      <c r="F383" t="str">
        <f>"0593197267"</f>
        <v>0593197267</v>
      </c>
      <c r="G383" t="str">
        <f>"9780593197264"</f>
        <v>9780593197264</v>
      </c>
      <c r="H383">
        <v>0</v>
      </c>
      <c r="I383">
        <v>4.04</v>
      </c>
      <c r="J383" t="s">
        <v>350</v>
      </c>
      <c r="K383" t="s">
        <v>48</v>
      </c>
      <c r="L383">
        <v>340</v>
      </c>
      <c r="M383">
        <v>2021</v>
      </c>
      <c r="N383">
        <v>2021</v>
      </c>
      <c r="P383" s="1">
        <v>45581</v>
      </c>
      <c r="S383" t="s">
        <v>51</v>
      </c>
      <c r="W383">
        <v>1</v>
      </c>
      <c r="X383">
        <v>0</v>
      </c>
      <c r="Y383" t="s">
        <v>38</v>
      </c>
    </row>
    <row r="384" spans="1:25" x14ac:dyDescent="0.35">
      <c r="A384">
        <v>60447474</v>
      </c>
      <c r="B384" t="s">
        <v>1658</v>
      </c>
      <c r="C384" t="s">
        <v>1659</v>
      </c>
      <c r="D384" t="s">
        <v>1660</v>
      </c>
      <c r="F384" t="str">
        <f>"0802429130"</f>
        <v>0802429130</v>
      </c>
      <c r="G384" t="str">
        <f>"9780802429131"</f>
        <v>9780802429131</v>
      </c>
      <c r="H384">
        <v>0</v>
      </c>
      <c r="I384">
        <v>4.17</v>
      </c>
      <c r="J384" t="s">
        <v>1661</v>
      </c>
      <c r="K384" t="s">
        <v>29</v>
      </c>
      <c r="L384">
        <v>288</v>
      </c>
      <c r="M384">
        <v>2022</v>
      </c>
      <c r="N384">
        <v>1996</v>
      </c>
      <c r="P384" s="1">
        <v>45509</v>
      </c>
      <c r="Q384" t="s">
        <v>30</v>
      </c>
      <c r="R384" t="s">
        <v>1662</v>
      </c>
      <c r="S384" t="s">
        <v>30</v>
      </c>
      <c r="W384">
        <v>0</v>
      </c>
      <c r="X384">
        <v>0</v>
      </c>
      <c r="Y384" t="s">
        <v>38</v>
      </c>
    </row>
    <row r="385" spans="1:25" x14ac:dyDescent="0.35">
      <c r="A385">
        <v>61150759</v>
      </c>
      <c r="B385" t="s">
        <v>1663</v>
      </c>
      <c r="C385" t="s">
        <v>1664</v>
      </c>
      <c r="D385" t="s">
        <v>1665</v>
      </c>
      <c r="F385" t="str">
        <f>""</f>
        <v/>
      </c>
      <c r="G385" t="str">
        <f>""</f>
        <v/>
      </c>
      <c r="H385">
        <v>0</v>
      </c>
      <c r="I385">
        <v>3.7</v>
      </c>
      <c r="J385" t="s">
        <v>1666</v>
      </c>
      <c r="K385" t="s">
        <v>48</v>
      </c>
      <c r="L385">
        <v>289</v>
      </c>
      <c r="M385">
        <v>2023</v>
      </c>
      <c r="N385">
        <v>2023</v>
      </c>
      <c r="P385" s="1">
        <v>45599</v>
      </c>
      <c r="Q385" t="s">
        <v>30</v>
      </c>
      <c r="R385" t="s">
        <v>1667</v>
      </c>
      <c r="S385" t="s">
        <v>30</v>
      </c>
      <c r="W385">
        <v>0</v>
      </c>
      <c r="X385">
        <v>0</v>
      </c>
      <c r="Y385" t="s">
        <v>38</v>
      </c>
    </row>
    <row r="386" spans="1:25" x14ac:dyDescent="0.35">
      <c r="A386">
        <v>60657589</v>
      </c>
      <c r="B386" t="s">
        <v>1668</v>
      </c>
      <c r="C386" t="s">
        <v>1427</v>
      </c>
      <c r="D386" t="s">
        <v>1428</v>
      </c>
      <c r="F386" t="str">
        <f>"059350013X"</f>
        <v>059350013X</v>
      </c>
      <c r="G386" t="str">
        <f>"9780593500132"</f>
        <v>9780593500132</v>
      </c>
      <c r="H386">
        <v>0</v>
      </c>
      <c r="I386">
        <v>4</v>
      </c>
      <c r="J386" t="s">
        <v>674</v>
      </c>
      <c r="K386" t="s">
        <v>48</v>
      </c>
      <c r="L386">
        <v>317</v>
      </c>
      <c r="M386">
        <v>2023</v>
      </c>
      <c r="N386">
        <v>2023</v>
      </c>
      <c r="P386" s="1">
        <v>45599</v>
      </c>
      <c r="Q386" t="s">
        <v>30</v>
      </c>
      <c r="R386" t="s">
        <v>1669</v>
      </c>
      <c r="S386" t="s">
        <v>30</v>
      </c>
      <c r="W386">
        <v>0</v>
      </c>
      <c r="X386">
        <v>0</v>
      </c>
      <c r="Y386" t="s">
        <v>38</v>
      </c>
    </row>
    <row r="387" spans="1:25" x14ac:dyDescent="0.35">
      <c r="A387">
        <v>62060274</v>
      </c>
      <c r="B387" t="s">
        <v>1670</v>
      </c>
      <c r="C387" t="s">
        <v>1671</v>
      </c>
      <c r="D387" t="s">
        <v>1672</v>
      </c>
      <c r="F387" t="str">
        <f>"1542038154"</f>
        <v>1542038154</v>
      </c>
      <c r="G387" t="str">
        <f>"9781542038157"</f>
        <v>9781542038157</v>
      </c>
      <c r="H387">
        <v>0</v>
      </c>
      <c r="I387">
        <v>4.2699999999999996</v>
      </c>
      <c r="J387" t="s">
        <v>1673</v>
      </c>
      <c r="K387" t="s">
        <v>85</v>
      </c>
      <c r="L387">
        <v>431</v>
      </c>
      <c r="M387">
        <v>2023</v>
      </c>
      <c r="N387">
        <v>2023</v>
      </c>
      <c r="P387" s="1">
        <v>45599</v>
      </c>
      <c r="Q387" t="s">
        <v>30</v>
      </c>
      <c r="R387" t="s">
        <v>1674</v>
      </c>
      <c r="S387" t="s">
        <v>30</v>
      </c>
      <c r="W387">
        <v>0</v>
      </c>
      <c r="X387">
        <v>0</v>
      </c>
      <c r="Y387" t="s">
        <v>38</v>
      </c>
    </row>
    <row r="388" spans="1:25" x14ac:dyDescent="0.35">
      <c r="A388">
        <v>62054146</v>
      </c>
      <c r="B388" t="s">
        <v>1675</v>
      </c>
      <c r="C388" t="s">
        <v>1676</v>
      </c>
      <c r="D388" t="s">
        <v>1677</v>
      </c>
      <c r="F388" t="str">
        <f>"1335455027"</f>
        <v>1335455027</v>
      </c>
      <c r="G388" t="str">
        <f>"9781335455024"</f>
        <v>9781335455024</v>
      </c>
      <c r="H388">
        <v>0</v>
      </c>
      <c r="I388">
        <v>4.12</v>
      </c>
      <c r="J388" t="s">
        <v>1678</v>
      </c>
      <c r="K388" t="s">
        <v>29</v>
      </c>
      <c r="L388">
        <v>416</v>
      </c>
      <c r="M388">
        <v>2023</v>
      </c>
      <c r="N388">
        <v>2023</v>
      </c>
      <c r="P388" s="1">
        <v>45599</v>
      </c>
      <c r="Q388" t="s">
        <v>30</v>
      </c>
      <c r="R388" t="s">
        <v>1679</v>
      </c>
      <c r="S388" t="s">
        <v>30</v>
      </c>
      <c r="W388">
        <v>0</v>
      </c>
      <c r="X388">
        <v>0</v>
      </c>
      <c r="Y388" t="s">
        <v>38</v>
      </c>
    </row>
    <row r="389" spans="1:25" x14ac:dyDescent="0.35">
      <c r="A389">
        <v>30518319</v>
      </c>
      <c r="B389" t="s">
        <v>1680</v>
      </c>
      <c r="C389" t="s">
        <v>572</v>
      </c>
      <c r="D389" t="s">
        <v>573</v>
      </c>
      <c r="F389" t="str">
        <f>""</f>
        <v/>
      </c>
      <c r="G389" t="str">
        <f>"9780451490735"</f>
        <v>9780451490735</v>
      </c>
      <c r="H389">
        <v>0</v>
      </c>
      <c r="I389">
        <v>4.28</v>
      </c>
      <c r="J389" t="s">
        <v>350</v>
      </c>
      <c r="K389" t="s">
        <v>375</v>
      </c>
      <c r="L389">
        <v>336</v>
      </c>
      <c r="M389">
        <v>2019</v>
      </c>
      <c r="N389">
        <v>2019</v>
      </c>
      <c r="P389" s="1">
        <v>45581</v>
      </c>
      <c r="S389" t="s">
        <v>51</v>
      </c>
      <c r="W389">
        <v>1</v>
      </c>
      <c r="X389">
        <v>0</v>
      </c>
      <c r="Y389" t="s">
        <v>38</v>
      </c>
    </row>
    <row r="390" spans="1:25" x14ac:dyDescent="0.35">
      <c r="A390">
        <v>211181315</v>
      </c>
      <c r="B390" t="s">
        <v>1681</v>
      </c>
      <c r="C390" t="s">
        <v>1682</v>
      </c>
      <c r="D390" t="s">
        <v>1683</v>
      </c>
      <c r="F390" t="str">
        <f>"082544795X"</f>
        <v>082544795X</v>
      </c>
      <c r="G390" t="str">
        <f>"9780825447952"</f>
        <v>9780825447952</v>
      </c>
      <c r="H390">
        <v>0</v>
      </c>
      <c r="I390">
        <v>4.5999999999999996</v>
      </c>
      <c r="J390" t="s">
        <v>382</v>
      </c>
      <c r="K390" t="s">
        <v>29</v>
      </c>
      <c r="L390">
        <v>272</v>
      </c>
      <c r="M390">
        <v>2024</v>
      </c>
      <c r="P390" s="1">
        <v>45599</v>
      </c>
      <c r="Q390" t="s">
        <v>30</v>
      </c>
      <c r="R390" t="s">
        <v>1684</v>
      </c>
      <c r="S390" t="s">
        <v>30</v>
      </c>
      <c r="W390">
        <v>0</v>
      </c>
      <c r="X390">
        <v>0</v>
      </c>
      <c r="Y390" t="s">
        <v>38</v>
      </c>
    </row>
    <row r="391" spans="1:25" x14ac:dyDescent="0.35">
      <c r="A391">
        <v>52248533</v>
      </c>
      <c r="B391" t="s">
        <v>1685</v>
      </c>
      <c r="C391" t="s">
        <v>1686</v>
      </c>
      <c r="D391" t="s">
        <v>1687</v>
      </c>
      <c r="F391" t="str">
        <f>""</f>
        <v/>
      </c>
      <c r="G391" t="str">
        <f>""</f>
        <v/>
      </c>
      <c r="H391">
        <v>3</v>
      </c>
      <c r="I391">
        <v>4.12</v>
      </c>
      <c r="K391" t="s">
        <v>85</v>
      </c>
      <c r="L391">
        <v>228</v>
      </c>
      <c r="M391">
        <v>2019</v>
      </c>
      <c r="N391">
        <v>2018</v>
      </c>
      <c r="P391" s="1">
        <v>45590</v>
      </c>
      <c r="S391" t="s">
        <v>51</v>
      </c>
      <c r="W391">
        <v>1</v>
      </c>
      <c r="X391">
        <v>0</v>
      </c>
      <c r="Y391" t="s">
        <v>38</v>
      </c>
    </row>
    <row r="392" spans="1:25" x14ac:dyDescent="0.35">
      <c r="A392">
        <v>196726166</v>
      </c>
      <c r="B392" t="s">
        <v>1688</v>
      </c>
      <c r="C392" t="s">
        <v>1689</v>
      </c>
      <c r="D392" t="s">
        <v>1690</v>
      </c>
      <c r="F392" t="str">
        <f>"0316568864"</f>
        <v>0316568864</v>
      </c>
      <c r="G392" t="str">
        <f>"9780316568869"</f>
        <v>9780316568869</v>
      </c>
      <c r="H392">
        <v>0</v>
      </c>
      <c r="I392">
        <v>3.58</v>
      </c>
      <c r="J392" t="s">
        <v>1691</v>
      </c>
      <c r="K392" t="s">
        <v>29</v>
      </c>
      <c r="L392">
        <v>368</v>
      </c>
      <c r="M392">
        <v>2024</v>
      </c>
      <c r="N392">
        <v>2024</v>
      </c>
      <c r="P392" s="1">
        <v>45584</v>
      </c>
      <c r="Q392" t="s">
        <v>30</v>
      </c>
      <c r="R392" t="s">
        <v>1692</v>
      </c>
      <c r="S392" t="s">
        <v>30</v>
      </c>
      <c r="W392">
        <v>0</v>
      </c>
      <c r="X392">
        <v>0</v>
      </c>
      <c r="Y392" t="s">
        <v>173</v>
      </c>
    </row>
    <row r="393" spans="1:25" x14ac:dyDescent="0.35">
      <c r="A393">
        <v>44092370</v>
      </c>
      <c r="B393" t="s">
        <v>1693</v>
      </c>
      <c r="C393" t="s">
        <v>153</v>
      </c>
      <c r="D393" t="s">
        <v>154</v>
      </c>
      <c r="F393" t="str">
        <f>"1535949023"</f>
        <v>1535949023</v>
      </c>
      <c r="G393" t="str">
        <f>"9781535949026"</f>
        <v>9781535949026</v>
      </c>
      <c r="H393">
        <v>0</v>
      </c>
      <c r="I393">
        <v>4.5</v>
      </c>
      <c r="J393" t="s">
        <v>1694</v>
      </c>
      <c r="K393" t="s">
        <v>29</v>
      </c>
      <c r="L393">
        <v>224</v>
      </c>
      <c r="M393">
        <v>2019</v>
      </c>
      <c r="N393">
        <v>2019</v>
      </c>
      <c r="P393" s="1">
        <v>45584</v>
      </c>
      <c r="Q393" t="s">
        <v>30</v>
      </c>
      <c r="R393" t="s">
        <v>1695</v>
      </c>
      <c r="S393" t="s">
        <v>30</v>
      </c>
      <c r="W393">
        <v>0</v>
      </c>
      <c r="X393">
        <v>0</v>
      </c>
      <c r="Y393" t="s">
        <v>542</v>
      </c>
    </row>
    <row r="394" spans="1:25" x14ac:dyDescent="0.35">
      <c r="A394">
        <v>47941</v>
      </c>
      <c r="B394" t="s">
        <v>1696</v>
      </c>
      <c r="C394" t="s">
        <v>1697</v>
      </c>
      <c r="D394" t="s">
        <v>1698</v>
      </c>
      <c r="F394" t="str">
        <f>"1578563933"</f>
        <v>1578563933</v>
      </c>
      <c r="G394" t="str">
        <f>"9781578563937"</f>
        <v>9781578563937</v>
      </c>
      <c r="H394">
        <v>3</v>
      </c>
      <c r="I394">
        <v>3.97</v>
      </c>
      <c r="J394" t="s">
        <v>1699</v>
      </c>
      <c r="K394" t="s">
        <v>48</v>
      </c>
      <c r="L394">
        <v>256</v>
      </c>
      <c r="M394">
        <v>2000</v>
      </c>
      <c r="N394">
        <v>2000</v>
      </c>
      <c r="O394" s="1">
        <v>45307</v>
      </c>
      <c r="P394" s="1">
        <v>45319</v>
      </c>
      <c r="S394" t="s">
        <v>51</v>
      </c>
      <c r="W394">
        <v>1</v>
      </c>
      <c r="X394">
        <v>0</v>
      </c>
      <c r="Y394" t="s">
        <v>122</v>
      </c>
    </row>
    <row r="395" spans="1:25" x14ac:dyDescent="0.35">
      <c r="A395">
        <v>18404888</v>
      </c>
      <c r="B395" t="s">
        <v>1700</v>
      </c>
      <c r="C395" t="s">
        <v>247</v>
      </c>
      <c r="D395" t="s">
        <v>248</v>
      </c>
      <c r="F395" t="str">
        <f>"1476764743"</f>
        <v>1476764743</v>
      </c>
      <c r="G395" t="str">
        <f>"9781476764740"</f>
        <v>9781476764740</v>
      </c>
      <c r="H395">
        <v>0</v>
      </c>
      <c r="I395">
        <v>4.09</v>
      </c>
      <c r="J395" t="s">
        <v>249</v>
      </c>
      <c r="K395" t="s">
        <v>48</v>
      </c>
      <c r="L395">
        <v>290</v>
      </c>
      <c r="M395">
        <v>2013</v>
      </c>
      <c r="N395">
        <v>2013</v>
      </c>
      <c r="P395" s="1">
        <v>45583</v>
      </c>
      <c r="Q395" t="s">
        <v>30</v>
      </c>
      <c r="R395" t="s">
        <v>1701</v>
      </c>
      <c r="S395" t="s">
        <v>30</v>
      </c>
      <c r="W395">
        <v>0</v>
      </c>
      <c r="X395">
        <v>0</v>
      </c>
      <c r="Y395" t="s">
        <v>38</v>
      </c>
    </row>
    <row r="396" spans="1:25" x14ac:dyDescent="0.35">
      <c r="A396">
        <v>6478256</v>
      </c>
      <c r="B396" t="s">
        <v>1702</v>
      </c>
      <c r="C396" t="s">
        <v>247</v>
      </c>
      <c r="D396" t="s">
        <v>248</v>
      </c>
      <c r="F396" t="str">
        <f>"1439168571"</f>
        <v>1439168571</v>
      </c>
      <c r="G396" t="str">
        <f>"9781439168578"</f>
        <v>9781439168578</v>
      </c>
      <c r="H396">
        <v>0</v>
      </c>
      <c r="I396">
        <v>3.8</v>
      </c>
      <c r="J396" t="s">
        <v>249</v>
      </c>
      <c r="K396" t="s">
        <v>29</v>
      </c>
      <c r="L396">
        <v>174</v>
      </c>
      <c r="M396">
        <v>2009</v>
      </c>
      <c r="N396">
        <v>2009</v>
      </c>
      <c r="P396" s="1">
        <v>45583</v>
      </c>
      <c r="Q396" t="s">
        <v>30</v>
      </c>
      <c r="R396" t="s">
        <v>1703</v>
      </c>
      <c r="S396" t="s">
        <v>30</v>
      </c>
      <c r="W396">
        <v>0</v>
      </c>
      <c r="X396">
        <v>0</v>
      </c>
      <c r="Y396" t="s">
        <v>38</v>
      </c>
    </row>
    <row r="397" spans="1:25" x14ac:dyDescent="0.35">
      <c r="A397">
        <v>6949478</v>
      </c>
      <c r="B397" t="s">
        <v>1704</v>
      </c>
      <c r="C397" t="s">
        <v>247</v>
      </c>
      <c r="D397" t="s">
        <v>248</v>
      </c>
      <c r="E397" t="s">
        <v>1705</v>
      </c>
      <c r="F397" t="str">
        <f>"144230524X"</f>
        <v>144230524X</v>
      </c>
      <c r="G397" t="str">
        <f>"9781442305243"</f>
        <v>9781442305243</v>
      </c>
      <c r="H397">
        <v>0</v>
      </c>
      <c r="I397">
        <v>3.56</v>
      </c>
      <c r="J397" t="s">
        <v>1706</v>
      </c>
      <c r="K397" t="s">
        <v>1707</v>
      </c>
      <c r="L397">
        <v>9</v>
      </c>
      <c r="M397">
        <v>2010</v>
      </c>
      <c r="N397">
        <v>2010</v>
      </c>
      <c r="P397" s="1">
        <v>45583</v>
      </c>
      <c r="Q397" t="s">
        <v>30</v>
      </c>
      <c r="R397" t="s">
        <v>1708</v>
      </c>
      <c r="S397" t="s">
        <v>30</v>
      </c>
      <c r="W397">
        <v>0</v>
      </c>
      <c r="X397">
        <v>0</v>
      </c>
      <c r="Y397" t="s">
        <v>38</v>
      </c>
    </row>
    <row r="398" spans="1:25" x14ac:dyDescent="0.35">
      <c r="A398">
        <v>6475299</v>
      </c>
      <c r="B398" t="s">
        <v>1709</v>
      </c>
      <c r="C398" t="s">
        <v>247</v>
      </c>
      <c r="D398" t="s">
        <v>248</v>
      </c>
      <c r="E398" t="s">
        <v>1710</v>
      </c>
      <c r="F398" t="str">
        <f>"1416595015"</f>
        <v>1416595015</v>
      </c>
      <c r="G398" t="str">
        <f>"9781416595014"</f>
        <v>9781416595014</v>
      </c>
      <c r="H398">
        <v>0</v>
      </c>
      <c r="I398">
        <v>3.86</v>
      </c>
      <c r="J398" t="s">
        <v>249</v>
      </c>
      <c r="K398" t="s">
        <v>48</v>
      </c>
      <c r="L398">
        <v>325</v>
      </c>
      <c r="M398">
        <v>2009</v>
      </c>
      <c r="N398">
        <v>2009</v>
      </c>
      <c r="P398" s="1">
        <v>45583</v>
      </c>
      <c r="Q398" t="s">
        <v>30</v>
      </c>
      <c r="R398" t="s">
        <v>1711</v>
      </c>
      <c r="S398" t="s">
        <v>30</v>
      </c>
      <c r="W398">
        <v>0</v>
      </c>
      <c r="X398">
        <v>0</v>
      </c>
      <c r="Y398" t="s">
        <v>444</v>
      </c>
    </row>
    <row r="399" spans="1:25" x14ac:dyDescent="0.35">
      <c r="A399">
        <v>38194873</v>
      </c>
      <c r="B399" t="s">
        <v>1712</v>
      </c>
      <c r="C399" t="s">
        <v>1713</v>
      </c>
      <c r="D399" t="s">
        <v>1714</v>
      </c>
      <c r="F399" t="str">
        <f>"1522300759"</f>
        <v>1522300759</v>
      </c>
      <c r="G399" t="str">
        <f>"9781522300755"</f>
        <v>9781522300755</v>
      </c>
      <c r="H399">
        <v>0</v>
      </c>
      <c r="I399">
        <v>4.4000000000000004</v>
      </c>
      <c r="J399" t="s">
        <v>1715</v>
      </c>
      <c r="K399" t="s">
        <v>85</v>
      </c>
      <c r="L399">
        <v>220</v>
      </c>
      <c r="M399">
        <v>2018</v>
      </c>
      <c r="N399">
        <v>2018</v>
      </c>
      <c r="P399" s="1">
        <v>45583</v>
      </c>
      <c r="Q399" t="s">
        <v>30</v>
      </c>
      <c r="R399" t="s">
        <v>1716</v>
      </c>
      <c r="S399" t="s">
        <v>30</v>
      </c>
      <c r="W399">
        <v>0</v>
      </c>
      <c r="X399">
        <v>0</v>
      </c>
      <c r="Y399" t="s">
        <v>38</v>
      </c>
    </row>
    <row r="400" spans="1:25" x14ac:dyDescent="0.35">
      <c r="A400">
        <v>43521657</v>
      </c>
      <c r="B400" t="s">
        <v>1717</v>
      </c>
      <c r="C400" t="s">
        <v>1718</v>
      </c>
      <c r="D400" t="s">
        <v>1719</v>
      </c>
      <c r="F400" t="str">
        <f>"0316421995"</f>
        <v>0316421995</v>
      </c>
      <c r="G400" t="str">
        <f>"9780316421997"</f>
        <v>9780316421997</v>
      </c>
      <c r="H400">
        <v>0</v>
      </c>
      <c r="I400">
        <v>4.0199999999999996</v>
      </c>
      <c r="J400" t="s">
        <v>1691</v>
      </c>
      <c r="K400" t="s">
        <v>48</v>
      </c>
      <c r="L400">
        <v>374</v>
      </c>
      <c r="M400">
        <v>2019</v>
      </c>
      <c r="N400">
        <v>2019</v>
      </c>
      <c r="P400" s="1">
        <v>45582</v>
      </c>
      <c r="Q400" t="s">
        <v>30</v>
      </c>
      <c r="R400" t="s">
        <v>1720</v>
      </c>
      <c r="S400" t="s">
        <v>30</v>
      </c>
      <c r="W400">
        <v>0</v>
      </c>
      <c r="X400">
        <v>0</v>
      </c>
      <c r="Y400" t="s">
        <v>38</v>
      </c>
    </row>
    <row r="401" spans="1:25" x14ac:dyDescent="0.35">
      <c r="A401">
        <v>177188708</v>
      </c>
      <c r="B401" t="s">
        <v>1721</v>
      </c>
      <c r="C401" t="s">
        <v>572</v>
      </c>
      <c r="D401" t="s">
        <v>573</v>
      </c>
      <c r="F401" t="str">
        <f>"0593545958"</f>
        <v>0593545958</v>
      </c>
      <c r="G401" t="str">
        <f>"9780593545959"</f>
        <v>9780593545959</v>
      </c>
      <c r="H401">
        <v>0</v>
      </c>
      <c r="I401">
        <v>4.17</v>
      </c>
      <c r="J401" t="s">
        <v>350</v>
      </c>
      <c r="K401" t="s">
        <v>48</v>
      </c>
      <c r="L401">
        <v>326</v>
      </c>
      <c r="M401">
        <v>2024</v>
      </c>
      <c r="N401">
        <v>2024</v>
      </c>
      <c r="P401" s="1">
        <v>45581</v>
      </c>
      <c r="Q401" t="s">
        <v>30</v>
      </c>
      <c r="R401" t="s">
        <v>1722</v>
      </c>
      <c r="S401" t="s">
        <v>30</v>
      </c>
      <c r="W401">
        <v>0</v>
      </c>
      <c r="X401">
        <v>0</v>
      </c>
      <c r="Y401" t="s">
        <v>38</v>
      </c>
    </row>
    <row r="402" spans="1:25" x14ac:dyDescent="0.35">
      <c r="A402">
        <v>58719143</v>
      </c>
      <c r="B402" t="s">
        <v>1723</v>
      </c>
      <c r="C402" t="s">
        <v>1724</v>
      </c>
      <c r="D402" t="s">
        <v>1725</v>
      </c>
      <c r="F402" t="str">
        <f>"1338654586"</f>
        <v>1338654586</v>
      </c>
      <c r="G402" t="str">
        <f>"9781338654585"</f>
        <v>9781338654585</v>
      </c>
      <c r="H402">
        <v>0</v>
      </c>
      <c r="I402">
        <v>4.34</v>
      </c>
      <c r="J402" t="s">
        <v>356</v>
      </c>
      <c r="K402" t="s">
        <v>48</v>
      </c>
      <c r="L402">
        <v>368</v>
      </c>
      <c r="M402">
        <v>2022</v>
      </c>
      <c r="N402">
        <v>2022</v>
      </c>
      <c r="P402" s="1">
        <v>45580</v>
      </c>
      <c r="Q402" t="s">
        <v>30</v>
      </c>
      <c r="R402" t="s">
        <v>1726</v>
      </c>
      <c r="S402" t="s">
        <v>30</v>
      </c>
      <c r="W402">
        <v>0</v>
      </c>
      <c r="X402">
        <v>0</v>
      </c>
      <c r="Y402" t="s">
        <v>38</v>
      </c>
    </row>
    <row r="403" spans="1:25" x14ac:dyDescent="0.35">
      <c r="A403">
        <v>216052869</v>
      </c>
      <c r="B403" t="s">
        <v>1727</v>
      </c>
      <c r="C403" t="s">
        <v>856</v>
      </c>
      <c r="D403" t="s">
        <v>857</v>
      </c>
      <c r="F403" t="str">
        <f>"0840716745"</f>
        <v>0840716745</v>
      </c>
      <c r="G403" t="str">
        <f>"9780840716743"</f>
        <v>9780840716743</v>
      </c>
      <c r="H403">
        <v>0</v>
      </c>
      <c r="I403">
        <v>4.16</v>
      </c>
      <c r="J403" t="s">
        <v>1175</v>
      </c>
      <c r="K403" t="s">
        <v>29</v>
      </c>
      <c r="L403">
        <v>384</v>
      </c>
      <c r="M403">
        <v>2025</v>
      </c>
      <c r="N403">
        <v>2025</v>
      </c>
      <c r="P403" s="1">
        <v>45579</v>
      </c>
      <c r="Q403" t="s">
        <v>30</v>
      </c>
      <c r="R403" t="s">
        <v>1728</v>
      </c>
      <c r="S403" t="s">
        <v>30</v>
      </c>
      <c r="W403">
        <v>0</v>
      </c>
      <c r="X403">
        <v>0</v>
      </c>
      <c r="Y403" t="s">
        <v>38</v>
      </c>
    </row>
    <row r="404" spans="1:25" x14ac:dyDescent="0.35">
      <c r="A404">
        <v>17303</v>
      </c>
      <c r="B404" t="s">
        <v>1729</v>
      </c>
      <c r="C404" t="s">
        <v>1730</v>
      </c>
      <c r="D404" t="s">
        <v>1731</v>
      </c>
      <c r="E404" t="s">
        <v>1732</v>
      </c>
      <c r="F404" t="str">
        <f>"1581345275"</f>
        <v>1581345275</v>
      </c>
      <c r="G404" t="str">
        <f>"9781581345278"</f>
        <v>9781581345278</v>
      </c>
      <c r="H404">
        <v>0</v>
      </c>
      <c r="I404">
        <v>4.33</v>
      </c>
      <c r="J404" t="s">
        <v>1499</v>
      </c>
      <c r="K404" t="s">
        <v>29</v>
      </c>
      <c r="L404">
        <v>448</v>
      </c>
      <c r="M404">
        <v>2003</v>
      </c>
      <c r="N404">
        <v>1989</v>
      </c>
      <c r="P404" s="1">
        <v>45579</v>
      </c>
      <c r="Q404" t="s">
        <v>30</v>
      </c>
      <c r="R404" t="s">
        <v>1733</v>
      </c>
      <c r="S404" t="s">
        <v>30</v>
      </c>
      <c r="W404">
        <v>0</v>
      </c>
      <c r="X404">
        <v>0</v>
      </c>
      <c r="Y404" t="s">
        <v>38</v>
      </c>
    </row>
    <row r="405" spans="1:25" x14ac:dyDescent="0.35">
      <c r="A405">
        <v>17309</v>
      </c>
      <c r="B405" t="s">
        <v>1734</v>
      </c>
      <c r="C405" t="s">
        <v>1730</v>
      </c>
      <c r="D405" t="s">
        <v>1731</v>
      </c>
      <c r="F405" t="str">
        <f>"1581345283"</f>
        <v>1581345283</v>
      </c>
      <c r="G405" t="str">
        <f>"9781581345285"</f>
        <v>9781581345285</v>
      </c>
      <c r="H405">
        <v>0</v>
      </c>
      <c r="I405">
        <v>4.24</v>
      </c>
      <c r="J405" t="s">
        <v>1499</v>
      </c>
      <c r="K405" t="s">
        <v>29</v>
      </c>
      <c r="L405">
        <v>376</v>
      </c>
      <c r="M405">
        <v>2003</v>
      </c>
      <c r="N405">
        <v>1986</v>
      </c>
      <c r="P405" s="1">
        <v>45579</v>
      </c>
      <c r="Q405" t="s">
        <v>30</v>
      </c>
      <c r="R405" t="s">
        <v>1735</v>
      </c>
      <c r="S405" t="s">
        <v>30</v>
      </c>
      <c r="W405">
        <v>0</v>
      </c>
      <c r="X405">
        <v>0</v>
      </c>
      <c r="Y405" t="s">
        <v>38</v>
      </c>
    </row>
    <row r="406" spans="1:25" x14ac:dyDescent="0.35">
      <c r="A406">
        <v>352270</v>
      </c>
      <c r="B406" t="s">
        <v>1736</v>
      </c>
      <c r="C406" t="s">
        <v>1737</v>
      </c>
      <c r="D406" t="s">
        <v>1738</v>
      </c>
      <c r="F406" t="str">
        <f>"0899571700"</f>
        <v>0899571700</v>
      </c>
      <c r="G406" t="str">
        <f>"9780899571706"</f>
        <v>9780899571706</v>
      </c>
      <c r="H406">
        <v>0</v>
      </c>
      <c r="I406">
        <v>3.89</v>
      </c>
      <c r="J406" t="s">
        <v>1739</v>
      </c>
      <c r="K406" t="s">
        <v>29</v>
      </c>
      <c r="L406">
        <v>399</v>
      </c>
      <c r="M406">
        <v>2004</v>
      </c>
      <c r="N406">
        <v>2004</v>
      </c>
      <c r="P406" s="1">
        <v>45579</v>
      </c>
      <c r="Q406" t="s">
        <v>30</v>
      </c>
      <c r="R406" t="s">
        <v>1740</v>
      </c>
      <c r="S406" t="s">
        <v>30</v>
      </c>
      <c r="W406">
        <v>0</v>
      </c>
      <c r="X406">
        <v>0</v>
      </c>
      <c r="Y406" t="s">
        <v>173</v>
      </c>
    </row>
    <row r="407" spans="1:25" x14ac:dyDescent="0.35">
      <c r="A407">
        <v>4926</v>
      </c>
      <c r="B407" t="s">
        <v>1741</v>
      </c>
      <c r="C407" t="s">
        <v>1742</v>
      </c>
      <c r="D407" t="s">
        <v>1743</v>
      </c>
      <c r="E407" t="s">
        <v>1744</v>
      </c>
      <c r="F407" t="str">
        <f>"0140437509"</f>
        <v>0140437509</v>
      </c>
      <c r="G407" t="str">
        <f>"9780140437508"</f>
        <v>9780140437508</v>
      </c>
      <c r="H407">
        <v>0</v>
      </c>
      <c r="I407">
        <v>4.0199999999999996</v>
      </c>
      <c r="J407" t="s">
        <v>1390</v>
      </c>
      <c r="K407" t="s">
        <v>29</v>
      </c>
      <c r="L407">
        <v>361</v>
      </c>
      <c r="M407">
        <v>2000</v>
      </c>
      <c r="N407">
        <v>1889</v>
      </c>
      <c r="P407" s="1">
        <v>45579</v>
      </c>
      <c r="Q407" t="s">
        <v>30</v>
      </c>
      <c r="R407" t="s">
        <v>1745</v>
      </c>
      <c r="S407" t="s">
        <v>30</v>
      </c>
      <c r="W407">
        <v>0</v>
      </c>
      <c r="X407">
        <v>0</v>
      </c>
      <c r="Y407" t="s">
        <v>38</v>
      </c>
    </row>
    <row r="408" spans="1:25" x14ac:dyDescent="0.35">
      <c r="A408">
        <v>311196</v>
      </c>
      <c r="B408" t="s">
        <v>1746</v>
      </c>
      <c r="C408" t="s">
        <v>480</v>
      </c>
      <c r="D408" t="s">
        <v>481</v>
      </c>
      <c r="F408" t="str">
        <f>"0099465647"</f>
        <v>0099465647</v>
      </c>
      <c r="G408" t="str">
        <f>"9780099465645"</f>
        <v>9780099465645</v>
      </c>
      <c r="H408">
        <v>0</v>
      </c>
      <c r="I408">
        <v>4.1900000000000004</v>
      </c>
      <c r="J408" t="s">
        <v>611</v>
      </c>
      <c r="K408" t="s">
        <v>29</v>
      </c>
      <c r="L408">
        <v>380</v>
      </c>
      <c r="M408">
        <v>1992</v>
      </c>
      <c r="N408">
        <v>1965</v>
      </c>
      <c r="P408" s="1">
        <v>45579</v>
      </c>
      <c r="Q408" t="s">
        <v>30</v>
      </c>
      <c r="R408" t="s">
        <v>1747</v>
      </c>
      <c r="S408" t="s">
        <v>30</v>
      </c>
      <c r="W408">
        <v>0</v>
      </c>
      <c r="X408">
        <v>0</v>
      </c>
      <c r="Y408" t="s">
        <v>38</v>
      </c>
    </row>
    <row r="409" spans="1:25" x14ac:dyDescent="0.35">
      <c r="A409">
        <v>311150</v>
      </c>
      <c r="B409" t="s">
        <v>1748</v>
      </c>
      <c r="C409" t="s">
        <v>480</v>
      </c>
      <c r="D409" t="s">
        <v>481</v>
      </c>
      <c r="F409" t="str">
        <f>"0099465620"</f>
        <v>0099465620</v>
      </c>
      <c r="G409" t="str">
        <f>"9780099465621"</f>
        <v>9780099465621</v>
      </c>
      <c r="H409">
        <v>0</v>
      </c>
      <c r="I409">
        <v>4.09</v>
      </c>
      <c r="J409" t="s">
        <v>1749</v>
      </c>
      <c r="K409" t="s">
        <v>29</v>
      </c>
      <c r="L409">
        <v>280</v>
      </c>
      <c r="M409">
        <v>2004</v>
      </c>
      <c r="N409">
        <v>1949</v>
      </c>
      <c r="P409" s="1">
        <v>45579</v>
      </c>
      <c r="Q409" t="s">
        <v>30</v>
      </c>
      <c r="R409" t="s">
        <v>1750</v>
      </c>
      <c r="S409" t="s">
        <v>30</v>
      </c>
      <c r="W409">
        <v>0</v>
      </c>
      <c r="X409">
        <v>0</v>
      </c>
      <c r="Y409" t="s">
        <v>38</v>
      </c>
    </row>
    <row r="410" spans="1:25" x14ac:dyDescent="0.35">
      <c r="A410">
        <v>131191</v>
      </c>
      <c r="B410" t="s">
        <v>1751</v>
      </c>
      <c r="C410" t="s">
        <v>1752</v>
      </c>
      <c r="D410" t="s">
        <v>1753</v>
      </c>
      <c r="F410" t="str">
        <f>"0140267670"</f>
        <v>0140267670</v>
      </c>
      <c r="G410" t="str">
        <f>"9780140267679"</f>
        <v>9780140267679</v>
      </c>
      <c r="H410">
        <v>0</v>
      </c>
      <c r="I410">
        <v>3.97</v>
      </c>
      <c r="J410" t="s">
        <v>274</v>
      </c>
      <c r="K410" t="s">
        <v>29</v>
      </c>
      <c r="L410">
        <v>256</v>
      </c>
      <c r="M410">
        <v>1997</v>
      </c>
      <c r="N410">
        <v>1953</v>
      </c>
      <c r="P410" s="1">
        <v>45579</v>
      </c>
      <c r="Q410" t="s">
        <v>30</v>
      </c>
      <c r="R410" t="s">
        <v>1754</v>
      </c>
      <c r="S410" t="s">
        <v>30</v>
      </c>
      <c r="W410">
        <v>0</v>
      </c>
      <c r="X410">
        <v>0</v>
      </c>
      <c r="Y410" t="s">
        <v>38</v>
      </c>
    </row>
    <row r="411" spans="1:25" x14ac:dyDescent="0.35">
      <c r="A411">
        <v>62919409</v>
      </c>
      <c r="B411" t="s">
        <v>1755</v>
      </c>
      <c r="C411" t="s">
        <v>1756</v>
      </c>
      <c r="D411" t="s">
        <v>1757</v>
      </c>
      <c r="F411" t="str">
        <f>"1668015501"</f>
        <v>1668015501</v>
      </c>
      <c r="G411" t="str">
        <f>"9781668015506"</f>
        <v>9781668015506</v>
      </c>
      <c r="H411">
        <v>0</v>
      </c>
      <c r="I411">
        <v>4.05</v>
      </c>
      <c r="J411" t="s">
        <v>873</v>
      </c>
      <c r="K411" t="s">
        <v>48</v>
      </c>
      <c r="L411">
        <v>320</v>
      </c>
      <c r="M411">
        <v>2023</v>
      </c>
      <c r="N411">
        <v>2023</v>
      </c>
      <c r="P411" s="1">
        <v>45579</v>
      </c>
      <c r="Q411" t="s">
        <v>30</v>
      </c>
      <c r="R411" t="s">
        <v>1758</v>
      </c>
      <c r="S411" t="s">
        <v>30</v>
      </c>
      <c r="W411">
        <v>0</v>
      </c>
      <c r="X411">
        <v>0</v>
      </c>
      <c r="Y411" t="s">
        <v>203</v>
      </c>
    </row>
    <row r="412" spans="1:25" x14ac:dyDescent="0.35">
      <c r="A412">
        <v>211756265</v>
      </c>
      <c r="B412" t="s">
        <v>1759</v>
      </c>
      <c r="C412" t="s">
        <v>1760</v>
      </c>
      <c r="D412" t="s">
        <v>1761</v>
      </c>
      <c r="F412" t="str">
        <f>""</f>
        <v/>
      </c>
      <c r="G412" t="str">
        <f>""</f>
        <v/>
      </c>
      <c r="H412">
        <v>0</v>
      </c>
      <c r="I412">
        <v>4.16</v>
      </c>
      <c r="J412" t="s">
        <v>1762</v>
      </c>
      <c r="K412" t="s">
        <v>85</v>
      </c>
      <c r="L412">
        <v>304</v>
      </c>
      <c r="M412">
        <v>2024</v>
      </c>
      <c r="P412" s="1">
        <v>45579</v>
      </c>
      <c r="Q412" t="s">
        <v>30</v>
      </c>
      <c r="R412" t="s">
        <v>1763</v>
      </c>
      <c r="S412" t="s">
        <v>30</v>
      </c>
      <c r="W412">
        <v>0</v>
      </c>
      <c r="X412">
        <v>0</v>
      </c>
      <c r="Y412" t="s">
        <v>542</v>
      </c>
    </row>
    <row r="413" spans="1:25" x14ac:dyDescent="0.35">
      <c r="A413">
        <v>199212560</v>
      </c>
      <c r="B413" t="s">
        <v>1764</v>
      </c>
      <c r="C413" t="s">
        <v>1765</v>
      </c>
      <c r="D413" t="s">
        <v>1766</v>
      </c>
      <c r="F413" t="str">
        <f>"0593640438"</f>
        <v>0593640438</v>
      </c>
      <c r="G413" t="str">
        <f>"9780593640432"</f>
        <v>9780593640432</v>
      </c>
      <c r="H413">
        <v>0</v>
      </c>
      <c r="I413">
        <v>4.13</v>
      </c>
      <c r="J413" t="s">
        <v>350</v>
      </c>
      <c r="K413" t="s">
        <v>29</v>
      </c>
      <c r="L413">
        <v>335</v>
      </c>
      <c r="M413">
        <v>2024</v>
      </c>
      <c r="N413">
        <v>2024</v>
      </c>
      <c r="P413" s="1">
        <v>45574</v>
      </c>
      <c r="Q413" t="s">
        <v>30</v>
      </c>
      <c r="R413" t="s">
        <v>1767</v>
      </c>
      <c r="S413" t="s">
        <v>30</v>
      </c>
      <c r="W413">
        <v>0</v>
      </c>
      <c r="X413">
        <v>0</v>
      </c>
      <c r="Y413" t="s">
        <v>38</v>
      </c>
    </row>
    <row r="414" spans="1:25" x14ac:dyDescent="0.35">
      <c r="A414">
        <v>214269333</v>
      </c>
      <c r="B414" t="s">
        <v>1768</v>
      </c>
      <c r="C414" t="s">
        <v>1427</v>
      </c>
      <c r="D414" t="s">
        <v>1428</v>
      </c>
      <c r="F414" t="str">
        <f>"0593500210"</f>
        <v>0593500210</v>
      </c>
      <c r="G414" t="str">
        <f>"9780593500217"</f>
        <v>9780593500217</v>
      </c>
      <c r="H414">
        <v>0</v>
      </c>
      <c r="I414">
        <v>4.29</v>
      </c>
      <c r="J414" t="s">
        <v>674</v>
      </c>
      <c r="K414" t="s">
        <v>29</v>
      </c>
      <c r="L414">
        <v>368</v>
      </c>
      <c r="M414">
        <v>2024</v>
      </c>
      <c r="N414">
        <v>2024</v>
      </c>
      <c r="P414" s="1">
        <v>45574</v>
      </c>
      <c r="Q414" t="s">
        <v>30</v>
      </c>
      <c r="R414" t="s">
        <v>1769</v>
      </c>
      <c r="S414" t="s">
        <v>30</v>
      </c>
      <c r="W414">
        <v>0</v>
      </c>
      <c r="X414">
        <v>0</v>
      </c>
      <c r="Y414" t="s">
        <v>38</v>
      </c>
    </row>
    <row r="415" spans="1:25" x14ac:dyDescent="0.35">
      <c r="A415">
        <v>134119076</v>
      </c>
      <c r="B415" t="s">
        <v>1770</v>
      </c>
      <c r="C415" t="s">
        <v>1427</v>
      </c>
      <c r="D415" t="s">
        <v>1428</v>
      </c>
      <c r="F415" t="str">
        <f>"0593500202"</f>
        <v>0593500202</v>
      </c>
      <c r="G415" t="str">
        <f>"9780593500200"</f>
        <v>9780593500200</v>
      </c>
      <c r="H415">
        <v>0</v>
      </c>
      <c r="I415">
        <v>4.29</v>
      </c>
      <c r="J415" t="s">
        <v>674</v>
      </c>
      <c r="K415" t="s">
        <v>375</v>
      </c>
      <c r="L415">
        <v>370</v>
      </c>
      <c r="M415">
        <v>2024</v>
      </c>
      <c r="N415">
        <v>2024</v>
      </c>
      <c r="P415" s="1">
        <v>45574</v>
      </c>
      <c r="Q415" t="s">
        <v>30</v>
      </c>
      <c r="R415" t="s">
        <v>1771</v>
      </c>
      <c r="S415" t="s">
        <v>30</v>
      </c>
      <c r="W415">
        <v>0</v>
      </c>
      <c r="X415">
        <v>0</v>
      </c>
      <c r="Y415" t="s">
        <v>38</v>
      </c>
    </row>
    <row r="416" spans="1:25" x14ac:dyDescent="0.35">
      <c r="A416">
        <v>60537643</v>
      </c>
      <c r="B416" t="s">
        <v>1772</v>
      </c>
      <c r="C416" t="s">
        <v>1773</v>
      </c>
      <c r="D416" t="s">
        <v>1774</v>
      </c>
      <c r="F416" t="str">
        <f>""</f>
        <v/>
      </c>
      <c r="G416" t="str">
        <f>"9798985747416"</f>
        <v>9798985747416</v>
      </c>
      <c r="H416">
        <v>0</v>
      </c>
      <c r="I416">
        <v>4.4400000000000004</v>
      </c>
      <c r="J416" t="s">
        <v>1775</v>
      </c>
      <c r="K416" t="s">
        <v>29</v>
      </c>
      <c r="L416">
        <v>328</v>
      </c>
      <c r="M416">
        <v>2022</v>
      </c>
      <c r="P416" s="1">
        <v>45574</v>
      </c>
      <c r="Q416" t="s">
        <v>30</v>
      </c>
      <c r="R416" t="s">
        <v>1776</v>
      </c>
      <c r="S416" t="s">
        <v>30</v>
      </c>
      <c r="W416">
        <v>0</v>
      </c>
      <c r="X416">
        <v>0</v>
      </c>
      <c r="Y416" t="s">
        <v>38</v>
      </c>
    </row>
    <row r="417" spans="1:25" x14ac:dyDescent="0.35">
      <c r="A417">
        <v>57070964</v>
      </c>
      <c r="B417" t="s">
        <v>1777</v>
      </c>
      <c r="C417" t="s">
        <v>1473</v>
      </c>
      <c r="D417" t="s">
        <v>1474</v>
      </c>
      <c r="F417" t="str">
        <f>"0764234242"</f>
        <v>0764234242</v>
      </c>
      <c r="G417" t="str">
        <f>"9780764234248"</f>
        <v>9780764234248</v>
      </c>
      <c r="H417">
        <v>3</v>
      </c>
      <c r="I417">
        <v>4.03</v>
      </c>
      <c r="J417" t="s">
        <v>36</v>
      </c>
      <c r="K417" t="s">
        <v>29</v>
      </c>
      <c r="L417">
        <v>416</v>
      </c>
      <c r="M417">
        <v>2021</v>
      </c>
      <c r="N417">
        <v>2021</v>
      </c>
      <c r="P417" s="1">
        <v>45574</v>
      </c>
      <c r="S417" t="s">
        <v>51</v>
      </c>
      <c r="W417">
        <v>1</v>
      </c>
      <c r="X417">
        <v>0</v>
      </c>
      <c r="Y417" t="s">
        <v>38</v>
      </c>
    </row>
    <row r="418" spans="1:25" x14ac:dyDescent="0.35">
      <c r="A418">
        <v>34214624</v>
      </c>
      <c r="B418" t="s">
        <v>1778</v>
      </c>
      <c r="C418" t="s">
        <v>1779</v>
      </c>
      <c r="D418" t="s">
        <v>1780</v>
      </c>
      <c r="F418" t="str">
        <f>""</f>
        <v/>
      </c>
      <c r="G418" t="str">
        <f>""</f>
        <v/>
      </c>
      <c r="H418">
        <v>0</v>
      </c>
      <c r="I418">
        <v>4.08</v>
      </c>
      <c r="J418" t="s">
        <v>1781</v>
      </c>
      <c r="K418" t="s">
        <v>48</v>
      </c>
      <c r="M418">
        <v>2019</v>
      </c>
      <c r="N418">
        <v>2019</v>
      </c>
      <c r="P418" s="1">
        <v>45571</v>
      </c>
      <c r="Q418" t="s">
        <v>30</v>
      </c>
      <c r="R418" t="s">
        <v>1782</v>
      </c>
      <c r="S418" t="s">
        <v>30</v>
      </c>
      <c r="W418">
        <v>0</v>
      </c>
      <c r="X418">
        <v>0</v>
      </c>
      <c r="Y418" t="s">
        <v>38</v>
      </c>
    </row>
    <row r="419" spans="1:25" x14ac:dyDescent="0.35">
      <c r="A419">
        <v>2213661</v>
      </c>
      <c r="B419" t="s">
        <v>1783</v>
      </c>
      <c r="C419" t="s">
        <v>948</v>
      </c>
      <c r="D419" t="s">
        <v>949</v>
      </c>
      <c r="E419" t="s">
        <v>1784</v>
      </c>
      <c r="F419" t="str">
        <f>"0060530928"</f>
        <v>0060530928</v>
      </c>
      <c r="G419" t="str">
        <f>"9780060530921"</f>
        <v>9780060530921</v>
      </c>
      <c r="H419">
        <v>4</v>
      </c>
      <c r="I419">
        <v>4.16</v>
      </c>
      <c r="J419" t="s">
        <v>292</v>
      </c>
      <c r="K419" t="s">
        <v>48</v>
      </c>
      <c r="L419">
        <v>312</v>
      </c>
      <c r="M419">
        <v>2008</v>
      </c>
      <c r="N419">
        <v>2008</v>
      </c>
      <c r="P419" s="1">
        <v>45400</v>
      </c>
      <c r="S419" t="s">
        <v>51</v>
      </c>
      <c r="W419">
        <v>1</v>
      </c>
      <c r="X419">
        <v>0</v>
      </c>
      <c r="Y419" t="s">
        <v>38</v>
      </c>
    </row>
    <row r="420" spans="1:25" x14ac:dyDescent="0.35">
      <c r="A420">
        <v>8293938</v>
      </c>
      <c r="B420" t="s">
        <v>1785</v>
      </c>
      <c r="C420" t="s">
        <v>1786</v>
      </c>
      <c r="D420" t="s">
        <v>1787</v>
      </c>
      <c r="F420" t="str">
        <f>"0385907508"</f>
        <v>0385907508</v>
      </c>
      <c r="G420" t="str">
        <f>"9780385907507"</f>
        <v>9780385907507</v>
      </c>
      <c r="H420">
        <v>0</v>
      </c>
      <c r="I420">
        <v>4.04</v>
      </c>
      <c r="J420" t="s">
        <v>177</v>
      </c>
      <c r="K420" t="s">
        <v>957</v>
      </c>
      <c r="L420">
        <v>368</v>
      </c>
      <c r="M420">
        <v>2010</v>
      </c>
      <c r="N420">
        <v>2010</v>
      </c>
      <c r="P420" s="1">
        <v>45569</v>
      </c>
      <c r="Q420" t="s">
        <v>30</v>
      </c>
      <c r="R420" t="s">
        <v>1788</v>
      </c>
      <c r="S420" t="s">
        <v>30</v>
      </c>
      <c r="W420">
        <v>0</v>
      </c>
      <c r="X420">
        <v>0</v>
      </c>
      <c r="Y420" t="s">
        <v>38</v>
      </c>
    </row>
    <row r="421" spans="1:25" x14ac:dyDescent="0.35">
      <c r="A421">
        <v>9858488</v>
      </c>
      <c r="B421" t="s">
        <v>1789</v>
      </c>
      <c r="C421" t="s">
        <v>1790</v>
      </c>
      <c r="D421" t="s">
        <v>1791</v>
      </c>
      <c r="F421" t="str">
        <f>"0374379939"</f>
        <v>0374379939</v>
      </c>
      <c r="G421" t="str">
        <f>"9780374379933"</f>
        <v>9780374379933</v>
      </c>
      <c r="H421">
        <v>0</v>
      </c>
      <c r="I421">
        <v>3.72</v>
      </c>
      <c r="J421" t="s">
        <v>1792</v>
      </c>
      <c r="K421" t="s">
        <v>48</v>
      </c>
      <c r="L421">
        <v>341</v>
      </c>
      <c r="M421">
        <v>2011</v>
      </c>
      <c r="N421">
        <v>2011</v>
      </c>
      <c r="P421" s="1">
        <v>45569</v>
      </c>
      <c r="Q421" t="s">
        <v>30</v>
      </c>
      <c r="R421" t="s">
        <v>1793</v>
      </c>
      <c r="S421" t="s">
        <v>30</v>
      </c>
      <c r="W421">
        <v>0</v>
      </c>
      <c r="X421">
        <v>0</v>
      </c>
      <c r="Y421" t="s">
        <v>38</v>
      </c>
    </row>
    <row r="422" spans="1:25" x14ac:dyDescent="0.35">
      <c r="A422">
        <v>30372800</v>
      </c>
      <c r="B422" t="s">
        <v>1794</v>
      </c>
      <c r="C422" t="s">
        <v>824</v>
      </c>
      <c r="D422" t="s">
        <v>825</v>
      </c>
      <c r="F422" t="str">
        <f>""</f>
        <v/>
      </c>
      <c r="G422" t="str">
        <f>""</f>
        <v/>
      </c>
      <c r="H422">
        <v>0</v>
      </c>
      <c r="I422">
        <v>4.16</v>
      </c>
      <c r="J422" t="s">
        <v>1795</v>
      </c>
      <c r="K422" t="s">
        <v>85</v>
      </c>
      <c r="L422">
        <v>59</v>
      </c>
      <c r="M422">
        <v>2016</v>
      </c>
      <c r="P422" s="1">
        <v>45569</v>
      </c>
      <c r="Q422" t="s">
        <v>30</v>
      </c>
      <c r="R422" t="s">
        <v>1796</v>
      </c>
      <c r="S422" t="s">
        <v>30</v>
      </c>
      <c r="W422">
        <v>0</v>
      </c>
      <c r="X422">
        <v>0</v>
      </c>
      <c r="Y422" t="s">
        <v>38</v>
      </c>
    </row>
    <row r="423" spans="1:25" x14ac:dyDescent="0.35">
      <c r="A423">
        <v>218489288</v>
      </c>
      <c r="B423" t="s">
        <v>1797</v>
      </c>
      <c r="C423" t="s">
        <v>1798</v>
      </c>
      <c r="D423" t="s">
        <v>1799</v>
      </c>
      <c r="F423" t="str">
        <f>""</f>
        <v/>
      </c>
      <c r="G423" t="str">
        <f>"9798337880921"</f>
        <v>9798337880921</v>
      </c>
      <c r="H423">
        <v>0</v>
      </c>
      <c r="I423">
        <v>4.5</v>
      </c>
      <c r="J423" t="s">
        <v>1121</v>
      </c>
      <c r="K423" t="s">
        <v>29</v>
      </c>
      <c r="L423">
        <v>25</v>
      </c>
      <c r="M423">
        <v>2024</v>
      </c>
      <c r="P423" s="1">
        <v>45569</v>
      </c>
      <c r="Q423" t="s">
        <v>30</v>
      </c>
      <c r="R423" t="s">
        <v>1800</v>
      </c>
      <c r="S423" t="s">
        <v>30</v>
      </c>
      <c r="W423">
        <v>0</v>
      </c>
      <c r="X423">
        <v>0</v>
      </c>
      <c r="Y423" t="s">
        <v>173</v>
      </c>
    </row>
    <row r="424" spans="1:25" x14ac:dyDescent="0.35">
      <c r="A424">
        <v>7972907</v>
      </c>
      <c r="B424" t="s">
        <v>1801</v>
      </c>
      <c r="C424" t="s">
        <v>1802</v>
      </c>
      <c r="D424" t="s">
        <v>1803</v>
      </c>
      <c r="F424" t="str">
        <f>"0800719255"</f>
        <v>0800719255</v>
      </c>
      <c r="G424" t="str">
        <f>"9780800719258"</f>
        <v>9780800719258</v>
      </c>
      <c r="H424">
        <v>0</v>
      </c>
      <c r="I424">
        <v>4.05</v>
      </c>
      <c r="J424" t="s">
        <v>259</v>
      </c>
      <c r="K424" t="s">
        <v>48</v>
      </c>
      <c r="L424">
        <v>167</v>
      </c>
      <c r="M424">
        <v>2010</v>
      </c>
      <c r="N424">
        <v>2010</v>
      </c>
      <c r="P424" s="1">
        <v>45568</v>
      </c>
      <c r="Q424" t="s">
        <v>30</v>
      </c>
      <c r="R424" t="s">
        <v>1804</v>
      </c>
      <c r="S424" t="s">
        <v>30</v>
      </c>
      <c r="W424">
        <v>0</v>
      </c>
      <c r="X424">
        <v>0</v>
      </c>
      <c r="Y424" t="s">
        <v>38</v>
      </c>
    </row>
    <row r="425" spans="1:25" x14ac:dyDescent="0.35">
      <c r="A425">
        <v>14431179</v>
      </c>
      <c r="B425" t="s">
        <v>1805</v>
      </c>
      <c r="C425" t="s">
        <v>1806</v>
      </c>
      <c r="D425" t="s">
        <v>1807</v>
      </c>
      <c r="E425" t="s">
        <v>1808</v>
      </c>
      <c r="F425" t="str">
        <f>"1554514576"</f>
        <v>1554514576</v>
      </c>
      <c r="G425" t="str">
        <f>"9781554514571"</f>
        <v>9781554514571</v>
      </c>
      <c r="H425">
        <v>0</v>
      </c>
      <c r="I425">
        <v>3.16</v>
      </c>
      <c r="J425" t="s">
        <v>1809</v>
      </c>
      <c r="K425" t="s">
        <v>48</v>
      </c>
      <c r="L425">
        <v>32</v>
      </c>
      <c r="M425">
        <v>2012</v>
      </c>
      <c r="N425">
        <v>2012</v>
      </c>
      <c r="P425" s="1">
        <v>45567</v>
      </c>
      <c r="S425" t="s">
        <v>51</v>
      </c>
      <c r="W425">
        <v>1</v>
      </c>
      <c r="X425">
        <v>0</v>
      </c>
      <c r="Y425" t="s">
        <v>38</v>
      </c>
    </row>
    <row r="426" spans="1:25" x14ac:dyDescent="0.35">
      <c r="A426">
        <v>89011586</v>
      </c>
      <c r="B426" t="s">
        <v>1810</v>
      </c>
      <c r="C426" t="s">
        <v>1811</v>
      </c>
      <c r="D426" t="s">
        <v>1812</v>
      </c>
      <c r="F426" t="str">
        <f>"0764241966"</f>
        <v>0764241966</v>
      </c>
      <c r="G426" t="str">
        <f>"9780764241963"</f>
        <v>9780764241963</v>
      </c>
      <c r="H426">
        <v>0</v>
      </c>
      <c r="I426">
        <v>3.78</v>
      </c>
      <c r="J426" t="s">
        <v>36</v>
      </c>
      <c r="K426" t="s">
        <v>29</v>
      </c>
      <c r="L426">
        <v>352</v>
      </c>
      <c r="M426">
        <v>2023</v>
      </c>
      <c r="N426">
        <v>2023</v>
      </c>
      <c r="P426" s="1">
        <v>45567</v>
      </c>
      <c r="Q426" t="s">
        <v>30</v>
      </c>
      <c r="R426" t="s">
        <v>1813</v>
      </c>
      <c r="S426" t="s">
        <v>30</v>
      </c>
      <c r="W426">
        <v>0</v>
      </c>
      <c r="X426">
        <v>0</v>
      </c>
      <c r="Y426" t="s">
        <v>38</v>
      </c>
    </row>
    <row r="427" spans="1:25" x14ac:dyDescent="0.35">
      <c r="A427">
        <v>42075332</v>
      </c>
      <c r="B427" t="s">
        <v>1814</v>
      </c>
      <c r="C427" t="s">
        <v>1811</v>
      </c>
      <c r="D427" t="s">
        <v>1812</v>
      </c>
      <c r="F427" t="str">
        <f>"0764234145"</f>
        <v>0764234145</v>
      </c>
      <c r="G427" t="str">
        <f>"9780764234149"</f>
        <v>9780764234149</v>
      </c>
      <c r="H427">
        <v>0</v>
      </c>
      <c r="I427">
        <v>4.1900000000000004</v>
      </c>
      <c r="J427" t="s">
        <v>36</v>
      </c>
      <c r="K427" t="s">
        <v>48</v>
      </c>
      <c r="L427">
        <v>352</v>
      </c>
      <c r="M427">
        <v>2019</v>
      </c>
      <c r="N427">
        <v>2019</v>
      </c>
      <c r="P427" s="1">
        <v>45567</v>
      </c>
      <c r="Q427" t="s">
        <v>30</v>
      </c>
      <c r="R427" t="s">
        <v>1815</v>
      </c>
      <c r="S427" t="s">
        <v>30</v>
      </c>
      <c r="W427">
        <v>0</v>
      </c>
      <c r="X427">
        <v>0</v>
      </c>
      <c r="Y427" t="s">
        <v>38</v>
      </c>
    </row>
    <row r="428" spans="1:25" x14ac:dyDescent="0.35">
      <c r="A428">
        <v>22900446</v>
      </c>
      <c r="B428" t="s">
        <v>1816</v>
      </c>
      <c r="C428" t="s">
        <v>1811</v>
      </c>
      <c r="D428" t="s">
        <v>1812</v>
      </c>
      <c r="F428" t="str">
        <f>"0310749190"</f>
        <v>0310749190</v>
      </c>
      <c r="G428" t="str">
        <f>"9780310749196"</f>
        <v>9780310749196</v>
      </c>
      <c r="H428">
        <v>0</v>
      </c>
      <c r="I428">
        <v>3.88</v>
      </c>
      <c r="J428" t="s">
        <v>1817</v>
      </c>
      <c r="K428" t="s">
        <v>29</v>
      </c>
      <c r="L428">
        <v>254</v>
      </c>
      <c r="M428">
        <v>2015</v>
      </c>
      <c r="N428">
        <v>2015</v>
      </c>
      <c r="P428" s="1">
        <v>45567</v>
      </c>
      <c r="Q428" t="s">
        <v>30</v>
      </c>
      <c r="R428" t="s">
        <v>1818</v>
      </c>
      <c r="S428" t="s">
        <v>30</v>
      </c>
      <c r="W428">
        <v>0</v>
      </c>
      <c r="X428">
        <v>0</v>
      </c>
      <c r="Y428" t="s">
        <v>38</v>
      </c>
    </row>
    <row r="429" spans="1:25" x14ac:dyDescent="0.35">
      <c r="A429">
        <v>199454337</v>
      </c>
      <c r="B429" t="s">
        <v>1819</v>
      </c>
      <c r="C429" t="s">
        <v>1811</v>
      </c>
      <c r="D429" t="s">
        <v>1812</v>
      </c>
      <c r="F429" t="str">
        <f>"0764241974"</f>
        <v>0764241974</v>
      </c>
      <c r="G429" t="str">
        <f>"9780764241970"</f>
        <v>9780764241970</v>
      </c>
      <c r="H429">
        <v>0</v>
      </c>
      <c r="I429">
        <v>4.25</v>
      </c>
      <c r="J429" t="s">
        <v>36</v>
      </c>
      <c r="K429" t="s">
        <v>29</v>
      </c>
      <c r="L429">
        <v>352</v>
      </c>
      <c r="M429">
        <v>2024</v>
      </c>
      <c r="N429">
        <v>2024</v>
      </c>
      <c r="P429" s="1">
        <v>45567</v>
      </c>
      <c r="Q429" t="s">
        <v>30</v>
      </c>
      <c r="R429" t="s">
        <v>1820</v>
      </c>
      <c r="S429" t="s">
        <v>30</v>
      </c>
      <c r="W429">
        <v>0</v>
      </c>
      <c r="X429">
        <v>0</v>
      </c>
      <c r="Y429" t="s">
        <v>38</v>
      </c>
    </row>
    <row r="430" spans="1:25" x14ac:dyDescent="0.35">
      <c r="A430">
        <v>52767763</v>
      </c>
      <c r="B430" t="s">
        <v>1821</v>
      </c>
      <c r="C430" t="s">
        <v>1822</v>
      </c>
      <c r="D430" t="s">
        <v>1823</v>
      </c>
      <c r="F430" t="str">
        <f>"162184093X"</f>
        <v>162184093X</v>
      </c>
      <c r="G430" t="str">
        <f>"9781621840930"</f>
        <v>9781621840930</v>
      </c>
      <c r="H430">
        <v>0</v>
      </c>
      <c r="I430">
        <v>4.24</v>
      </c>
      <c r="J430" t="s">
        <v>131</v>
      </c>
      <c r="K430" t="s">
        <v>48</v>
      </c>
      <c r="L430">
        <v>388</v>
      </c>
      <c r="M430">
        <v>2019</v>
      </c>
      <c r="N430">
        <v>2019</v>
      </c>
      <c r="P430" s="1">
        <v>45567</v>
      </c>
      <c r="Q430" t="s">
        <v>30</v>
      </c>
      <c r="R430" t="s">
        <v>1824</v>
      </c>
      <c r="S430" t="s">
        <v>30</v>
      </c>
      <c r="W430">
        <v>0</v>
      </c>
      <c r="X430">
        <v>0</v>
      </c>
      <c r="Y430" t="s">
        <v>38</v>
      </c>
    </row>
    <row r="431" spans="1:25" x14ac:dyDescent="0.35">
      <c r="A431">
        <v>95693</v>
      </c>
      <c r="B431" t="s">
        <v>1825</v>
      </c>
      <c r="C431" t="s">
        <v>1826</v>
      </c>
      <c r="D431" t="s">
        <v>1827</v>
      </c>
      <c r="F431" t="str">
        <f>"0553280511"</f>
        <v>0553280511</v>
      </c>
      <c r="G431" t="str">
        <f>"9780553280517"</f>
        <v>9780553280517</v>
      </c>
      <c r="H431">
        <v>0</v>
      </c>
      <c r="I431">
        <v>4.3099999999999996</v>
      </c>
      <c r="J431" t="s">
        <v>1828</v>
      </c>
      <c r="K431" t="s">
        <v>228</v>
      </c>
      <c r="L431">
        <v>218</v>
      </c>
      <c r="M431">
        <v>1989</v>
      </c>
      <c r="N431">
        <v>1926</v>
      </c>
      <c r="P431" s="1">
        <v>45567</v>
      </c>
      <c r="Q431" t="s">
        <v>30</v>
      </c>
      <c r="R431" t="s">
        <v>1829</v>
      </c>
      <c r="S431" t="s">
        <v>30</v>
      </c>
      <c r="W431">
        <v>0</v>
      </c>
      <c r="X431">
        <v>0</v>
      </c>
      <c r="Y431" t="s">
        <v>38</v>
      </c>
    </row>
    <row r="432" spans="1:25" x14ac:dyDescent="0.35">
      <c r="A432">
        <v>29102841</v>
      </c>
      <c r="B432" t="s">
        <v>1830</v>
      </c>
      <c r="C432" t="s">
        <v>1831</v>
      </c>
      <c r="D432" t="s">
        <v>1832</v>
      </c>
      <c r="F432" t="str">
        <f>"1250096278"</f>
        <v>1250096278</v>
      </c>
      <c r="G432" t="str">
        <f>"9781250096272"</f>
        <v>9781250096272</v>
      </c>
      <c r="H432">
        <v>0</v>
      </c>
      <c r="I432">
        <v>3.91</v>
      </c>
      <c r="J432" t="s">
        <v>242</v>
      </c>
      <c r="K432" t="s">
        <v>48</v>
      </c>
      <c r="L432">
        <v>336</v>
      </c>
      <c r="M432">
        <v>2017</v>
      </c>
      <c r="N432">
        <v>2017</v>
      </c>
      <c r="P432" s="1">
        <v>45567</v>
      </c>
      <c r="Q432" t="s">
        <v>30</v>
      </c>
      <c r="R432" t="s">
        <v>1833</v>
      </c>
      <c r="S432" t="s">
        <v>30</v>
      </c>
      <c r="W432">
        <v>0</v>
      </c>
      <c r="X432">
        <v>0</v>
      </c>
      <c r="Y432" t="s">
        <v>38</v>
      </c>
    </row>
    <row r="433" spans="1:25" x14ac:dyDescent="0.35">
      <c r="A433">
        <v>60510</v>
      </c>
      <c r="B433" t="s">
        <v>1834</v>
      </c>
      <c r="C433" t="s">
        <v>1835</v>
      </c>
      <c r="D433" t="s">
        <v>1836</v>
      </c>
      <c r="F433" t="str">
        <f>"0778324338"</f>
        <v>0778324338</v>
      </c>
      <c r="G433" t="str">
        <f>"9780778324331"</f>
        <v>9780778324331</v>
      </c>
      <c r="H433">
        <v>0</v>
      </c>
      <c r="I433">
        <v>4.09</v>
      </c>
      <c r="J433" t="s">
        <v>1837</v>
      </c>
      <c r="K433" t="s">
        <v>29</v>
      </c>
      <c r="L433">
        <v>427</v>
      </c>
      <c r="M433">
        <v>2007</v>
      </c>
      <c r="N433">
        <v>2005</v>
      </c>
      <c r="P433" s="1">
        <v>45565</v>
      </c>
      <c r="Q433" t="s">
        <v>30</v>
      </c>
      <c r="R433" t="s">
        <v>1838</v>
      </c>
      <c r="S433" t="s">
        <v>30</v>
      </c>
      <c r="W433">
        <v>0</v>
      </c>
      <c r="X433">
        <v>0</v>
      </c>
      <c r="Y433" t="s">
        <v>38</v>
      </c>
    </row>
    <row r="434" spans="1:25" x14ac:dyDescent="0.35">
      <c r="A434">
        <v>209351068</v>
      </c>
      <c r="B434" t="s">
        <v>1839</v>
      </c>
      <c r="C434" t="s">
        <v>1802</v>
      </c>
      <c r="D434" t="s">
        <v>1803</v>
      </c>
      <c r="F434" t="str">
        <f>"0800744721"</f>
        <v>0800744721</v>
      </c>
      <c r="G434" t="str">
        <f>"9780800744724"</f>
        <v>9780800744724</v>
      </c>
      <c r="H434">
        <v>0</v>
      </c>
      <c r="I434">
        <v>3.38</v>
      </c>
      <c r="J434" t="s">
        <v>259</v>
      </c>
      <c r="K434" t="s">
        <v>48</v>
      </c>
      <c r="L434">
        <v>176</v>
      </c>
      <c r="M434">
        <v>2024</v>
      </c>
      <c r="N434">
        <v>2024</v>
      </c>
      <c r="P434" s="1">
        <v>45565</v>
      </c>
      <c r="Q434" t="s">
        <v>30</v>
      </c>
      <c r="R434" t="s">
        <v>1840</v>
      </c>
      <c r="S434" t="s">
        <v>30</v>
      </c>
      <c r="W434">
        <v>0</v>
      </c>
      <c r="X434">
        <v>0</v>
      </c>
      <c r="Y434" t="s">
        <v>38</v>
      </c>
    </row>
    <row r="435" spans="1:25" x14ac:dyDescent="0.35">
      <c r="A435">
        <v>369393</v>
      </c>
      <c r="B435" t="s">
        <v>1841</v>
      </c>
      <c r="C435" t="s">
        <v>1842</v>
      </c>
      <c r="D435" t="s">
        <v>1843</v>
      </c>
      <c r="F435" t="str">
        <f>"1578565731"</f>
        <v>1578565731</v>
      </c>
      <c r="G435" t="str">
        <f>"9781578565733"</f>
        <v>9781578565733</v>
      </c>
      <c r="H435">
        <v>0</v>
      </c>
      <c r="I435">
        <v>3.74</v>
      </c>
      <c r="J435" t="s">
        <v>1844</v>
      </c>
      <c r="K435" t="s">
        <v>29</v>
      </c>
      <c r="L435">
        <v>304</v>
      </c>
      <c r="M435">
        <v>2003</v>
      </c>
      <c r="N435">
        <v>2003</v>
      </c>
      <c r="P435" s="1">
        <v>45563</v>
      </c>
      <c r="S435" t="s">
        <v>51</v>
      </c>
      <c r="W435">
        <v>1</v>
      </c>
      <c r="X435">
        <v>0</v>
      </c>
      <c r="Y435" t="s">
        <v>38</v>
      </c>
    </row>
    <row r="436" spans="1:25" x14ac:dyDescent="0.35">
      <c r="A436">
        <v>594351</v>
      </c>
      <c r="B436" t="s">
        <v>1845</v>
      </c>
      <c r="C436" t="s">
        <v>1842</v>
      </c>
      <c r="D436" t="s">
        <v>1843</v>
      </c>
      <c r="F436" t="str">
        <f>"1400073537"</f>
        <v>1400073537</v>
      </c>
      <c r="G436" t="str">
        <f>"9781400073535"</f>
        <v>9781400073535</v>
      </c>
      <c r="H436">
        <v>0</v>
      </c>
      <c r="I436">
        <v>3.68</v>
      </c>
      <c r="J436" t="s">
        <v>155</v>
      </c>
      <c r="K436" t="s">
        <v>48</v>
      </c>
      <c r="L436">
        <v>180</v>
      </c>
      <c r="M436">
        <v>2007</v>
      </c>
      <c r="N436">
        <v>2007</v>
      </c>
      <c r="P436" s="1">
        <v>45563</v>
      </c>
      <c r="Q436" t="s">
        <v>30</v>
      </c>
      <c r="R436" t="s">
        <v>1846</v>
      </c>
      <c r="S436" t="s">
        <v>30</v>
      </c>
      <c r="W436">
        <v>0</v>
      </c>
      <c r="X436">
        <v>0</v>
      </c>
      <c r="Y436" t="s">
        <v>38</v>
      </c>
    </row>
    <row r="437" spans="1:25" x14ac:dyDescent="0.35">
      <c r="A437">
        <v>237622</v>
      </c>
      <c r="B437" t="s">
        <v>1847</v>
      </c>
      <c r="C437" t="s">
        <v>1842</v>
      </c>
      <c r="D437" t="s">
        <v>1843</v>
      </c>
      <c r="F437" t="str">
        <f>"1400071437"</f>
        <v>1400071437</v>
      </c>
      <c r="G437" t="str">
        <f>"9781400071432"</f>
        <v>9781400071432</v>
      </c>
      <c r="H437">
        <v>0</v>
      </c>
      <c r="I437">
        <v>3.94</v>
      </c>
      <c r="J437" t="s">
        <v>155</v>
      </c>
      <c r="K437" t="s">
        <v>29</v>
      </c>
      <c r="L437">
        <v>352</v>
      </c>
      <c r="M437">
        <v>2005</v>
      </c>
      <c r="N437">
        <v>2005</v>
      </c>
      <c r="P437" s="1">
        <v>45563</v>
      </c>
      <c r="Q437" t="s">
        <v>30</v>
      </c>
      <c r="R437" t="s">
        <v>1848</v>
      </c>
      <c r="S437" t="s">
        <v>30</v>
      </c>
      <c r="W437">
        <v>0</v>
      </c>
      <c r="X437">
        <v>0</v>
      </c>
      <c r="Y437" t="s">
        <v>38</v>
      </c>
    </row>
    <row r="438" spans="1:25" x14ac:dyDescent="0.35">
      <c r="A438">
        <v>369392</v>
      </c>
      <c r="B438" t="s">
        <v>1849</v>
      </c>
      <c r="C438" t="s">
        <v>1842</v>
      </c>
      <c r="D438" t="s">
        <v>1843</v>
      </c>
      <c r="F438" t="str">
        <f>"1578569850"</f>
        <v>1578569850</v>
      </c>
      <c r="G438" t="str">
        <f>"9781578569854"</f>
        <v>9781578569854</v>
      </c>
      <c r="H438">
        <v>0</v>
      </c>
      <c r="I438">
        <v>3.8</v>
      </c>
      <c r="J438" t="s">
        <v>1844</v>
      </c>
      <c r="K438" t="s">
        <v>29</v>
      </c>
      <c r="L438">
        <v>344</v>
      </c>
      <c r="M438">
        <v>2004</v>
      </c>
      <c r="N438">
        <v>2004</v>
      </c>
      <c r="P438" s="1">
        <v>45563</v>
      </c>
      <c r="Q438" t="s">
        <v>30</v>
      </c>
      <c r="R438" t="s">
        <v>1850</v>
      </c>
      <c r="S438" t="s">
        <v>30</v>
      </c>
      <c r="W438">
        <v>0</v>
      </c>
      <c r="X438">
        <v>0</v>
      </c>
      <c r="Y438" t="s">
        <v>38</v>
      </c>
    </row>
    <row r="439" spans="1:25" x14ac:dyDescent="0.35">
      <c r="A439">
        <v>51791252</v>
      </c>
      <c r="B439" t="s">
        <v>1851</v>
      </c>
      <c r="C439" t="s">
        <v>1852</v>
      </c>
      <c r="D439" t="s">
        <v>1853</v>
      </c>
      <c r="F439" t="str">
        <f>"0525536299"</f>
        <v>0525536299</v>
      </c>
      <c r="G439" t="str">
        <f>"9780525536291"</f>
        <v>9780525536291</v>
      </c>
      <c r="H439">
        <v>0</v>
      </c>
      <c r="I439">
        <v>4.13</v>
      </c>
      <c r="J439" t="s">
        <v>1360</v>
      </c>
      <c r="K439" t="s">
        <v>48</v>
      </c>
      <c r="L439">
        <v>343</v>
      </c>
      <c r="M439">
        <v>2020</v>
      </c>
      <c r="N439">
        <v>2020</v>
      </c>
      <c r="P439" s="1">
        <v>45563</v>
      </c>
      <c r="Q439" t="s">
        <v>30</v>
      </c>
      <c r="R439" t="s">
        <v>1854</v>
      </c>
      <c r="S439" t="s">
        <v>30</v>
      </c>
      <c r="W439">
        <v>0</v>
      </c>
      <c r="X439">
        <v>0</v>
      </c>
      <c r="Y439" t="s">
        <v>38</v>
      </c>
    </row>
    <row r="440" spans="1:25" x14ac:dyDescent="0.35">
      <c r="A440">
        <v>52578297</v>
      </c>
      <c r="B440" t="s">
        <v>1855</v>
      </c>
      <c r="C440" t="s">
        <v>1856</v>
      </c>
      <c r="D440" t="s">
        <v>1857</v>
      </c>
      <c r="F440" t="str">
        <f>"0525559477"</f>
        <v>0525559477</v>
      </c>
      <c r="G440" t="str">
        <f>"9780525559474"</f>
        <v>9780525559474</v>
      </c>
      <c r="H440">
        <v>0</v>
      </c>
      <c r="I440">
        <v>3.99</v>
      </c>
      <c r="J440" t="s">
        <v>235</v>
      </c>
      <c r="K440" t="s">
        <v>48</v>
      </c>
      <c r="L440">
        <v>288</v>
      </c>
      <c r="M440">
        <v>2020</v>
      </c>
      <c r="N440">
        <v>2020</v>
      </c>
      <c r="P440" s="1">
        <v>45563</v>
      </c>
      <c r="Q440" t="s">
        <v>30</v>
      </c>
      <c r="R440" t="s">
        <v>1858</v>
      </c>
      <c r="S440" t="s">
        <v>30</v>
      </c>
      <c r="W440">
        <v>0</v>
      </c>
      <c r="X440">
        <v>0</v>
      </c>
      <c r="Y440" t="s">
        <v>38</v>
      </c>
    </row>
    <row r="441" spans="1:25" x14ac:dyDescent="0.35">
      <c r="A441">
        <v>209174390</v>
      </c>
      <c r="B441" t="s">
        <v>1859</v>
      </c>
      <c r="C441" t="s">
        <v>605</v>
      </c>
      <c r="D441" t="s">
        <v>606</v>
      </c>
      <c r="F441" t="str">
        <f>"0764244698"</f>
        <v>0764244698</v>
      </c>
      <c r="G441" t="str">
        <f>"9780764244698"</f>
        <v>9780764244698</v>
      </c>
      <c r="H441">
        <v>0</v>
      </c>
      <c r="I441">
        <v>3.48</v>
      </c>
      <c r="J441" t="s">
        <v>36</v>
      </c>
      <c r="K441" t="s">
        <v>29</v>
      </c>
      <c r="L441">
        <v>224</v>
      </c>
      <c r="M441">
        <v>2024</v>
      </c>
      <c r="N441">
        <v>2024</v>
      </c>
      <c r="P441" s="1">
        <v>45563</v>
      </c>
      <c r="Q441" t="s">
        <v>30</v>
      </c>
      <c r="R441" t="s">
        <v>1860</v>
      </c>
      <c r="S441" t="s">
        <v>30</v>
      </c>
      <c r="W441">
        <v>0</v>
      </c>
      <c r="X441">
        <v>0</v>
      </c>
      <c r="Y441" t="s">
        <v>38</v>
      </c>
    </row>
    <row r="442" spans="1:25" x14ac:dyDescent="0.35">
      <c r="A442">
        <v>6546</v>
      </c>
      <c r="B442" t="s">
        <v>1861</v>
      </c>
      <c r="C442" t="s">
        <v>1862</v>
      </c>
      <c r="D442" t="s">
        <v>1863</v>
      </c>
      <c r="F442" t="str">
        <f>"0345467329"</f>
        <v>0345467329</v>
      </c>
      <c r="G442" t="str">
        <f>"9780345467324"</f>
        <v>9780345467324</v>
      </c>
      <c r="H442">
        <v>0</v>
      </c>
      <c r="I442">
        <v>3.92</v>
      </c>
      <c r="J442" t="s">
        <v>1008</v>
      </c>
      <c r="K442" t="s">
        <v>228</v>
      </c>
      <c r="L442">
        <v>365</v>
      </c>
      <c r="M442">
        <v>2006</v>
      </c>
      <c r="N442">
        <v>2005</v>
      </c>
      <c r="P442" s="1">
        <v>45561</v>
      </c>
      <c r="Q442" t="s">
        <v>30</v>
      </c>
      <c r="R442" t="s">
        <v>1864</v>
      </c>
      <c r="S442" t="s">
        <v>30</v>
      </c>
      <c r="W442">
        <v>0</v>
      </c>
      <c r="X442">
        <v>0</v>
      </c>
      <c r="Y442" t="s">
        <v>38</v>
      </c>
    </row>
    <row r="443" spans="1:25" x14ac:dyDescent="0.35">
      <c r="A443">
        <v>352828</v>
      </c>
      <c r="B443" t="s">
        <v>1865</v>
      </c>
      <c r="C443" t="s">
        <v>1866</v>
      </c>
      <c r="D443" t="s">
        <v>1867</v>
      </c>
      <c r="F443" t="str">
        <f>"1590526791"</f>
        <v>1590526791</v>
      </c>
      <c r="G443" t="str">
        <f>"9781590526798"</f>
        <v>9781590526798</v>
      </c>
      <c r="H443">
        <v>0</v>
      </c>
      <c r="I443">
        <v>3.93</v>
      </c>
      <c r="J443" t="s">
        <v>28</v>
      </c>
      <c r="K443" t="s">
        <v>29</v>
      </c>
      <c r="L443">
        <v>160</v>
      </c>
      <c r="M443">
        <v>2006</v>
      </c>
      <c r="N443">
        <v>2001</v>
      </c>
      <c r="P443" s="1">
        <v>45561</v>
      </c>
      <c r="Q443" t="s">
        <v>30</v>
      </c>
      <c r="R443" t="s">
        <v>1868</v>
      </c>
      <c r="S443" t="s">
        <v>30</v>
      </c>
      <c r="W443">
        <v>0</v>
      </c>
      <c r="X443">
        <v>0</v>
      </c>
      <c r="Y443" t="s">
        <v>38</v>
      </c>
    </row>
    <row r="444" spans="1:25" x14ac:dyDescent="0.35">
      <c r="A444">
        <v>58018433</v>
      </c>
      <c r="B444" t="s">
        <v>1869</v>
      </c>
      <c r="C444" t="s">
        <v>446</v>
      </c>
      <c r="D444" t="s">
        <v>447</v>
      </c>
      <c r="F444" t="str">
        <f>"1922636002"</f>
        <v>1922636002</v>
      </c>
      <c r="G444" t="str">
        <f>"9781922636003"</f>
        <v>9781922636003</v>
      </c>
      <c r="H444">
        <v>0</v>
      </c>
      <c r="I444">
        <v>4.32</v>
      </c>
      <c r="J444" t="s">
        <v>448</v>
      </c>
      <c r="K444" t="s">
        <v>85</v>
      </c>
      <c r="L444">
        <v>298</v>
      </c>
      <c r="M444">
        <v>2021</v>
      </c>
      <c r="P444" s="1">
        <v>45558</v>
      </c>
      <c r="Q444" t="s">
        <v>30</v>
      </c>
      <c r="R444" t="s">
        <v>1870</v>
      </c>
      <c r="S444" t="s">
        <v>30</v>
      </c>
      <c r="W444">
        <v>0</v>
      </c>
      <c r="X444">
        <v>0</v>
      </c>
      <c r="Y444" t="s">
        <v>38</v>
      </c>
    </row>
    <row r="445" spans="1:25" x14ac:dyDescent="0.35">
      <c r="A445">
        <v>45308037</v>
      </c>
      <c r="B445" t="s">
        <v>1871</v>
      </c>
      <c r="C445" t="s">
        <v>1872</v>
      </c>
      <c r="D445" t="s">
        <v>1873</v>
      </c>
      <c r="F445" t="str">
        <f>"1488055327"</f>
        <v>1488055327</v>
      </c>
      <c r="G445" t="str">
        <f>"9781488055324"</f>
        <v>9781488055324</v>
      </c>
      <c r="H445">
        <v>0</v>
      </c>
      <c r="I445">
        <v>3.98</v>
      </c>
      <c r="J445" t="s">
        <v>1874</v>
      </c>
      <c r="K445" t="s">
        <v>85</v>
      </c>
      <c r="L445">
        <v>288</v>
      </c>
      <c r="M445">
        <v>2020</v>
      </c>
      <c r="N445">
        <v>2020</v>
      </c>
      <c r="P445" s="1">
        <v>45558</v>
      </c>
      <c r="Q445" t="s">
        <v>30</v>
      </c>
      <c r="R445" t="s">
        <v>1875</v>
      </c>
      <c r="S445" t="s">
        <v>30</v>
      </c>
      <c r="W445">
        <v>0</v>
      </c>
      <c r="X445">
        <v>0</v>
      </c>
      <c r="Y445" t="s">
        <v>38</v>
      </c>
    </row>
    <row r="446" spans="1:25" x14ac:dyDescent="0.35">
      <c r="A446">
        <v>31247061</v>
      </c>
      <c r="B446" t="s">
        <v>1876</v>
      </c>
      <c r="C446" t="s">
        <v>1877</v>
      </c>
      <c r="D446" t="s">
        <v>1878</v>
      </c>
      <c r="F446" t="str">
        <f>"0425282961"</f>
        <v>0425282961</v>
      </c>
      <c r="G446" t="str">
        <f>"9780425282960"</f>
        <v>9780425282960</v>
      </c>
      <c r="H446">
        <v>0</v>
      </c>
      <c r="I446">
        <v>4</v>
      </c>
      <c r="J446" t="s">
        <v>350</v>
      </c>
      <c r="K446" t="s">
        <v>228</v>
      </c>
      <c r="L446">
        <v>304</v>
      </c>
      <c r="M446">
        <v>2017</v>
      </c>
      <c r="N446">
        <v>2017</v>
      </c>
      <c r="P446" s="1">
        <v>45558</v>
      </c>
      <c r="Q446" t="s">
        <v>30</v>
      </c>
      <c r="R446" t="s">
        <v>1879</v>
      </c>
      <c r="S446" t="s">
        <v>30</v>
      </c>
      <c r="W446">
        <v>0</v>
      </c>
      <c r="X446">
        <v>0</v>
      </c>
      <c r="Y446" t="s">
        <v>38</v>
      </c>
    </row>
    <row r="447" spans="1:25" x14ac:dyDescent="0.35">
      <c r="A447">
        <v>25685803</v>
      </c>
      <c r="B447" t="s">
        <v>1880</v>
      </c>
      <c r="C447" t="s">
        <v>1877</v>
      </c>
      <c r="D447" t="s">
        <v>1878</v>
      </c>
      <c r="F447" t="str">
        <f>"0425282953"</f>
        <v>0425282953</v>
      </c>
      <c r="G447" t="str">
        <f>"9780425282953"</f>
        <v>9780425282953</v>
      </c>
      <c r="H447">
        <v>0</v>
      </c>
      <c r="I447">
        <v>4.03</v>
      </c>
      <c r="J447" t="s">
        <v>350</v>
      </c>
      <c r="K447" t="s">
        <v>228</v>
      </c>
      <c r="L447">
        <v>304</v>
      </c>
      <c r="M447">
        <v>2016</v>
      </c>
      <c r="N447">
        <v>2016</v>
      </c>
      <c r="P447" s="1">
        <v>45558</v>
      </c>
      <c r="Q447" t="s">
        <v>30</v>
      </c>
      <c r="R447" t="s">
        <v>1881</v>
      </c>
      <c r="S447" t="s">
        <v>30</v>
      </c>
      <c r="W447">
        <v>0</v>
      </c>
      <c r="X447">
        <v>0</v>
      </c>
      <c r="Y447" t="s">
        <v>38</v>
      </c>
    </row>
    <row r="448" spans="1:25" x14ac:dyDescent="0.35">
      <c r="A448">
        <v>20949433</v>
      </c>
      <c r="B448" t="s">
        <v>1882</v>
      </c>
      <c r="C448" t="s">
        <v>1877</v>
      </c>
      <c r="D448" t="s">
        <v>1878</v>
      </c>
      <c r="F448" t="str">
        <f>"0425257770"</f>
        <v>0425257770</v>
      </c>
      <c r="G448" t="str">
        <f>"9780425257777"</f>
        <v>9780425257777</v>
      </c>
      <c r="H448">
        <v>0</v>
      </c>
      <c r="I448">
        <v>3.84</v>
      </c>
      <c r="J448" t="s">
        <v>350</v>
      </c>
      <c r="K448" t="s">
        <v>228</v>
      </c>
      <c r="L448">
        <v>304</v>
      </c>
      <c r="M448">
        <v>2014</v>
      </c>
      <c r="N448">
        <v>2014</v>
      </c>
      <c r="P448" s="1">
        <v>45558</v>
      </c>
      <c r="Q448" t="s">
        <v>30</v>
      </c>
      <c r="R448" t="s">
        <v>1883</v>
      </c>
      <c r="S448" t="s">
        <v>30</v>
      </c>
      <c r="W448">
        <v>0</v>
      </c>
      <c r="X448">
        <v>0</v>
      </c>
      <c r="Y448" t="s">
        <v>38</v>
      </c>
    </row>
    <row r="449" spans="1:25" x14ac:dyDescent="0.35">
      <c r="A449">
        <v>18210679</v>
      </c>
      <c r="B449" t="s">
        <v>1884</v>
      </c>
      <c r="C449" t="s">
        <v>1877</v>
      </c>
      <c r="D449" t="s">
        <v>1878</v>
      </c>
      <c r="F449" t="str">
        <f>"0425257762"</f>
        <v>0425257762</v>
      </c>
      <c r="G449" t="str">
        <f>"9780425257760"</f>
        <v>9780425257760</v>
      </c>
      <c r="H449">
        <v>0</v>
      </c>
      <c r="I449">
        <v>3.77</v>
      </c>
      <c r="J449" t="s">
        <v>350</v>
      </c>
      <c r="K449" t="s">
        <v>228</v>
      </c>
      <c r="L449">
        <v>304</v>
      </c>
      <c r="M449">
        <v>2014</v>
      </c>
      <c r="N449">
        <v>2014</v>
      </c>
      <c r="P449" s="1">
        <v>45558</v>
      </c>
      <c r="Q449" t="s">
        <v>30</v>
      </c>
      <c r="R449" t="s">
        <v>1885</v>
      </c>
      <c r="S449" t="s">
        <v>30</v>
      </c>
      <c r="W449">
        <v>0</v>
      </c>
      <c r="X449">
        <v>0</v>
      </c>
      <c r="Y449" t="s">
        <v>38</v>
      </c>
    </row>
    <row r="450" spans="1:25" x14ac:dyDescent="0.35">
      <c r="A450">
        <v>15810915</v>
      </c>
      <c r="B450" t="s">
        <v>1886</v>
      </c>
      <c r="C450" t="s">
        <v>1877</v>
      </c>
      <c r="D450" t="s">
        <v>1878</v>
      </c>
      <c r="F450" t="str">
        <f>"0425257754"</f>
        <v>0425257754</v>
      </c>
      <c r="G450" t="str">
        <f>"9780425257753"</f>
        <v>9780425257753</v>
      </c>
      <c r="H450">
        <v>0</v>
      </c>
      <c r="I450">
        <v>3.78</v>
      </c>
      <c r="J450" t="s">
        <v>350</v>
      </c>
      <c r="K450" t="s">
        <v>228</v>
      </c>
      <c r="L450">
        <v>282</v>
      </c>
      <c r="M450">
        <v>2013</v>
      </c>
      <c r="N450">
        <v>2013</v>
      </c>
      <c r="P450" s="1">
        <v>45558</v>
      </c>
      <c r="Q450" t="s">
        <v>30</v>
      </c>
      <c r="R450" t="s">
        <v>1887</v>
      </c>
      <c r="S450" t="s">
        <v>30</v>
      </c>
      <c r="W450">
        <v>0</v>
      </c>
      <c r="X450">
        <v>0</v>
      </c>
      <c r="Y450" t="s">
        <v>38</v>
      </c>
    </row>
    <row r="451" spans="1:25" x14ac:dyDescent="0.35">
      <c r="A451">
        <v>214974588</v>
      </c>
      <c r="B451" t="s">
        <v>1888</v>
      </c>
      <c r="C451" t="s">
        <v>548</v>
      </c>
      <c r="D451" t="s">
        <v>549</v>
      </c>
      <c r="F451" t="str">
        <f>"0764243799"</f>
        <v>0764243799</v>
      </c>
      <c r="G451" t="str">
        <f>"9780764243790"</f>
        <v>9780764243790</v>
      </c>
      <c r="H451">
        <v>0</v>
      </c>
      <c r="I451">
        <v>4.75</v>
      </c>
      <c r="J451" t="s">
        <v>36</v>
      </c>
      <c r="K451" t="s">
        <v>29</v>
      </c>
      <c r="L451">
        <v>352</v>
      </c>
      <c r="M451">
        <v>2025</v>
      </c>
      <c r="N451">
        <v>2025</v>
      </c>
      <c r="P451" s="1">
        <v>45556</v>
      </c>
      <c r="Q451" t="s">
        <v>30</v>
      </c>
      <c r="R451" t="s">
        <v>1889</v>
      </c>
      <c r="S451" t="s">
        <v>30</v>
      </c>
      <c r="W451">
        <v>0</v>
      </c>
      <c r="X451">
        <v>0</v>
      </c>
      <c r="Y451" t="s">
        <v>38</v>
      </c>
    </row>
    <row r="452" spans="1:25" x14ac:dyDescent="0.35">
      <c r="A452">
        <v>182094493</v>
      </c>
      <c r="B452" t="s">
        <v>1890</v>
      </c>
      <c r="C452" t="s">
        <v>548</v>
      </c>
      <c r="D452" t="s">
        <v>549</v>
      </c>
      <c r="F452" t="str">
        <f>"0764241451"</f>
        <v>0764241451</v>
      </c>
      <c r="G452" t="str">
        <f>"9780764241451"</f>
        <v>9780764241451</v>
      </c>
      <c r="H452">
        <v>0</v>
      </c>
      <c r="I452">
        <v>4.24</v>
      </c>
      <c r="J452" t="s">
        <v>36</v>
      </c>
      <c r="K452" t="s">
        <v>29</v>
      </c>
      <c r="L452">
        <v>368</v>
      </c>
      <c r="M452">
        <v>2024</v>
      </c>
      <c r="N452">
        <v>2024</v>
      </c>
      <c r="P452" s="1">
        <v>45556</v>
      </c>
      <c r="Q452" t="s">
        <v>30</v>
      </c>
      <c r="R452" t="s">
        <v>1891</v>
      </c>
      <c r="S452" t="s">
        <v>30</v>
      </c>
      <c r="W452">
        <v>0</v>
      </c>
      <c r="X452">
        <v>0</v>
      </c>
      <c r="Y452" t="s">
        <v>38</v>
      </c>
    </row>
    <row r="453" spans="1:25" x14ac:dyDescent="0.35">
      <c r="A453">
        <v>55654387</v>
      </c>
      <c r="B453" t="s">
        <v>1892</v>
      </c>
      <c r="C453" t="s">
        <v>548</v>
      </c>
      <c r="D453" t="s">
        <v>549</v>
      </c>
      <c r="F453" t="str">
        <f>""</f>
        <v/>
      </c>
      <c r="G453" t="str">
        <f>""</f>
        <v/>
      </c>
      <c r="H453">
        <v>0</v>
      </c>
      <c r="I453">
        <v>4.07</v>
      </c>
      <c r="J453" t="s">
        <v>36</v>
      </c>
      <c r="K453" t="s">
        <v>29</v>
      </c>
      <c r="L453">
        <v>352</v>
      </c>
      <c r="M453">
        <v>2021</v>
      </c>
      <c r="N453">
        <v>2021</v>
      </c>
      <c r="P453" s="1">
        <v>45556</v>
      </c>
      <c r="Q453" t="s">
        <v>30</v>
      </c>
      <c r="R453" t="s">
        <v>1893</v>
      </c>
      <c r="S453" t="s">
        <v>30</v>
      </c>
      <c r="W453">
        <v>0</v>
      </c>
      <c r="X453">
        <v>0</v>
      </c>
      <c r="Y453" t="s">
        <v>38</v>
      </c>
    </row>
    <row r="454" spans="1:25" x14ac:dyDescent="0.35">
      <c r="A454">
        <v>60324190</v>
      </c>
      <c r="B454" t="s">
        <v>1894</v>
      </c>
      <c r="C454" t="s">
        <v>548</v>
      </c>
      <c r="D454" t="s">
        <v>549</v>
      </c>
      <c r="F454" t="str">
        <f>"0764238337"</f>
        <v>0764238337</v>
      </c>
      <c r="G454" t="str">
        <f>"9780764238338"</f>
        <v>9780764238338</v>
      </c>
      <c r="H454">
        <v>0</v>
      </c>
      <c r="I454">
        <v>4.3</v>
      </c>
      <c r="J454" t="s">
        <v>36</v>
      </c>
      <c r="K454" t="s">
        <v>29</v>
      </c>
      <c r="L454">
        <v>384</v>
      </c>
      <c r="M454">
        <v>2022</v>
      </c>
      <c r="N454">
        <v>2022</v>
      </c>
      <c r="P454" s="1">
        <v>45556</v>
      </c>
      <c r="Q454" t="s">
        <v>30</v>
      </c>
      <c r="R454" t="s">
        <v>1895</v>
      </c>
      <c r="S454" t="s">
        <v>30</v>
      </c>
      <c r="W454">
        <v>0</v>
      </c>
      <c r="X454">
        <v>0</v>
      </c>
      <c r="Y454" t="s">
        <v>38</v>
      </c>
    </row>
    <row r="455" spans="1:25" x14ac:dyDescent="0.35">
      <c r="A455">
        <v>90203406</v>
      </c>
      <c r="B455" t="s">
        <v>1896</v>
      </c>
      <c r="C455" t="s">
        <v>548</v>
      </c>
      <c r="D455" t="s">
        <v>549</v>
      </c>
      <c r="F455" t="str">
        <f>"0764241443"</f>
        <v>0764241443</v>
      </c>
      <c r="G455" t="str">
        <f>"9780764241444"</f>
        <v>9780764241444</v>
      </c>
      <c r="H455">
        <v>0</v>
      </c>
      <c r="I455">
        <v>4.26</v>
      </c>
      <c r="J455" t="s">
        <v>36</v>
      </c>
      <c r="K455" t="s">
        <v>29</v>
      </c>
      <c r="L455">
        <v>379</v>
      </c>
      <c r="M455">
        <v>2023</v>
      </c>
      <c r="N455">
        <v>2023</v>
      </c>
      <c r="P455" s="1">
        <v>45556</v>
      </c>
      <c r="Q455" t="s">
        <v>30</v>
      </c>
      <c r="R455" t="s">
        <v>1897</v>
      </c>
      <c r="S455" t="s">
        <v>30</v>
      </c>
      <c r="W455">
        <v>0</v>
      </c>
      <c r="X455">
        <v>0</v>
      </c>
      <c r="Y455" t="s">
        <v>38</v>
      </c>
    </row>
    <row r="456" spans="1:25" x14ac:dyDescent="0.35">
      <c r="A456">
        <v>61140615</v>
      </c>
      <c r="B456" t="s">
        <v>1898</v>
      </c>
      <c r="C456" t="s">
        <v>548</v>
      </c>
      <c r="D456" t="s">
        <v>549</v>
      </c>
      <c r="F456" t="str">
        <f>"0764238345"</f>
        <v>0764238345</v>
      </c>
      <c r="G456" t="str">
        <f>"9780764238345"</f>
        <v>9780764238345</v>
      </c>
      <c r="H456">
        <v>0</v>
      </c>
      <c r="I456">
        <v>4.16</v>
      </c>
      <c r="J456" t="s">
        <v>36</v>
      </c>
      <c r="K456" t="s">
        <v>29</v>
      </c>
      <c r="L456">
        <v>384</v>
      </c>
      <c r="M456">
        <v>2023</v>
      </c>
      <c r="N456">
        <v>2023</v>
      </c>
      <c r="P456" s="1">
        <v>45556</v>
      </c>
      <c r="Q456" t="s">
        <v>30</v>
      </c>
      <c r="R456" t="s">
        <v>1899</v>
      </c>
      <c r="S456" t="s">
        <v>30</v>
      </c>
      <c r="W456">
        <v>0</v>
      </c>
      <c r="X456">
        <v>0</v>
      </c>
      <c r="Y456" t="s">
        <v>38</v>
      </c>
    </row>
    <row r="457" spans="1:25" x14ac:dyDescent="0.35">
      <c r="A457">
        <v>43887290</v>
      </c>
      <c r="B457" t="s">
        <v>1900</v>
      </c>
      <c r="C457" t="s">
        <v>548</v>
      </c>
      <c r="D457" t="s">
        <v>549</v>
      </c>
      <c r="F457" t="str">
        <f>"0764233882"</f>
        <v>0764233882</v>
      </c>
      <c r="G457" t="str">
        <f>"9780764233883"</f>
        <v>9780764233883</v>
      </c>
      <c r="H457">
        <v>0</v>
      </c>
      <c r="I457">
        <v>4.12</v>
      </c>
      <c r="J457" t="s">
        <v>36</v>
      </c>
      <c r="K457" t="s">
        <v>29</v>
      </c>
      <c r="L457">
        <v>378</v>
      </c>
      <c r="M457">
        <v>2019</v>
      </c>
      <c r="N457">
        <v>2019</v>
      </c>
      <c r="P457" s="1">
        <v>45556</v>
      </c>
      <c r="Q457" t="s">
        <v>30</v>
      </c>
      <c r="R457" t="s">
        <v>1901</v>
      </c>
      <c r="S457" t="s">
        <v>30</v>
      </c>
      <c r="W457">
        <v>0</v>
      </c>
      <c r="X457">
        <v>0</v>
      </c>
      <c r="Y457" t="s">
        <v>38</v>
      </c>
    </row>
    <row r="458" spans="1:25" x14ac:dyDescent="0.35">
      <c r="A458">
        <v>26</v>
      </c>
      <c r="B458" t="s">
        <v>1902</v>
      </c>
      <c r="C458" t="s">
        <v>1903</v>
      </c>
      <c r="D458" t="s">
        <v>1904</v>
      </c>
      <c r="F458" t="str">
        <f>"0060920084"</f>
        <v>0060920084</v>
      </c>
      <c r="G458" t="str">
        <f>"9780060920081"</f>
        <v>9780060920081</v>
      </c>
      <c r="H458">
        <v>0</v>
      </c>
      <c r="I458">
        <v>3.81</v>
      </c>
      <c r="J458" t="s">
        <v>662</v>
      </c>
      <c r="K458" t="s">
        <v>29</v>
      </c>
      <c r="L458">
        <v>299</v>
      </c>
      <c r="M458">
        <v>1990</v>
      </c>
      <c r="N458">
        <v>1989</v>
      </c>
      <c r="P458" s="1">
        <v>45555</v>
      </c>
      <c r="Q458" t="s">
        <v>30</v>
      </c>
      <c r="R458" t="s">
        <v>1905</v>
      </c>
      <c r="S458" t="s">
        <v>30</v>
      </c>
      <c r="W458">
        <v>0</v>
      </c>
      <c r="X458">
        <v>0</v>
      </c>
      <c r="Y458" t="s">
        <v>38</v>
      </c>
    </row>
    <row r="459" spans="1:25" x14ac:dyDescent="0.35">
      <c r="A459">
        <v>25</v>
      </c>
      <c r="B459" t="s">
        <v>1906</v>
      </c>
      <c r="C459" t="s">
        <v>1903</v>
      </c>
      <c r="D459" t="s">
        <v>1904</v>
      </c>
      <c r="F459" t="str">
        <f>"076790382X"</f>
        <v>076790382X</v>
      </c>
      <c r="G459" t="str">
        <f>"9780767903820"</f>
        <v>9780767903820</v>
      </c>
      <c r="H459">
        <v>0</v>
      </c>
      <c r="I459">
        <v>3.9</v>
      </c>
      <c r="J459" t="s">
        <v>1907</v>
      </c>
      <c r="K459" t="s">
        <v>29</v>
      </c>
      <c r="L459">
        <v>304</v>
      </c>
      <c r="M459">
        <v>2000</v>
      </c>
      <c r="N459">
        <v>1998</v>
      </c>
      <c r="P459" s="1">
        <v>45555</v>
      </c>
      <c r="Q459" t="s">
        <v>30</v>
      </c>
      <c r="R459" t="s">
        <v>1908</v>
      </c>
      <c r="S459" t="s">
        <v>30</v>
      </c>
      <c r="W459">
        <v>0</v>
      </c>
      <c r="X459">
        <v>0</v>
      </c>
      <c r="Y459" t="s">
        <v>38</v>
      </c>
    </row>
    <row r="460" spans="1:25" x14ac:dyDescent="0.35">
      <c r="A460">
        <v>201170355</v>
      </c>
      <c r="B460" t="s">
        <v>1909</v>
      </c>
      <c r="C460" t="s">
        <v>1910</v>
      </c>
      <c r="D460" t="s">
        <v>1911</v>
      </c>
      <c r="F460" t="str">
        <f>""</f>
        <v/>
      </c>
      <c r="G460" t="str">
        <f>"9798886051186"</f>
        <v>9798886051186</v>
      </c>
      <c r="H460">
        <v>0</v>
      </c>
      <c r="I460">
        <v>4.29</v>
      </c>
      <c r="J460" t="s">
        <v>113</v>
      </c>
      <c r="K460" t="s">
        <v>48</v>
      </c>
      <c r="L460">
        <v>320</v>
      </c>
      <c r="M460">
        <v>2024</v>
      </c>
      <c r="P460" s="1">
        <v>45555</v>
      </c>
      <c r="Q460" t="s">
        <v>30</v>
      </c>
      <c r="R460" t="s">
        <v>1912</v>
      </c>
      <c r="S460" t="s">
        <v>30</v>
      </c>
      <c r="W460">
        <v>0</v>
      </c>
      <c r="X460">
        <v>0</v>
      </c>
      <c r="Y460" t="s">
        <v>38</v>
      </c>
    </row>
    <row r="461" spans="1:25" x14ac:dyDescent="0.35">
      <c r="A461">
        <v>63868668</v>
      </c>
      <c r="B461" t="s">
        <v>1913</v>
      </c>
      <c r="C461" t="s">
        <v>1910</v>
      </c>
      <c r="D461" t="s">
        <v>1911</v>
      </c>
      <c r="F461" t="str">
        <f>""</f>
        <v/>
      </c>
      <c r="G461" t="str">
        <f>"9798886050424"</f>
        <v>9798886050424</v>
      </c>
      <c r="H461">
        <v>0</v>
      </c>
      <c r="I461">
        <v>4.17</v>
      </c>
      <c r="J461" t="s">
        <v>113</v>
      </c>
      <c r="K461" t="s">
        <v>48</v>
      </c>
      <c r="L461">
        <v>288</v>
      </c>
      <c r="M461">
        <v>2023</v>
      </c>
      <c r="P461" s="1">
        <v>45555</v>
      </c>
      <c r="Q461" t="s">
        <v>30</v>
      </c>
      <c r="R461" t="s">
        <v>1914</v>
      </c>
      <c r="S461" t="s">
        <v>30</v>
      </c>
      <c r="W461">
        <v>0</v>
      </c>
      <c r="X461">
        <v>0</v>
      </c>
      <c r="Y461" t="s">
        <v>38</v>
      </c>
    </row>
    <row r="462" spans="1:25" x14ac:dyDescent="0.35">
      <c r="A462">
        <v>59606874</v>
      </c>
      <c r="B462" t="s">
        <v>1915</v>
      </c>
      <c r="C462" t="s">
        <v>1910</v>
      </c>
      <c r="D462" t="s">
        <v>1911</v>
      </c>
      <c r="F462" t="str">
        <f>"1621842304"</f>
        <v>1621842304</v>
      </c>
      <c r="G462" t="str">
        <f>"9781621842309"</f>
        <v>9781621842309</v>
      </c>
      <c r="H462">
        <v>0</v>
      </c>
      <c r="I462">
        <v>4.2</v>
      </c>
      <c r="J462" t="s">
        <v>113</v>
      </c>
      <c r="K462" t="s">
        <v>48</v>
      </c>
      <c r="L462">
        <v>304</v>
      </c>
      <c r="M462">
        <v>2022</v>
      </c>
      <c r="N462">
        <v>2022</v>
      </c>
      <c r="P462" s="1">
        <v>45555</v>
      </c>
      <c r="Q462" t="s">
        <v>30</v>
      </c>
      <c r="R462" t="s">
        <v>1916</v>
      </c>
      <c r="S462" t="s">
        <v>30</v>
      </c>
      <c r="W462">
        <v>0</v>
      </c>
      <c r="X462">
        <v>0</v>
      </c>
      <c r="Y462" t="s">
        <v>38</v>
      </c>
    </row>
    <row r="463" spans="1:25" x14ac:dyDescent="0.35">
      <c r="A463">
        <v>198663103</v>
      </c>
      <c r="B463" t="s">
        <v>1917</v>
      </c>
      <c r="C463" t="s">
        <v>1918</v>
      </c>
      <c r="D463" t="s">
        <v>1919</v>
      </c>
      <c r="E463" t="s">
        <v>1920</v>
      </c>
      <c r="F463" t="str">
        <f>"1433590972"</f>
        <v>1433590972</v>
      </c>
      <c r="G463" t="str">
        <f>"9781433590979"</f>
        <v>9781433590979</v>
      </c>
      <c r="H463">
        <v>0</v>
      </c>
      <c r="I463">
        <v>4.5199999999999996</v>
      </c>
      <c r="J463" t="s">
        <v>1503</v>
      </c>
      <c r="K463" t="s">
        <v>29</v>
      </c>
      <c r="L463">
        <v>152</v>
      </c>
      <c r="M463">
        <v>2024</v>
      </c>
      <c r="P463" s="1">
        <v>45555</v>
      </c>
      <c r="Q463" t="s">
        <v>30</v>
      </c>
      <c r="R463" t="s">
        <v>1921</v>
      </c>
      <c r="S463" t="s">
        <v>30</v>
      </c>
      <c r="W463">
        <v>0</v>
      </c>
      <c r="X463">
        <v>0</v>
      </c>
      <c r="Y463" t="s">
        <v>122</v>
      </c>
    </row>
    <row r="464" spans="1:25" x14ac:dyDescent="0.35">
      <c r="A464">
        <v>57945316</v>
      </c>
      <c r="B464" t="s">
        <v>1922</v>
      </c>
      <c r="C464" t="s">
        <v>1923</v>
      </c>
      <c r="D464" t="s">
        <v>1924</v>
      </c>
      <c r="F464" t="str">
        <f>"0063021420"</f>
        <v>0063021420</v>
      </c>
      <c r="G464" t="str">
        <f>"9780063021426"</f>
        <v>9780063021426</v>
      </c>
      <c r="H464">
        <v>0</v>
      </c>
      <c r="I464">
        <v>4.17</v>
      </c>
      <c r="J464" t="s">
        <v>119</v>
      </c>
      <c r="K464" t="s">
        <v>48</v>
      </c>
      <c r="L464">
        <v>544</v>
      </c>
      <c r="M464">
        <v>2022</v>
      </c>
      <c r="N464">
        <v>2022</v>
      </c>
      <c r="P464" s="1">
        <v>45555</v>
      </c>
      <c r="Q464" t="s">
        <v>30</v>
      </c>
      <c r="R464" t="s">
        <v>1925</v>
      </c>
      <c r="S464" t="s">
        <v>30</v>
      </c>
      <c r="W464">
        <v>0</v>
      </c>
      <c r="X464">
        <v>0</v>
      </c>
      <c r="Y464" t="s">
        <v>38</v>
      </c>
    </row>
    <row r="465" spans="1:25" x14ac:dyDescent="0.35">
      <c r="A465">
        <v>55333938</v>
      </c>
      <c r="B465" t="s">
        <v>1926</v>
      </c>
      <c r="C465" t="s">
        <v>433</v>
      </c>
      <c r="D465" t="s">
        <v>434</v>
      </c>
      <c r="E465" t="s">
        <v>1927</v>
      </c>
      <c r="F465" t="str">
        <f>""</f>
        <v/>
      </c>
      <c r="G465" t="str">
        <f>""</f>
        <v/>
      </c>
      <c r="H465">
        <v>0</v>
      </c>
      <c r="I465">
        <v>4.05</v>
      </c>
      <c r="J465" t="s">
        <v>1928</v>
      </c>
      <c r="K465" t="s">
        <v>48</v>
      </c>
      <c r="L465">
        <v>341</v>
      </c>
      <c r="M465">
        <v>2021</v>
      </c>
      <c r="N465">
        <v>2021</v>
      </c>
      <c r="P465" s="1">
        <v>45555</v>
      </c>
      <c r="Q465" t="s">
        <v>30</v>
      </c>
      <c r="R465" t="s">
        <v>1929</v>
      </c>
      <c r="S465" t="s">
        <v>30</v>
      </c>
      <c r="W465">
        <v>0</v>
      </c>
      <c r="X465">
        <v>0</v>
      </c>
      <c r="Y465" t="s">
        <v>38</v>
      </c>
    </row>
    <row r="466" spans="1:25" x14ac:dyDescent="0.35">
      <c r="A466">
        <v>127305853</v>
      </c>
      <c r="B466" t="s">
        <v>1930</v>
      </c>
      <c r="C466" t="s">
        <v>1145</v>
      </c>
      <c r="D466" t="s">
        <v>1146</v>
      </c>
      <c r="F466" t="str">
        <f>"1250178630"</f>
        <v>1250178630</v>
      </c>
      <c r="G466" t="str">
        <f>"9781250178633"</f>
        <v>9781250178633</v>
      </c>
      <c r="H466">
        <v>0</v>
      </c>
      <c r="I466">
        <v>4.62</v>
      </c>
      <c r="J466" t="s">
        <v>878</v>
      </c>
      <c r="K466" t="s">
        <v>48</v>
      </c>
      <c r="L466">
        <v>471</v>
      </c>
      <c r="M466">
        <v>2024</v>
      </c>
      <c r="N466">
        <v>2024</v>
      </c>
      <c r="P466" s="1">
        <v>45555</v>
      </c>
      <c r="Q466" t="s">
        <v>30</v>
      </c>
      <c r="R466" t="s">
        <v>1931</v>
      </c>
      <c r="S466" t="s">
        <v>30</v>
      </c>
      <c r="W466">
        <v>0</v>
      </c>
      <c r="X466">
        <v>0</v>
      </c>
      <c r="Y466" t="s">
        <v>38</v>
      </c>
    </row>
    <row r="467" spans="1:25" x14ac:dyDescent="0.35">
      <c r="A467">
        <v>11925514</v>
      </c>
      <c r="B467" t="s">
        <v>1932</v>
      </c>
      <c r="C467" t="s">
        <v>1933</v>
      </c>
      <c r="D467" t="s">
        <v>1934</v>
      </c>
      <c r="F467" t="str">
        <f>"1405258217"</f>
        <v>1405258217</v>
      </c>
      <c r="G467" t="str">
        <f>"9781405258210"</f>
        <v>9781405258210</v>
      </c>
      <c r="H467">
        <v>0</v>
      </c>
      <c r="I467">
        <v>4.01</v>
      </c>
      <c r="J467" t="s">
        <v>1935</v>
      </c>
      <c r="K467" t="s">
        <v>29</v>
      </c>
      <c r="L467">
        <v>452</v>
      </c>
      <c r="M467">
        <v>2012</v>
      </c>
      <c r="N467">
        <v>2012</v>
      </c>
      <c r="P467" s="1">
        <v>45555</v>
      </c>
      <c r="Q467" t="s">
        <v>30</v>
      </c>
      <c r="R467" t="s">
        <v>1936</v>
      </c>
      <c r="S467" t="s">
        <v>30</v>
      </c>
      <c r="W467">
        <v>0</v>
      </c>
      <c r="X467">
        <v>0</v>
      </c>
      <c r="Y467" t="s">
        <v>38</v>
      </c>
    </row>
    <row r="468" spans="1:25" x14ac:dyDescent="0.35">
      <c r="A468">
        <v>43641</v>
      </c>
      <c r="B468" t="s">
        <v>1937</v>
      </c>
      <c r="C468" t="s">
        <v>1938</v>
      </c>
      <c r="D468" t="s">
        <v>1939</v>
      </c>
      <c r="F468" t="str">
        <f>"1565125606"</f>
        <v>1565125606</v>
      </c>
      <c r="G468" t="str">
        <f>"9781565125605"</f>
        <v>9781565125605</v>
      </c>
      <c r="H468">
        <v>0</v>
      </c>
      <c r="I468">
        <v>4.1100000000000003</v>
      </c>
      <c r="J468" t="s">
        <v>1577</v>
      </c>
      <c r="K468" t="s">
        <v>29</v>
      </c>
      <c r="L468">
        <v>368</v>
      </c>
      <c r="M468">
        <v>2007</v>
      </c>
      <c r="N468">
        <v>2006</v>
      </c>
      <c r="P468" s="1">
        <v>45555</v>
      </c>
      <c r="Q468" t="s">
        <v>30</v>
      </c>
      <c r="R468" t="s">
        <v>1940</v>
      </c>
      <c r="S468" t="s">
        <v>30</v>
      </c>
      <c r="W468">
        <v>0</v>
      </c>
      <c r="X468">
        <v>0</v>
      </c>
      <c r="Y468" t="s">
        <v>38</v>
      </c>
    </row>
    <row r="469" spans="1:25" x14ac:dyDescent="0.35">
      <c r="A469">
        <v>34051011</v>
      </c>
      <c r="B469" t="s">
        <v>1941</v>
      </c>
      <c r="C469" t="s">
        <v>1942</v>
      </c>
      <c r="D469" t="s">
        <v>1943</v>
      </c>
      <c r="F469" t="str">
        <f>""</f>
        <v/>
      </c>
      <c r="G469" t="str">
        <f>""</f>
        <v/>
      </c>
      <c r="H469">
        <v>0</v>
      </c>
      <c r="I469">
        <v>4.34</v>
      </c>
      <c r="J469" t="s">
        <v>1295</v>
      </c>
      <c r="K469" t="s">
        <v>85</v>
      </c>
      <c r="L469">
        <v>496</v>
      </c>
      <c r="M469">
        <v>2017</v>
      </c>
      <c r="N469">
        <v>2017</v>
      </c>
      <c r="P469" s="1">
        <v>45555</v>
      </c>
      <c r="Q469" t="s">
        <v>30</v>
      </c>
      <c r="R469" t="s">
        <v>1944</v>
      </c>
      <c r="S469" t="s">
        <v>30</v>
      </c>
      <c r="W469">
        <v>0</v>
      </c>
      <c r="X469">
        <v>0</v>
      </c>
      <c r="Y469" t="s">
        <v>38</v>
      </c>
    </row>
    <row r="470" spans="1:25" x14ac:dyDescent="0.35">
      <c r="A470">
        <v>8127</v>
      </c>
      <c r="B470" t="s">
        <v>1945</v>
      </c>
      <c r="C470" t="s">
        <v>1826</v>
      </c>
      <c r="D470" t="s">
        <v>1827</v>
      </c>
      <c r="F470" t="str">
        <f>"0451528824"</f>
        <v>0451528824</v>
      </c>
      <c r="G470" t="str">
        <f>"9780451528827"</f>
        <v>9780451528827</v>
      </c>
      <c r="H470">
        <v>0</v>
      </c>
      <c r="I470">
        <v>4.32</v>
      </c>
      <c r="J470" t="s">
        <v>1946</v>
      </c>
      <c r="K470" t="s">
        <v>228</v>
      </c>
      <c r="L470">
        <v>320</v>
      </c>
      <c r="M470">
        <v>2003</v>
      </c>
      <c r="N470">
        <v>1908</v>
      </c>
      <c r="P470" s="1">
        <v>45555</v>
      </c>
      <c r="Q470" t="s">
        <v>30</v>
      </c>
      <c r="R470" t="s">
        <v>1947</v>
      </c>
      <c r="S470" t="s">
        <v>30</v>
      </c>
      <c r="W470">
        <v>0</v>
      </c>
      <c r="X470">
        <v>0</v>
      </c>
      <c r="Y470" t="s">
        <v>38</v>
      </c>
    </row>
    <row r="471" spans="1:25" x14ac:dyDescent="0.35">
      <c r="A471">
        <v>207567700</v>
      </c>
      <c r="B471" t="s">
        <v>1948</v>
      </c>
      <c r="C471" t="s">
        <v>1949</v>
      </c>
      <c r="D471" t="s">
        <v>1950</v>
      </c>
      <c r="F471" t="str">
        <f>"0316554731"</f>
        <v>0316554731</v>
      </c>
      <c r="G471" t="str">
        <f>"9780316554732"</f>
        <v>9780316554732</v>
      </c>
      <c r="H471">
        <v>0</v>
      </c>
      <c r="I471">
        <v>4.05</v>
      </c>
      <c r="J471" t="s">
        <v>185</v>
      </c>
      <c r="K471" t="s">
        <v>48</v>
      </c>
      <c r="L471">
        <v>244</v>
      </c>
      <c r="M471">
        <v>2024</v>
      </c>
      <c r="N471">
        <v>2024</v>
      </c>
      <c r="P471" s="1">
        <v>45554</v>
      </c>
      <c r="Q471" t="s">
        <v>30</v>
      </c>
      <c r="R471" t="s">
        <v>1951</v>
      </c>
      <c r="S471" t="s">
        <v>30</v>
      </c>
      <c r="W471">
        <v>0</v>
      </c>
      <c r="X471">
        <v>0</v>
      </c>
      <c r="Y471" t="s">
        <v>1952</v>
      </c>
    </row>
    <row r="472" spans="1:25" x14ac:dyDescent="0.35">
      <c r="A472">
        <v>87441237</v>
      </c>
      <c r="B472" t="s">
        <v>1953</v>
      </c>
      <c r="C472" t="s">
        <v>1954</v>
      </c>
      <c r="D472" t="s">
        <v>1955</v>
      </c>
      <c r="F472" t="str">
        <f>"1639104518"</f>
        <v>1639104518</v>
      </c>
      <c r="G472" t="str">
        <f>"9781639104512"</f>
        <v>9781639104512</v>
      </c>
      <c r="H472">
        <v>0</v>
      </c>
      <c r="I472">
        <v>4</v>
      </c>
      <c r="J472" t="s">
        <v>1956</v>
      </c>
      <c r="K472" t="s">
        <v>48</v>
      </c>
      <c r="L472">
        <v>288</v>
      </c>
      <c r="M472">
        <v>2023</v>
      </c>
      <c r="N472">
        <v>2023</v>
      </c>
      <c r="P472" s="1">
        <v>45554</v>
      </c>
      <c r="Q472" t="s">
        <v>30</v>
      </c>
      <c r="R472" t="s">
        <v>1957</v>
      </c>
      <c r="S472" t="s">
        <v>30</v>
      </c>
      <c r="W472">
        <v>0</v>
      </c>
      <c r="X472">
        <v>0</v>
      </c>
      <c r="Y472" t="s">
        <v>542</v>
      </c>
    </row>
    <row r="473" spans="1:25" x14ac:dyDescent="0.35">
      <c r="A473">
        <v>56706289</v>
      </c>
      <c r="B473" t="s">
        <v>1958</v>
      </c>
      <c r="C473" t="s">
        <v>1954</v>
      </c>
      <c r="D473" t="s">
        <v>1955</v>
      </c>
      <c r="F473" t="str">
        <f>"1643857762"</f>
        <v>1643857762</v>
      </c>
      <c r="G473" t="str">
        <f>"9781643857763"</f>
        <v>9781643857763</v>
      </c>
      <c r="H473">
        <v>0</v>
      </c>
      <c r="I473">
        <v>3.95</v>
      </c>
      <c r="J473" t="s">
        <v>1959</v>
      </c>
      <c r="K473" t="s">
        <v>48</v>
      </c>
      <c r="L473">
        <v>304</v>
      </c>
      <c r="M473">
        <v>2021</v>
      </c>
      <c r="N473">
        <v>2021</v>
      </c>
      <c r="P473" s="1">
        <v>45554</v>
      </c>
      <c r="Q473" t="s">
        <v>30</v>
      </c>
      <c r="R473" t="s">
        <v>1960</v>
      </c>
      <c r="S473" t="s">
        <v>30</v>
      </c>
      <c r="W473">
        <v>0</v>
      </c>
      <c r="X473">
        <v>0</v>
      </c>
      <c r="Y473" t="s">
        <v>542</v>
      </c>
    </row>
    <row r="474" spans="1:25" x14ac:dyDescent="0.35">
      <c r="A474">
        <v>37762870</v>
      </c>
      <c r="B474" t="s">
        <v>1961</v>
      </c>
      <c r="C474" t="s">
        <v>1954</v>
      </c>
      <c r="D474" t="s">
        <v>1955</v>
      </c>
      <c r="F474" t="str">
        <f>""</f>
        <v/>
      </c>
      <c r="G474" t="str">
        <f>""</f>
        <v/>
      </c>
      <c r="H474">
        <v>0</v>
      </c>
      <c r="I474">
        <v>3.91</v>
      </c>
      <c r="J474" t="s">
        <v>1959</v>
      </c>
      <c r="K474" t="s">
        <v>85</v>
      </c>
      <c r="L474">
        <v>309</v>
      </c>
      <c r="M474">
        <v>2018</v>
      </c>
      <c r="N474">
        <v>2018</v>
      </c>
      <c r="P474" s="1">
        <v>45554</v>
      </c>
      <c r="Q474" t="s">
        <v>30</v>
      </c>
      <c r="R474" t="s">
        <v>1962</v>
      </c>
      <c r="S474" t="s">
        <v>30</v>
      </c>
      <c r="W474">
        <v>0</v>
      </c>
      <c r="X474">
        <v>0</v>
      </c>
      <c r="Y474" t="s">
        <v>542</v>
      </c>
    </row>
    <row r="475" spans="1:25" x14ac:dyDescent="0.35">
      <c r="A475">
        <v>34507286</v>
      </c>
      <c r="B475" t="s">
        <v>1963</v>
      </c>
      <c r="C475" t="s">
        <v>1954</v>
      </c>
      <c r="D475" t="s">
        <v>1955</v>
      </c>
      <c r="F475" t="str">
        <f>"1683313178"</f>
        <v>1683313178</v>
      </c>
      <c r="G475" t="str">
        <f>"9781683313175"</f>
        <v>9781683313175</v>
      </c>
      <c r="H475">
        <v>0</v>
      </c>
      <c r="I475">
        <v>3.87</v>
      </c>
      <c r="J475" t="s">
        <v>1959</v>
      </c>
      <c r="K475" t="s">
        <v>48</v>
      </c>
      <c r="L475">
        <v>311</v>
      </c>
      <c r="M475">
        <v>2017</v>
      </c>
      <c r="N475">
        <v>2017</v>
      </c>
      <c r="P475" s="1">
        <v>45554</v>
      </c>
      <c r="Q475" t="s">
        <v>30</v>
      </c>
      <c r="R475" t="s">
        <v>1964</v>
      </c>
      <c r="S475" t="s">
        <v>30</v>
      </c>
      <c r="W475">
        <v>0</v>
      </c>
      <c r="X475">
        <v>0</v>
      </c>
      <c r="Y475" t="s">
        <v>542</v>
      </c>
    </row>
    <row r="476" spans="1:25" x14ac:dyDescent="0.35">
      <c r="A476">
        <v>2623</v>
      </c>
      <c r="B476" t="s">
        <v>1965</v>
      </c>
      <c r="C476" t="s">
        <v>1966</v>
      </c>
      <c r="D476" t="s">
        <v>1967</v>
      </c>
      <c r="E476" t="s">
        <v>1968</v>
      </c>
      <c r="F476" t="str">
        <f>"0192833596"</f>
        <v>0192833596</v>
      </c>
      <c r="G476" t="str">
        <f>"9780192833594"</f>
        <v>9780192833594</v>
      </c>
      <c r="H476">
        <v>0</v>
      </c>
      <c r="I476">
        <v>3.8</v>
      </c>
      <c r="J476" t="s">
        <v>1364</v>
      </c>
      <c r="K476" t="s">
        <v>29</v>
      </c>
      <c r="L476">
        <v>544</v>
      </c>
      <c r="M476">
        <v>1998</v>
      </c>
      <c r="N476">
        <v>1861</v>
      </c>
      <c r="P476" s="1">
        <v>45554</v>
      </c>
      <c r="Q476" t="s">
        <v>30</v>
      </c>
      <c r="R476" t="s">
        <v>1969</v>
      </c>
      <c r="S476" t="s">
        <v>30</v>
      </c>
      <c r="W476">
        <v>0</v>
      </c>
      <c r="X476">
        <v>0</v>
      </c>
      <c r="Y476" t="s">
        <v>38</v>
      </c>
    </row>
    <row r="477" spans="1:25" x14ac:dyDescent="0.35">
      <c r="A477">
        <v>181366295</v>
      </c>
      <c r="B477" t="s">
        <v>1970</v>
      </c>
      <c r="C477" t="s">
        <v>1971</v>
      </c>
      <c r="D477" t="s">
        <v>1972</v>
      </c>
      <c r="F477" t="str">
        <f>"0702265977"</f>
        <v>0702265977</v>
      </c>
      <c r="G477" t="str">
        <f>"9780702265976"</f>
        <v>9780702265976</v>
      </c>
      <c r="H477">
        <v>0</v>
      </c>
      <c r="I477">
        <v>3.69</v>
      </c>
      <c r="J477" t="s">
        <v>162</v>
      </c>
      <c r="K477" t="s">
        <v>29</v>
      </c>
      <c r="L477">
        <v>192</v>
      </c>
      <c r="M477">
        <v>2023</v>
      </c>
      <c r="N477">
        <v>1996</v>
      </c>
      <c r="P477" s="1">
        <v>45475</v>
      </c>
      <c r="Q477" t="s">
        <v>30</v>
      </c>
      <c r="R477" t="s">
        <v>1973</v>
      </c>
      <c r="S477" t="s">
        <v>30</v>
      </c>
      <c r="W477">
        <v>0</v>
      </c>
      <c r="X477">
        <v>0</v>
      </c>
      <c r="Y477" t="s">
        <v>38</v>
      </c>
    </row>
    <row r="478" spans="1:25" x14ac:dyDescent="0.35">
      <c r="A478">
        <v>9748274</v>
      </c>
      <c r="B478" t="s">
        <v>1974</v>
      </c>
      <c r="C478" t="s">
        <v>1966</v>
      </c>
      <c r="D478" t="s">
        <v>1967</v>
      </c>
      <c r="F478" t="str">
        <f>"0142196584"</f>
        <v>0142196584</v>
      </c>
      <c r="G478" t="str">
        <f>"9780142196588"</f>
        <v>9780142196588</v>
      </c>
      <c r="H478">
        <v>0</v>
      </c>
      <c r="I478">
        <v>4.0199999999999996</v>
      </c>
      <c r="J478" t="s">
        <v>1975</v>
      </c>
      <c r="K478" t="s">
        <v>29</v>
      </c>
      <c r="L478">
        <v>834</v>
      </c>
      <c r="M478">
        <v>2010</v>
      </c>
      <c r="N478">
        <v>1859</v>
      </c>
      <c r="P478" s="1">
        <v>45554</v>
      </c>
      <c r="Q478" t="s">
        <v>30</v>
      </c>
      <c r="R478" t="s">
        <v>1976</v>
      </c>
      <c r="S478" t="s">
        <v>30</v>
      </c>
      <c r="W478">
        <v>0</v>
      </c>
      <c r="X478">
        <v>0</v>
      </c>
      <c r="Y478" t="s">
        <v>38</v>
      </c>
    </row>
    <row r="479" spans="1:25" x14ac:dyDescent="0.35">
      <c r="A479">
        <v>102777361</v>
      </c>
      <c r="B479" t="s">
        <v>1977</v>
      </c>
      <c r="C479" t="s">
        <v>1978</v>
      </c>
      <c r="D479" t="s">
        <v>1979</v>
      </c>
      <c r="F479" t="str">
        <f>""</f>
        <v/>
      </c>
      <c r="G479" t="str">
        <f>""</f>
        <v/>
      </c>
      <c r="H479">
        <v>0</v>
      </c>
      <c r="I479">
        <v>4.03</v>
      </c>
      <c r="K479" t="s">
        <v>85</v>
      </c>
      <c r="L479">
        <v>368</v>
      </c>
      <c r="M479">
        <v>2023</v>
      </c>
      <c r="N479">
        <v>2023</v>
      </c>
      <c r="P479" s="1">
        <v>45554</v>
      </c>
      <c r="Q479" t="s">
        <v>30</v>
      </c>
      <c r="R479" t="s">
        <v>1980</v>
      </c>
      <c r="S479" t="s">
        <v>30</v>
      </c>
      <c r="W479">
        <v>0</v>
      </c>
      <c r="X479">
        <v>0</v>
      </c>
      <c r="Y479" t="s">
        <v>38</v>
      </c>
    </row>
    <row r="480" spans="1:25" x14ac:dyDescent="0.35">
      <c r="A480">
        <v>56970272</v>
      </c>
      <c r="B480" t="s">
        <v>1981</v>
      </c>
      <c r="C480" t="s">
        <v>1982</v>
      </c>
      <c r="D480" t="s">
        <v>1983</v>
      </c>
      <c r="F480" t="str">
        <f>"198483603X"</f>
        <v>198483603X</v>
      </c>
      <c r="G480" t="str">
        <f>"9781984836038"</f>
        <v>9781984836038</v>
      </c>
      <c r="H480">
        <v>0</v>
      </c>
      <c r="I480">
        <v>4.4000000000000004</v>
      </c>
      <c r="J480" t="s">
        <v>1975</v>
      </c>
      <c r="K480" t="s">
        <v>48</v>
      </c>
      <c r="L480">
        <v>321</v>
      </c>
      <c r="M480">
        <v>2022</v>
      </c>
      <c r="N480">
        <v>2022</v>
      </c>
      <c r="P480" s="1">
        <v>45554</v>
      </c>
      <c r="Q480" t="s">
        <v>30</v>
      </c>
      <c r="R480" t="s">
        <v>1984</v>
      </c>
      <c r="S480" t="s">
        <v>30</v>
      </c>
      <c r="W480">
        <v>0</v>
      </c>
      <c r="X480">
        <v>0</v>
      </c>
      <c r="Y480" t="s">
        <v>38</v>
      </c>
    </row>
    <row r="481" spans="1:25" x14ac:dyDescent="0.35">
      <c r="A481">
        <v>36347571</v>
      </c>
      <c r="B481" t="s">
        <v>1985</v>
      </c>
      <c r="C481" t="s">
        <v>548</v>
      </c>
      <c r="D481" t="s">
        <v>549</v>
      </c>
      <c r="F481" t="str">
        <f>"0764230298"</f>
        <v>0764230298</v>
      </c>
      <c r="G481" t="str">
        <f>"9780764230295"</f>
        <v>9780764230295</v>
      </c>
      <c r="H481">
        <v>0</v>
      </c>
      <c r="I481">
        <v>4.0999999999999996</v>
      </c>
      <c r="J481" t="s">
        <v>36</v>
      </c>
      <c r="K481" t="s">
        <v>29</v>
      </c>
      <c r="L481">
        <v>352</v>
      </c>
      <c r="M481">
        <v>2018</v>
      </c>
      <c r="N481">
        <v>2018</v>
      </c>
      <c r="P481" s="1">
        <v>45552</v>
      </c>
      <c r="Q481" t="s">
        <v>30</v>
      </c>
      <c r="R481" t="s">
        <v>1986</v>
      </c>
      <c r="S481" t="s">
        <v>30</v>
      </c>
      <c r="W481">
        <v>0</v>
      </c>
      <c r="X481">
        <v>0</v>
      </c>
      <c r="Y481" t="s">
        <v>38</v>
      </c>
    </row>
    <row r="482" spans="1:25" x14ac:dyDescent="0.35">
      <c r="A482">
        <v>91929067</v>
      </c>
      <c r="B482" t="s">
        <v>1987</v>
      </c>
      <c r="C482" t="s">
        <v>1988</v>
      </c>
      <c r="D482" t="s">
        <v>1989</v>
      </c>
      <c r="F482" t="str">
        <f>""</f>
        <v/>
      </c>
      <c r="G482" t="str">
        <f>"9798374886955"</f>
        <v>9798374886955</v>
      </c>
      <c r="H482">
        <v>0</v>
      </c>
      <c r="I482">
        <v>0</v>
      </c>
      <c r="J482" t="s">
        <v>1121</v>
      </c>
      <c r="K482" t="s">
        <v>29</v>
      </c>
      <c r="L482">
        <v>298</v>
      </c>
      <c r="M482">
        <v>2023</v>
      </c>
      <c r="P482" s="1">
        <v>45552</v>
      </c>
      <c r="Q482" t="s">
        <v>30</v>
      </c>
      <c r="R482" t="s">
        <v>1990</v>
      </c>
      <c r="S482" t="s">
        <v>30</v>
      </c>
      <c r="W482">
        <v>0</v>
      </c>
      <c r="X482">
        <v>0</v>
      </c>
      <c r="Y482" t="s">
        <v>38</v>
      </c>
    </row>
    <row r="483" spans="1:25" x14ac:dyDescent="0.35">
      <c r="A483">
        <v>51803082</v>
      </c>
      <c r="B483" t="s">
        <v>1991</v>
      </c>
      <c r="C483" t="s">
        <v>1992</v>
      </c>
      <c r="D483" t="s">
        <v>1993</v>
      </c>
      <c r="F483" t="str">
        <f>"1690871415"</f>
        <v>1690871415</v>
      </c>
      <c r="G483" t="str">
        <f>"9781690871415"</f>
        <v>9781690871415</v>
      </c>
      <c r="H483">
        <v>0</v>
      </c>
      <c r="I483">
        <v>4.24</v>
      </c>
      <c r="J483" t="s">
        <v>1994</v>
      </c>
      <c r="K483" t="s">
        <v>29</v>
      </c>
      <c r="L483">
        <v>275</v>
      </c>
      <c r="M483">
        <v>2019</v>
      </c>
      <c r="N483">
        <v>2019</v>
      </c>
      <c r="P483" s="1">
        <v>45551</v>
      </c>
      <c r="Q483" t="s">
        <v>30</v>
      </c>
      <c r="R483" t="s">
        <v>1995</v>
      </c>
      <c r="S483" t="s">
        <v>30</v>
      </c>
      <c r="W483">
        <v>0</v>
      </c>
      <c r="X483">
        <v>0</v>
      </c>
      <c r="Y483" t="s">
        <v>38</v>
      </c>
    </row>
    <row r="484" spans="1:25" x14ac:dyDescent="0.35">
      <c r="A484">
        <v>127464148</v>
      </c>
      <c r="B484" t="s">
        <v>1996</v>
      </c>
      <c r="C484" t="s">
        <v>1997</v>
      </c>
      <c r="D484" t="s">
        <v>1998</v>
      </c>
      <c r="F484" t="str">
        <f>"0593653459"</f>
        <v>0593653459</v>
      </c>
      <c r="G484" t="str">
        <f>"9780593653456"</f>
        <v>9780593653456</v>
      </c>
      <c r="H484">
        <v>0</v>
      </c>
      <c r="I484">
        <v>3.85</v>
      </c>
      <c r="J484" t="s">
        <v>235</v>
      </c>
      <c r="K484" t="s">
        <v>48</v>
      </c>
      <c r="L484">
        <v>320</v>
      </c>
      <c r="M484">
        <v>2024</v>
      </c>
      <c r="N484">
        <v>2024</v>
      </c>
      <c r="P484" s="1">
        <v>45551</v>
      </c>
      <c r="Q484" t="s">
        <v>30</v>
      </c>
      <c r="R484" t="s">
        <v>1999</v>
      </c>
      <c r="S484" t="s">
        <v>30</v>
      </c>
      <c r="W484">
        <v>0</v>
      </c>
      <c r="X484">
        <v>0</v>
      </c>
      <c r="Y484" t="s">
        <v>38</v>
      </c>
    </row>
    <row r="485" spans="1:25" x14ac:dyDescent="0.35">
      <c r="A485">
        <v>199396641</v>
      </c>
      <c r="B485" t="s">
        <v>2000</v>
      </c>
      <c r="C485" t="s">
        <v>2001</v>
      </c>
      <c r="D485" t="s">
        <v>2002</v>
      </c>
      <c r="E485" t="s">
        <v>2003</v>
      </c>
      <c r="F485" t="str">
        <f>"1335081178"</f>
        <v>1335081178</v>
      </c>
      <c r="G485" t="str">
        <f>"9781335081179"</f>
        <v>9781335081179</v>
      </c>
      <c r="H485">
        <v>0</v>
      </c>
      <c r="I485">
        <v>3.7</v>
      </c>
      <c r="J485" t="s">
        <v>1678</v>
      </c>
      <c r="K485" t="s">
        <v>48</v>
      </c>
      <c r="L485">
        <v>288</v>
      </c>
      <c r="M485">
        <v>2024</v>
      </c>
      <c r="N485">
        <v>2020</v>
      </c>
      <c r="P485" s="1">
        <v>45551</v>
      </c>
      <c r="Q485" t="s">
        <v>30</v>
      </c>
      <c r="R485" t="s">
        <v>2004</v>
      </c>
      <c r="S485" t="s">
        <v>30</v>
      </c>
      <c r="W485">
        <v>0</v>
      </c>
      <c r="X485">
        <v>0</v>
      </c>
      <c r="Y485" t="s">
        <v>38</v>
      </c>
    </row>
    <row r="486" spans="1:25" x14ac:dyDescent="0.35">
      <c r="A486">
        <v>60654349</v>
      </c>
      <c r="B486" t="s">
        <v>2005</v>
      </c>
      <c r="C486" t="s">
        <v>2006</v>
      </c>
      <c r="D486" t="s">
        <v>2007</v>
      </c>
      <c r="F486" t="str">
        <f>"125028080X"</f>
        <v>125028080X</v>
      </c>
      <c r="G486" t="str">
        <f>"9781250280800"</f>
        <v>9781250280800</v>
      </c>
      <c r="H486">
        <v>0</v>
      </c>
      <c r="I486">
        <v>4.07</v>
      </c>
      <c r="J486" t="s">
        <v>878</v>
      </c>
      <c r="K486" t="s">
        <v>48</v>
      </c>
      <c r="L486">
        <v>329</v>
      </c>
      <c r="M486">
        <v>2023</v>
      </c>
      <c r="N486">
        <v>2023</v>
      </c>
      <c r="P486" s="1">
        <v>45551</v>
      </c>
      <c r="Q486" t="s">
        <v>30</v>
      </c>
      <c r="R486" t="s">
        <v>2008</v>
      </c>
      <c r="S486" t="s">
        <v>30</v>
      </c>
      <c r="W486">
        <v>0</v>
      </c>
      <c r="X486">
        <v>0</v>
      </c>
      <c r="Y486" t="s">
        <v>32</v>
      </c>
    </row>
    <row r="487" spans="1:25" x14ac:dyDescent="0.35">
      <c r="A487">
        <v>112975105</v>
      </c>
      <c r="B487" t="s">
        <v>2009</v>
      </c>
      <c r="C487" t="s">
        <v>2010</v>
      </c>
      <c r="D487" t="s">
        <v>2011</v>
      </c>
      <c r="F487" t="str">
        <f>"0062406655"</f>
        <v>0062406655</v>
      </c>
      <c r="G487" t="str">
        <f>"9780062406651"</f>
        <v>9780062406651</v>
      </c>
      <c r="H487">
        <v>0</v>
      </c>
      <c r="I487">
        <v>4.57</v>
      </c>
      <c r="J487" t="s">
        <v>1552</v>
      </c>
      <c r="K487" t="s">
        <v>48</v>
      </c>
      <c r="L487">
        <v>333</v>
      </c>
      <c r="M487">
        <v>2023</v>
      </c>
      <c r="N487">
        <v>2023</v>
      </c>
      <c r="P487" s="1">
        <v>45550</v>
      </c>
      <c r="Q487" t="s">
        <v>30</v>
      </c>
      <c r="R487" t="s">
        <v>2012</v>
      </c>
      <c r="S487" t="s">
        <v>30</v>
      </c>
      <c r="W487">
        <v>0</v>
      </c>
      <c r="X487">
        <v>0</v>
      </c>
      <c r="Y487" t="s">
        <v>38</v>
      </c>
    </row>
    <row r="488" spans="1:25" x14ac:dyDescent="0.35">
      <c r="A488">
        <v>123257687</v>
      </c>
      <c r="B488" t="s">
        <v>2013</v>
      </c>
      <c r="C488" t="s">
        <v>2014</v>
      </c>
      <c r="D488" t="s">
        <v>2015</v>
      </c>
      <c r="F488" t="str">
        <f>"1649375808"</f>
        <v>1649375808</v>
      </c>
      <c r="G488" t="str">
        <f>"9781649375803"</f>
        <v>9781649375803</v>
      </c>
      <c r="H488">
        <v>0</v>
      </c>
      <c r="I488">
        <v>3.93</v>
      </c>
      <c r="J488" t="s">
        <v>2016</v>
      </c>
      <c r="K488" t="s">
        <v>29</v>
      </c>
      <c r="L488">
        <v>342</v>
      </c>
      <c r="M488">
        <v>2023</v>
      </c>
      <c r="N488">
        <v>2023</v>
      </c>
      <c r="P488" s="1">
        <v>45547</v>
      </c>
      <c r="Q488" t="s">
        <v>30</v>
      </c>
      <c r="R488" t="s">
        <v>2017</v>
      </c>
      <c r="S488" t="s">
        <v>30</v>
      </c>
      <c r="W488">
        <v>0</v>
      </c>
      <c r="X488">
        <v>0</v>
      </c>
      <c r="Y488" t="s">
        <v>38</v>
      </c>
    </row>
    <row r="489" spans="1:25" x14ac:dyDescent="0.35">
      <c r="A489">
        <v>62905733</v>
      </c>
      <c r="B489" t="s">
        <v>2018</v>
      </c>
      <c r="C489" t="s">
        <v>2019</v>
      </c>
      <c r="D489" t="s">
        <v>2020</v>
      </c>
      <c r="F489" t="str">
        <f>"1636095097"</f>
        <v>1636095097</v>
      </c>
      <c r="G489" t="str">
        <f>"9781636095097"</f>
        <v>9781636095097</v>
      </c>
      <c r="H489">
        <v>0</v>
      </c>
      <c r="I489">
        <v>4.18</v>
      </c>
      <c r="J489" t="s">
        <v>708</v>
      </c>
      <c r="K489" t="s">
        <v>85</v>
      </c>
      <c r="L489">
        <v>314</v>
      </c>
      <c r="M489">
        <v>2023</v>
      </c>
      <c r="N489">
        <v>2023</v>
      </c>
      <c r="P489" s="1">
        <v>45547</v>
      </c>
      <c r="Q489" t="s">
        <v>30</v>
      </c>
      <c r="R489" t="s">
        <v>2021</v>
      </c>
      <c r="S489" t="s">
        <v>30</v>
      </c>
      <c r="W489">
        <v>0</v>
      </c>
      <c r="X489">
        <v>0</v>
      </c>
      <c r="Y489" t="s">
        <v>32</v>
      </c>
    </row>
    <row r="490" spans="1:25" x14ac:dyDescent="0.35">
      <c r="A490">
        <v>29509441</v>
      </c>
      <c r="B490" t="s">
        <v>2022</v>
      </c>
      <c r="C490" t="s">
        <v>2019</v>
      </c>
      <c r="D490" t="s">
        <v>2020</v>
      </c>
      <c r="F490" t="str">
        <f>""</f>
        <v/>
      </c>
      <c r="G490" t="str">
        <f>""</f>
        <v/>
      </c>
      <c r="H490">
        <v>0</v>
      </c>
      <c r="I490">
        <v>4.2</v>
      </c>
      <c r="J490" t="s">
        <v>2023</v>
      </c>
      <c r="K490" t="s">
        <v>375</v>
      </c>
      <c r="L490">
        <v>260</v>
      </c>
      <c r="M490">
        <v>2016</v>
      </c>
      <c r="N490">
        <v>2018</v>
      </c>
      <c r="P490" s="1">
        <v>45547</v>
      </c>
      <c r="Q490" t="s">
        <v>30</v>
      </c>
      <c r="R490" t="s">
        <v>2024</v>
      </c>
      <c r="S490" t="s">
        <v>30</v>
      </c>
      <c r="W490">
        <v>0</v>
      </c>
      <c r="X490">
        <v>0</v>
      </c>
      <c r="Y490" t="s">
        <v>38</v>
      </c>
    </row>
    <row r="491" spans="1:25" x14ac:dyDescent="0.35">
      <c r="A491">
        <v>20665064</v>
      </c>
      <c r="B491" t="s">
        <v>2025</v>
      </c>
      <c r="C491" t="s">
        <v>1473</v>
      </c>
      <c r="D491" t="s">
        <v>1474</v>
      </c>
      <c r="F491" t="str">
        <f>"0764210718"</f>
        <v>0764210718</v>
      </c>
      <c r="G491" t="str">
        <f>"9780764210716"</f>
        <v>9780764210716</v>
      </c>
      <c r="H491">
        <v>0</v>
      </c>
      <c r="I491">
        <v>4.0599999999999996</v>
      </c>
      <c r="J491" t="s">
        <v>36</v>
      </c>
      <c r="K491" t="s">
        <v>29</v>
      </c>
      <c r="L491">
        <v>460</v>
      </c>
      <c r="M491">
        <v>2014</v>
      </c>
      <c r="N491">
        <v>2014</v>
      </c>
      <c r="P491" s="1">
        <v>45547</v>
      </c>
      <c r="Q491" t="s">
        <v>30</v>
      </c>
      <c r="R491" t="s">
        <v>2026</v>
      </c>
      <c r="S491" t="s">
        <v>30</v>
      </c>
      <c r="W491">
        <v>0</v>
      </c>
      <c r="X491">
        <v>0</v>
      </c>
      <c r="Y491" t="s">
        <v>38</v>
      </c>
    </row>
    <row r="492" spans="1:25" x14ac:dyDescent="0.35">
      <c r="A492">
        <v>61780919</v>
      </c>
      <c r="B492" t="s">
        <v>2027</v>
      </c>
      <c r="C492" t="s">
        <v>2028</v>
      </c>
      <c r="D492" t="s">
        <v>2029</v>
      </c>
      <c r="F492" t="str">
        <f>"1636093876"</f>
        <v>1636093876</v>
      </c>
      <c r="G492" t="str">
        <f>"9781636093871"</f>
        <v>9781636093871</v>
      </c>
      <c r="H492">
        <v>0</v>
      </c>
      <c r="I492">
        <v>4.3600000000000003</v>
      </c>
      <c r="J492" t="s">
        <v>708</v>
      </c>
      <c r="K492" t="s">
        <v>85</v>
      </c>
      <c r="L492">
        <v>323</v>
      </c>
      <c r="M492">
        <v>2022</v>
      </c>
      <c r="N492">
        <v>2022</v>
      </c>
      <c r="P492" s="1">
        <v>45547</v>
      </c>
      <c r="Q492" t="s">
        <v>30</v>
      </c>
      <c r="R492" t="s">
        <v>2030</v>
      </c>
      <c r="S492" t="s">
        <v>30</v>
      </c>
      <c r="W492">
        <v>0</v>
      </c>
      <c r="X492">
        <v>0</v>
      </c>
      <c r="Y492" t="s">
        <v>38</v>
      </c>
    </row>
    <row r="493" spans="1:25" x14ac:dyDescent="0.35">
      <c r="A493">
        <v>62996917</v>
      </c>
      <c r="B493" t="s">
        <v>2031</v>
      </c>
      <c r="C493" t="s">
        <v>2028</v>
      </c>
      <c r="D493" t="s">
        <v>2029</v>
      </c>
      <c r="F493" t="str">
        <f>"1636095909"</f>
        <v>1636095909</v>
      </c>
      <c r="G493" t="str">
        <f>"9781636095905"</f>
        <v>9781636095905</v>
      </c>
      <c r="H493">
        <v>0</v>
      </c>
      <c r="I493">
        <v>4.17</v>
      </c>
      <c r="J493" t="s">
        <v>708</v>
      </c>
      <c r="K493" t="s">
        <v>85</v>
      </c>
      <c r="L493">
        <v>323</v>
      </c>
      <c r="M493">
        <v>2023</v>
      </c>
      <c r="N493">
        <v>2023</v>
      </c>
      <c r="P493" s="1">
        <v>45547</v>
      </c>
      <c r="Q493" t="s">
        <v>30</v>
      </c>
      <c r="R493" t="s">
        <v>2032</v>
      </c>
      <c r="S493" t="s">
        <v>30</v>
      </c>
      <c r="W493">
        <v>0</v>
      </c>
      <c r="X493">
        <v>0</v>
      </c>
      <c r="Y493" t="s">
        <v>38</v>
      </c>
    </row>
    <row r="494" spans="1:25" x14ac:dyDescent="0.35">
      <c r="A494">
        <v>210445535</v>
      </c>
      <c r="B494" t="s">
        <v>2033</v>
      </c>
      <c r="C494" t="s">
        <v>2028</v>
      </c>
      <c r="D494" t="s">
        <v>2029</v>
      </c>
      <c r="F494" t="str">
        <f>"1636099289"</f>
        <v>1636099289</v>
      </c>
      <c r="G494" t="str">
        <f>"9781636099286"</f>
        <v>9781636099286</v>
      </c>
      <c r="H494">
        <v>0</v>
      </c>
      <c r="I494">
        <v>4.58</v>
      </c>
      <c r="J494" t="s">
        <v>708</v>
      </c>
      <c r="K494" t="s">
        <v>85</v>
      </c>
      <c r="L494">
        <v>364</v>
      </c>
      <c r="M494">
        <v>2024</v>
      </c>
      <c r="N494">
        <v>2024</v>
      </c>
      <c r="P494" s="1">
        <v>45547</v>
      </c>
      <c r="Q494" t="s">
        <v>30</v>
      </c>
      <c r="R494" t="s">
        <v>2034</v>
      </c>
      <c r="S494" t="s">
        <v>30</v>
      </c>
      <c r="W494">
        <v>0</v>
      </c>
      <c r="X494">
        <v>0</v>
      </c>
      <c r="Y494" t="s">
        <v>38</v>
      </c>
    </row>
    <row r="495" spans="1:25" x14ac:dyDescent="0.35">
      <c r="A495">
        <v>57136304</v>
      </c>
      <c r="B495" t="s">
        <v>2035</v>
      </c>
      <c r="C495" t="s">
        <v>2028</v>
      </c>
      <c r="D495" t="s">
        <v>2029</v>
      </c>
      <c r="F495" t="str">
        <f>"1643529544"</f>
        <v>1643529544</v>
      </c>
      <c r="G495" t="str">
        <f>"9781643529547"</f>
        <v>9781643529547</v>
      </c>
      <c r="H495">
        <v>0</v>
      </c>
      <c r="I495">
        <v>4.0199999999999996</v>
      </c>
      <c r="J495" t="s">
        <v>708</v>
      </c>
      <c r="K495" t="s">
        <v>29</v>
      </c>
      <c r="L495">
        <v>320</v>
      </c>
      <c r="M495">
        <v>2021</v>
      </c>
      <c r="N495">
        <v>2021</v>
      </c>
      <c r="P495" s="1">
        <v>45547</v>
      </c>
      <c r="Q495" t="s">
        <v>30</v>
      </c>
      <c r="R495" t="s">
        <v>2036</v>
      </c>
      <c r="S495" t="s">
        <v>30</v>
      </c>
      <c r="W495">
        <v>0</v>
      </c>
      <c r="X495">
        <v>0</v>
      </c>
      <c r="Y495" t="s">
        <v>38</v>
      </c>
    </row>
    <row r="496" spans="1:25" x14ac:dyDescent="0.35">
      <c r="A496">
        <v>15726371</v>
      </c>
      <c r="B496" t="s">
        <v>2037</v>
      </c>
      <c r="C496" t="s">
        <v>1473</v>
      </c>
      <c r="D496" t="s">
        <v>1474</v>
      </c>
      <c r="F496" t="str">
        <f>"0764210696"</f>
        <v>0764210696</v>
      </c>
      <c r="G496" t="str">
        <f>"9780764210693"</f>
        <v>9780764210693</v>
      </c>
      <c r="H496">
        <v>0</v>
      </c>
      <c r="I496">
        <v>4.08</v>
      </c>
      <c r="J496" t="s">
        <v>36</v>
      </c>
      <c r="K496" t="s">
        <v>29</v>
      </c>
      <c r="L496">
        <v>412</v>
      </c>
      <c r="M496">
        <v>2013</v>
      </c>
      <c r="N496">
        <v>2013</v>
      </c>
      <c r="P496" s="1">
        <v>45547</v>
      </c>
      <c r="Q496" t="s">
        <v>30</v>
      </c>
      <c r="R496" t="s">
        <v>2038</v>
      </c>
      <c r="S496" t="s">
        <v>30</v>
      </c>
      <c r="W496">
        <v>0</v>
      </c>
      <c r="X496">
        <v>0</v>
      </c>
      <c r="Y496" t="s">
        <v>38</v>
      </c>
    </row>
    <row r="497" spans="1:25" x14ac:dyDescent="0.35">
      <c r="A497">
        <v>53837403</v>
      </c>
      <c r="B497" t="s">
        <v>2039</v>
      </c>
      <c r="C497" t="s">
        <v>548</v>
      </c>
      <c r="D497" t="s">
        <v>549</v>
      </c>
      <c r="F497" t="str">
        <f>""</f>
        <v/>
      </c>
      <c r="G497" t="str">
        <f>""</f>
        <v/>
      </c>
      <c r="H497">
        <v>0</v>
      </c>
      <c r="I497">
        <v>4.05</v>
      </c>
      <c r="J497" t="s">
        <v>2040</v>
      </c>
      <c r="K497" t="s">
        <v>85</v>
      </c>
      <c r="L497">
        <v>393</v>
      </c>
      <c r="M497">
        <v>2020</v>
      </c>
      <c r="N497">
        <v>2020</v>
      </c>
      <c r="P497" s="1">
        <v>45547</v>
      </c>
      <c r="Q497" t="s">
        <v>30</v>
      </c>
      <c r="R497" t="s">
        <v>2041</v>
      </c>
      <c r="S497" t="s">
        <v>30</v>
      </c>
      <c r="W497">
        <v>0</v>
      </c>
      <c r="X497">
        <v>0</v>
      </c>
      <c r="Y497" t="s">
        <v>38</v>
      </c>
    </row>
    <row r="498" spans="1:25" x14ac:dyDescent="0.35">
      <c r="A498">
        <v>59892270</v>
      </c>
      <c r="B498" t="s">
        <v>2042</v>
      </c>
      <c r="C498" t="s">
        <v>2043</v>
      </c>
      <c r="D498" t="s">
        <v>2044</v>
      </c>
      <c r="F498" t="str">
        <f>"1643753061"</f>
        <v>1643753061</v>
      </c>
      <c r="G498" t="str">
        <f>"9781643753065"</f>
        <v>9781643753065</v>
      </c>
      <c r="H498">
        <v>0</v>
      </c>
      <c r="I498">
        <v>4.26</v>
      </c>
      <c r="J498" t="s">
        <v>185</v>
      </c>
      <c r="K498" t="s">
        <v>29</v>
      </c>
      <c r="L498">
        <v>368</v>
      </c>
      <c r="M498">
        <v>2022</v>
      </c>
      <c r="N498">
        <v>2021</v>
      </c>
      <c r="P498" s="1">
        <v>45547</v>
      </c>
      <c r="Q498" t="s">
        <v>30</v>
      </c>
      <c r="R498" t="s">
        <v>2045</v>
      </c>
      <c r="S498" t="s">
        <v>30</v>
      </c>
      <c r="W498">
        <v>0</v>
      </c>
      <c r="X498">
        <v>0</v>
      </c>
      <c r="Y498" t="s">
        <v>38</v>
      </c>
    </row>
    <row r="499" spans="1:25" x14ac:dyDescent="0.35">
      <c r="A499">
        <v>25614492</v>
      </c>
      <c r="B499" t="s">
        <v>2046</v>
      </c>
      <c r="C499" t="s">
        <v>1982</v>
      </c>
      <c r="D499" t="s">
        <v>1983</v>
      </c>
      <c r="F499" t="str">
        <f>""</f>
        <v/>
      </c>
      <c r="G499" t="str">
        <f>""</f>
        <v/>
      </c>
      <c r="H499">
        <v>0</v>
      </c>
      <c r="I499">
        <v>4.3499999999999996</v>
      </c>
      <c r="J499" t="s">
        <v>2047</v>
      </c>
      <c r="K499" t="s">
        <v>48</v>
      </c>
      <c r="L499">
        <v>391</v>
      </c>
      <c r="M499">
        <v>2016</v>
      </c>
      <c r="N499">
        <v>2016</v>
      </c>
      <c r="P499" s="1">
        <v>45546</v>
      </c>
      <c r="Q499" t="s">
        <v>30</v>
      </c>
      <c r="R499" t="s">
        <v>2048</v>
      </c>
      <c r="S499" t="s">
        <v>30</v>
      </c>
      <c r="W499">
        <v>0</v>
      </c>
      <c r="X499">
        <v>0</v>
      </c>
      <c r="Y499" t="s">
        <v>38</v>
      </c>
    </row>
    <row r="500" spans="1:25" x14ac:dyDescent="0.35">
      <c r="A500">
        <v>60864567</v>
      </c>
      <c r="B500" t="s">
        <v>2049</v>
      </c>
      <c r="C500" t="s">
        <v>1427</v>
      </c>
      <c r="D500" t="s">
        <v>1428</v>
      </c>
      <c r="F500" t="str">
        <f>""</f>
        <v/>
      </c>
      <c r="G500" t="str">
        <f>""</f>
        <v/>
      </c>
      <c r="H500">
        <v>0</v>
      </c>
      <c r="I500">
        <v>3.84</v>
      </c>
      <c r="J500" t="s">
        <v>2050</v>
      </c>
      <c r="K500" t="s">
        <v>2051</v>
      </c>
      <c r="M500">
        <v>2023</v>
      </c>
      <c r="N500">
        <v>2023</v>
      </c>
      <c r="P500" s="1">
        <v>45546</v>
      </c>
      <c r="Q500" t="s">
        <v>30</v>
      </c>
      <c r="R500" t="s">
        <v>2052</v>
      </c>
      <c r="S500" t="s">
        <v>30</v>
      </c>
      <c r="W500">
        <v>0</v>
      </c>
      <c r="X500">
        <v>0</v>
      </c>
      <c r="Y500" t="s">
        <v>38</v>
      </c>
    </row>
    <row r="501" spans="1:25" x14ac:dyDescent="0.35">
      <c r="A501">
        <v>49203364</v>
      </c>
      <c r="B501" t="s">
        <v>2053</v>
      </c>
      <c r="C501" t="s">
        <v>1427</v>
      </c>
      <c r="D501" t="s">
        <v>1428</v>
      </c>
      <c r="F501" t="str">
        <f>"0062854542"</f>
        <v>0062854542</v>
      </c>
      <c r="G501" t="str">
        <f>"9780062854544"</f>
        <v>9780062854544</v>
      </c>
      <c r="H501">
        <v>0</v>
      </c>
      <c r="I501">
        <v>3.9</v>
      </c>
      <c r="J501" t="s">
        <v>2054</v>
      </c>
      <c r="K501" t="s">
        <v>48</v>
      </c>
      <c r="L501">
        <v>356</v>
      </c>
      <c r="M501">
        <v>2020</v>
      </c>
      <c r="N501">
        <v>2020</v>
      </c>
      <c r="P501" s="1">
        <v>45546</v>
      </c>
      <c r="Q501" t="s">
        <v>30</v>
      </c>
      <c r="R501" t="s">
        <v>2055</v>
      </c>
      <c r="S501" t="s">
        <v>30</v>
      </c>
      <c r="W501">
        <v>0</v>
      </c>
      <c r="X501">
        <v>0</v>
      </c>
      <c r="Y501" t="s">
        <v>38</v>
      </c>
    </row>
    <row r="502" spans="1:25" x14ac:dyDescent="0.35">
      <c r="A502">
        <v>60877586</v>
      </c>
      <c r="B502" t="s">
        <v>2056</v>
      </c>
      <c r="C502" t="s">
        <v>1427</v>
      </c>
      <c r="D502" t="s">
        <v>1428</v>
      </c>
      <c r="F502" t="str">
        <f>"0063043327"</f>
        <v>0063043327</v>
      </c>
      <c r="G502" t="str">
        <f>"9780063043329"</f>
        <v>9780063043329</v>
      </c>
      <c r="H502">
        <v>0</v>
      </c>
      <c r="I502">
        <v>4.0199999999999996</v>
      </c>
      <c r="J502" t="s">
        <v>2054</v>
      </c>
      <c r="K502" t="s">
        <v>29</v>
      </c>
      <c r="L502">
        <v>368</v>
      </c>
      <c r="M502">
        <v>2023</v>
      </c>
      <c r="N502">
        <v>2021</v>
      </c>
      <c r="P502" s="1">
        <v>45546</v>
      </c>
      <c r="Q502" t="s">
        <v>30</v>
      </c>
      <c r="R502" t="s">
        <v>2057</v>
      </c>
      <c r="S502" t="s">
        <v>30</v>
      </c>
      <c r="W502">
        <v>0</v>
      </c>
      <c r="X502">
        <v>0</v>
      </c>
      <c r="Y502" t="s">
        <v>38</v>
      </c>
    </row>
    <row r="503" spans="1:25" x14ac:dyDescent="0.35">
      <c r="A503">
        <v>61150756</v>
      </c>
      <c r="B503" t="s">
        <v>2058</v>
      </c>
      <c r="C503" t="s">
        <v>1427</v>
      </c>
      <c r="D503" t="s">
        <v>1428</v>
      </c>
      <c r="F503" t="str">
        <f>"0063142627"</f>
        <v>0063142627</v>
      </c>
      <c r="G503" t="str">
        <f>"9780063142626"</f>
        <v>9780063142626</v>
      </c>
      <c r="H503">
        <v>0</v>
      </c>
      <c r="I503">
        <v>4.13</v>
      </c>
      <c r="J503" t="s">
        <v>2054</v>
      </c>
      <c r="K503" t="s">
        <v>48</v>
      </c>
      <c r="L503">
        <v>368</v>
      </c>
      <c r="M503">
        <v>2023</v>
      </c>
      <c r="N503">
        <v>2023</v>
      </c>
      <c r="P503" s="1">
        <v>45546</v>
      </c>
      <c r="Q503" t="s">
        <v>30</v>
      </c>
      <c r="R503" t="s">
        <v>2059</v>
      </c>
      <c r="S503" t="s">
        <v>30</v>
      </c>
      <c r="W503">
        <v>0</v>
      </c>
      <c r="X503">
        <v>0</v>
      </c>
      <c r="Y503" t="s">
        <v>38</v>
      </c>
    </row>
    <row r="504" spans="1:25" x14ac:dyDescent="0.35">
      <c r="A504">
        <v>37946414</v>
      </c>
      <c r="B504" t="s">
        <v>2060</v>
      </c>
      <c r="C504" t="s">
        <v>2061</v>
      </c>
      <c r="D504" t="s">
        <v>2062</v>
      </c>
      <c r="F504" t="str">
        <f>"031617663X"</f>
        <v>031617663X</v>
      </c>
      <c r="G504" t="str">
        <f>"9780316176637"</f>
        <v>9780316176637</v>
      </c>
      <c r="H504">
        <v>0</v>
      </c>
      <c r="I504">
        <v>3.49</v>
      </c>
      <c r="J504" t="s">
        <v>522</v>
      </c>
      <c r="K504" t="s">
        <v>48</v>
      </c>
      <c r="L504">
        <v>343</v>
      </c>
      <c r="M504">
        <v>2018</v>
      </c>
      <c r="N504">
        <v>2018</v>
      </c>
      <c r="P504" s="1">
        <v>45546</v>
      </c>
      <c r="Q504" t="s">
        <v>30</v>
      </c>
      <c r="R504" t="s">
        <v>2063</v>
      </c>
      <c r="S504" t="s">
        <v>30</v>
      </c>
      <c r="W504">
        <v>0</v>
      </c>
      <c r="X504">
        <v>0</v>
      </c>
      <c r="Y504" t="s">
        <v>38</v>
      </c>
    </row>
    <row r="505" spans="1:25" x14ac:dyDescent="0.35">
      <c r="A505">
        <v>62313333</v>
      </c>
      <c r="B505" t="s">
        <v>2064</v>
      </c>
      <c r="C505" t="s">
        <v>2065</v>
      </c>
      <c r="D505" t="s">
        <v>2066</v>
      </c>
      <c r="F505" t="str">
        <f>"0593440811"</f>
        <v>0593440811</v>
      </c>
      <c r="G505" t="str">
        <f>"9780593440810"</f>
        <v>9780593440810</v>
      </c>
      <c r="H505">
        <v>0</v>
      </c>
      <c r="I505">
        <v>4.18</v>
      </c>
      <c r="J505" t="s">
        <v>350</v>
      </c>
      <c r="K505" t="s">
        <v>29</v>
      </c>
      <c r="L505">
        <v>452</v>
      </c>
      <c r="M505">
        <v>2023</v>
      </c>
      <c r="N505">
        <v>2023</v>
      </c>
      <c r="P505" s="1">
        <v>45546</v>
      </c>
      <c r="Q505" t="s">
        <v>30</v>
      </c>
      <c r="R505" t="s">
        <v>2067</v>
      </c>
      <c r="S505" t="s">
        <v>30</v>
      </c>
      <c r="W505">
        <v>0</v>
      </c>
      <c r="X505">
        <v>0</v>
      </c>
      <c r="Y505" t="s">
        <v>38</v>
      </c>
    </row>
    <row r="506" spans="1:25" x14ac:dyDescent="0.35">
      <c r="A506">
        <v>212235145</v>
      </c>
      <c r="B506" t="s">
        <v>2068</v>
      </c>
      <c r="C506" t="s">
        <v>2069</v>
      </c>
      <c r="D506" t="s">
        <v>2070</v>
      </c>
      <c r="F506" t="str">
        <f>"1953372511"</f>
        <v>1953372511</v>
      </c>
      <c r="G506" t="str">
        <f>"9781953372512"</f>
        <v>9781953372512</v>
      </c>
      <c r="H506">
        <v>0</v>
      </c>
      <c r="I506">
        <v>4.66</v>
      </c>
      <c r="J506" t="s">
        <v>2069</v>
      </c>
      <c r="K506" t="s">
        <v>85</v>
      </c>
      <c r="L506">
        <v>341</v>
      </c>
      <c r="M506">
        <v>2024</v>
      </c>
      <c r="P506" s="1">
        <v>45544</v>
      </c>
      <c r="Q506" t="s">
        <v>30</v>
      </c>
      <c r="R506" t="s">
        <v>2071</v>
      </c>
      <c r="S506" t="s">
        <v>30</v>
      </c>
      <c r="W506">
        <v>0</v>
      </c>
      <c r="X506">
        <v>0</v>
      </c>
      <c r="Y506" t="s">
        <v>38</v>
      </c>
    </row>
    <row r="507" spans="1:25" x14ac:dyDescent="0.35">
      <c r="A507">
        <v>205665998</v>
      </c>
      <c r="B507" t="s">
        <v>2072</v>
      </c>
      <c r="C507" t="s">
        <v>785</v>
      </c>
      <c r="D507" t="s">
        <v>786</v>
      </c>
      <c r="F507" t="str">
        <f>""</f>
        <v/>
      </c>
      <c r="G507" t="str">
        <f>"9798886051384"</f>
        <v>9798886051384</v>
      </c>
      <c r="H507">
        <v>0</v>
      </c>
      <c r="I507">
        <v>4.43</v>
      </c>
      <c r="J507" t="s">
        <v>131</v>
      </c>
      <c r="K507" t="s">
        <v>48</v>
      </c>
      <c r="L507">
        <v>288</v>
      </c>
      <c r="M507">
        <v>2024</v>
      </c>
      <c r="P507" s="1">
        <v>45544</v>
      </c>
      <c r="Q507" t="s">
        <v>30</v>
      </c>
      <c r="R507" t="s">
        <v>2073</v>
      </c>
      <c r="S507" t="s">
        <v>30</v>
      </c>
      <c r="W507">
        <v>0</v>
      </c>
      <c r="X507">
        <v>0</v>
      </c>
      <c r="Y507" t="s">
        <v>32</v>
      </c>
    </row>
    <row r="508" spans="1:25" x14ac:dyDescent="0.35">
      <c r="A508">
        <v>54870105</v>
      </c>
      <c r="B508" t="s">
        <v>2074</v>
      </c>
      <c r="C508" t="s">
        <v>2075</v>
      </c>
      <c r="D508" t="s">
        <v>2076</v>
      </c>
      <c r="F508" t="str">
        <f>"0062691759"</f>
        <v>0062691759</v>
      </c>
      <c r="G508" t="str">
        <f>"9780062691750"</f>
        <v>9780062691750</v>
      </c>
      <c r="H508">
        <v>0</v>
      </c>
      <c r="I508">
        <v>4.1399999999999997</v>
      </c>
      <c r="J508" t="s">
        <v>731</v>
      </c>
      <c r="K508" t="s">
        <v>48</v>
      </c>
      <c r="L508">
        <v>288</v>
      </c>
      <c r="M508">
        <v>2021</v>
      </c>
      <c r="N508">
        <v>2021</v>
      </c>
      <c r="P508" s="1">
        <v>45543</v>
      </c>
      <c r="Q508" t="s">
        <v>30</v>
      </c>
      <c r="R508" t="s">
        <v>2077</v>
      </c>
      <c r="S508" t="s">
        <v>30</v>
      </c>
      <c r="W508">
        <v>0</v>
      </c>
      <c r="X508">
        <v>0</v>
      </c>
      <c r="Y508" t="s">
        <v>38</v>
      </c>
    </row>
    <row r="509" spans="1:25" x14ac:dyDescent="0.35">
      <c r="A509">
        <v>60059437</v>
      </c>
      <c r="B509" t="s">
        <v>2078</v>
      </c>
      <c r="C509" t="s">
        <v>2079</v>
      </c>
      <c r="D509" t="s">
        <v>2080</v>
      </c>
      <c r="F509" t="str">
        <f>"1621842142"</f>
        <v>1621842142</v>
      </c>
      <c r="G509" t="str">
        <f>"9781621842149"</f>
        <v>9781621842149</v>
      </c>
      <c r="H509">
        <v>0</v>
      </c>
      <c r="I509">
        <v>4.1500000000000004</v>
      </c>
      <c r="J509" t="s">
        <v>113</v>
      </c>
      <c r="K509" t="s">
        <v>48</v>
      </c>
      <c r="L509">
        <v>344</v>
      </c>
      <c r="M509">
        <v>2022</v>
      </c>
      <c r="N509">
        <v>2022</v>
      </c>
      <c r="P509" s="1">
        <v>45541</v>
      </c>
      <c r="Q509" t="s">
        <v>30</v>
      </c>
      <c r="R509" t="s">
        <v>2081</v>
      </c>
      <c r="S509" t="s">
        <v>30</v>
      </c>
      <c r="W509">
        <v>0</v>
      </c>
      <c r="X509">
        <v>0</v>
      </c>
      <c r="Y509" t="s">
        <v>38</v>
      </c>
    </row>
    <row r="510" spans="1:25" x14ac:dyDescent="0.35">
      <c r="A510">
        <v>12842828</v>
      </c>
      <c r="B510" t="s">
        <v>2082</v>
      </c>
      <c r="C510" t="s">
        <v>2083</v>
      </c>
      <c r="D510" t="s">
        <v>2084</v>
      </c>
      <c r="F510" t="str">
        <f>"1442445939"</f>
        <v>1442445939</v>
      </c>
      <c r="G510" t="str">
        <f>"9781442445932"</f>
        <v>9781442445932</v>
      </c>
      <c r="H510">
        <v>0</v>
      </c>
      <c r="I510">
        <v>4.4000000000000004</v>
      </c>
      <c r="J510" t="s">
        <v>540</v>
      </c>
      <c r="K510" t="s">
        <v>48</v>
      </c>
      <c r="L510">
        <v>496</v>
      </c>
      <c r="M510">
        <v>2012</v>
      </c>
      <c r="N510">
        <v>2012</v>
      </c>
      <c r="P510" s="1">
        <v>45541</v>
      </c>
      <c r="Q510" t="s">
        <v>30</v>
      </c>
      <c r="R510" t="s">
        <v>2085</v>
      </c>
      <c r="S510" t="s">
        <v>30</v>
      </c>
      <c r="W510">
        <v>0</v>
      </c>
      <c r="X510">
        <v>0</v>
      </c>
      <c r="Y510" t="s">
        <v>38</v>
      </c>
    </row>
    <row r="511" spans="1:25" x14ac:dyDescent="0.35">
      <c r="A511">
        <v>63898575</v>
      </c>
      <c r="B511" t="s">
        <v>2086</v>
      </c>
      <c r="C511" t="s">
        <v>2087</v>
      </c>
      <c r="D511" t="s">
        <v>2088</v>
      </c>
      <c r="F511" t="str">
        <f>""</f>
        <v/>
      </c>
      <c r="G511" t="str">
        <f>""</f>
        <v/>
      </c>
      <c r="H511">
        <v>0</v>
      </c>
      <c r="I511">
        <v>4.13</v>
      </c>
      <c r="J511" t="s">
        <v>2089</v>
      </c>
      <c r="K511" t="s">
        <v>85</v>
      </c>
      <c r="L511">
        <v>502</v>
      </c>
      <c r="M511">
        <v>2022</v>
      </c>
      <c r="P511" s="1">
        <v>45541</v>
      </c>
      <c r="Q511" t="s">
        <v>30</v>
      </c>
      <c r="R511" t="s">
        <v>2090</v>
      </c>
      <c r="S511" t="s">
        <v>30</v>
      </c>
      <c r="W511">
        <v>0</v>
      </c>
      <c r="X511">
        <v>0</v>
      </c>
      <c r="Y511" t="s">
        <v>38</v>
      </c>
    </row>
    <row r="512" spans="1:25" x14ac:dyDescent="0.35">
      <c r="A512">
        <v>55212757</v>
      </c>
      <c r="B512" t="s">
        <v>2091</v>
      </c>
      <c r="C512" t="s">
        <v>446</v>
      </c>
      <c r="D512" t="s">
        <v>447</v>
      </c>
      <c r="F512" t="str">
        <f>"1925898482"</f>
        <v>1925898482</v>
      </c>
      <c r="G512" t="str">
        <f>"9781925898484"</f>
        <v>9781925898484</v>
      </c>
      <c r="H512">
        <v>0</v>
      </c>
      <c r="I512">
        <v>3.99</v>
      </c>
      <c r="J512" t="s">
        <v>448</v>
      </c>
      <c r="K512" t="s">
        <v>85</v>
      </c>
      <c r="L512">
        <v>292</v>
      </c>
      <c r="M512">
        <v>2020</v>
      </c>
      <c r="N512">
        <v>2020</v>
      </c>
      <c r="P512" s="1">
        <v>45541</v>
      </c>
      <c r="Q512" t="s">
        <v>30</v>
      </c>
      <c r="R512" t="s">
        <v>2092</v>
      </c>
      <c r="S512" t="s">
        <v>30</v>
      </c>
      <c r="W512">
        <v>0</v>
      </c>
      <c r="X512">
        <v>0</v>
      </c>
      <c r="Y512" t="s">
        <v>38</v>
      </c>
    </row>
    <row r="513" spans="1:25" x14ac:dyDescent="0.35">
      <c r="A513">
        <v>21787</v>
      </c>
      <c r="B513" t="s">
        <v>2093</v>
      </c>
      <c r="C513" t="s">
        <v>2094</v>
      </c>
      <c r="D513" t="s">
        <v>2095</v>
      </c>
      <c r="F513" t="str">
        <f>"0345418263"</f>
        <v>0345418263</v>
      </c>
      <c r="G513" t="str">
        <f>"9780345418265"</f>
        <v>9780345418265</v>
      </c>
      <c r="H513">
        <v>5</v>
      </c>
      <c r="I513">
        <v>4.2699999999999996</v>
      </c>
      <c r="J513" t="s">
        <v>1008</v>
      </c>
      <c r="K513" t="s">
        <v>29</v>
      </c>
      <c r="L513">
        <v>429</v>
      </c>
      <c r="M513">
        <v>2003</v>
      </c>
      <c r="N513">
        <v>1973</v>
      </c>
      <c r="P513" s="1">
        <v>45541</v>
      </c>
      <c r="S513" t="s">
        <v>51</v>
      </c>
      <c r="W513">
        <v>1</v>
      </c>
      <c r="X513">
        <v>0</v>
      </c>
      <c r="Y513" t="s">
        <v>38</v>
      </c>
    </row>
    <row r="514" spans="1:25" x14ac:dyDescent="0.35">
      <c r="A514">
        <v>200488229</v>
      </c>
      <c r="B514" t="s">
        <v>2096</v>
      </c>
      <c r="C514" t="s">
        <v>2097</v>
      </c>
      <c r="D514" t="s">
        <v>2098</v>
      </c>
      <c r="F514" t="str">
        <f>"1496746147"</f>
        <v>1496746147</v>
      </c>
      <c r="G514" t="str">
        <f>"9781496746146"</f>
        <v>9781496746146</v>
      </c>
      <c r="H514">
        <v>0</v>
      </c>
      <c r="I514">
        <v>3.27</v>
      </c>
      <c r="J514" t="s">
        <v>808</v>
      </c>
      <c r="K514" t="s">
        <v>29</v>
      </c>
      <c r="L514">
        <v>256</v>
      </c>
      <c r="M514">
        <v>2024</v>
      </c>
      <c r="N514">
        <v>2024</v>
      </c>
      <c r="P514" s="1">
        <v>45541</v>
      </c>
      <c r="Q514" t="s">
        <v>30</v>
      </c>
      <c r="R514" t="s">
        <v>2099</v>
      </c>
      <c r="S514" t="s">
        <v>30</v>
      </c>
      <c r="W514">
        <v>0</v>
      </c>
      <c r="X514">
        <v>0</v>
      </c>
      <c r="Y514" t="s">
        <v>542</v>
      </c>
    </row>
    <row r="515" spans="1:25" x14ac:dyDescent="0.35">
      <c r="A515">
        <v>182093503</v>
      </c>
      <c r="B515" t="s">
        <v>2100</v>
      </c>
      <c r="C515" t="s">
        <v>2101</v>
      </c>
      <c r="D515" t="s">
        <v>2102</v>
      </c>
      <c r="F515" t="str">
        <f>"0800741196"</f>
        <v>0800741196</v>
      </c>
      <c r="G515" t="str">
        <f>"9780800741198"</f>
        <v>9780800741198</v>
      </c>
      <c r="H515">
        <v>0</v>
      </c>
      <c r="I515">
        <v>4.1500000000000004</v>
      </c>
      <c r="J515" t="s">
        <v>259</v>
      </c>
      <c r="K515" t="s">
        <v>29</v>
      </c>
      <c r="L515">
        <v>320</v>
      </c>
      <c r="M515">
        <v>2024</v>
      </c>
      <c r="N515">
        <v>2024</v>
      </c>
      <c r="P515" s="1">
        <v>45540</v>
      </c>
      <c r="Q515" t="s">
        <v>30</v>
      </c>
      <c r="R515" t="s">
        <v>2103</v>
      </c>
      <c r="S515" t="s">
        <v>30</v>
      </c>
      <c r="W515">
        <v>0</v>
      </c>
      <c r="X515">
        <v>0</v>
      </c>
      <c r="Y515" t="s">
        <v>38</v>
      </c>
    </row>
    <row r="516" spans="1:25" x14ac:dyDescent="0.35">
      <c r="A516">
        <v>216683403</v>
      </c>
      <c r="B516" t="s">
        <v>238</v>
      </c>
      <c r="C516" t="s">
        <v>257</v>
      </c>
      <c r="D516" t="s">
        <v>258</v>
      </c>
      <c r="F516" t="str">
        <f>"1964636078"</f>
        <v>1964636078</v>
      </c>
      <c r="G516" t="str">
        <f>"9781964636078"</f>
        <v>9781964636078</v>
      </c>
      <c r="H516">
        <v>0</v>
      </c>
      <c r="I516">
        <v>4.2</v>
      </c>
      <c r="J516" t="s">
        <v>2104</v>
      </c>
      <c r="K516" t="s">
        <v>85</v>
      </c>
      <c r="L516">
        <v>340</v>
      </c>
      <c r="M516">
        <v>2024</v>
      </c>
      <c r="N516">
        <v>2024</v>
      </c>
      <c r="P516" s="1">
        <v>45540</v>
      </c>
      <c r="Q516" t="s">
        <v>30</v>
      </c>
      <c r="R516" t="s">
        <v>2105</v>
      </c>
      <c r="S516" t="s">
        <v>30</v>
      </c>
      <c r="W516">
        <v>0</v>
      </c>
      <c r="X516">
        <v>0</v>
      </c>
      <c r="Y516" t="s">
        <v>38</v>
      </c>
    </row>
    <row r="517" spans="1:25" x14ac:dyDescent="0.35">
      <c r="A517">
        <v>40314</v>
      </c>
      <c r="B517" t="s">
        <v>2106</v>
      </c>
      <c r="C517" t="s">
        <v>2107</v>
      </c>
      <c r="D517" t="s">
        <v>2108</v>
      </c>
      <c r="F517" t="str">
        <f>"0060598840"</f>
        <v>0060598840</v>
      </c>
      <c r="G517" t="str">
        <f>"9780060598846"</f>
        <v>9780060598846</v>
      </c>
      <c r="H517">
        <v>0</v>
      </c>
      <c r="I517">
        <v>3.73</v>
      </c>
      <c r="J517" t="s">
        <v>2109</v>
      </c>
      <c r="K517" t="s">
        <v>228</v>
      </c>
      <c r="L517">
        <v>244</v>
      </c>
      <c r="M517">
        <v>2005</v>
      </c>
      <c r="N517">
        <v>1989</v>
      </c>
      <c r="P517" s="1">
        <v>45540</v>
      </c>
      <c r="Q517" t="s">
        <v>30</v>
      </c>
      <c r="R517" t="s">
        <v>2110</v>
      </c>
      <c r="S517" t="s">
        <v>30</v>
      </c>
      <c r="W517">
        <v>0</v>
      </c>
      <c r="X517">
        <v>0</v>
      </c>
      <c r="Y517" t="s">
        <v>38</v>
      </c>
    </row>
    <row r="518" spans="1:25" x14ac:dyDescent="0.35">
      <c r="A518">
        <v>60245567</v>
      </c>
      <c r="B518" t="s">
        <v>2111</v>
      </c>
      <c r="C518" t="s">
        <v>2112</v>
      </c>
      <c r="D518" t="s">
        <v>2113</v>
      </c>
      <c r="F518" t="str">
        <f>"0593483588"</f>
        <v>0593483588</v>
      </c>
      <c r="G518" t="str">
        <f>"9780593483589"</f>
        <v>9780593483589</v>
      </c>
      <c r="H518">
        <v>0</v>
      </c>
      <c r="I518">
        <v>3.89</v>
      </c>
      <c r="J518" t="s">
        <v>472</v>
      </c>
      <c r="K518" t="s">
        <v>48</v>
      </c>
      <c r="L518">
        <v>256</v>
      </c>
      <c r="M518">
        <v>2022</v>
      </c>
      <c r="N518">
        <v>2022</v>
      </c>
      <c r="P518" s="1">
        <v>45539</v>
      </c>
      <c r="Q518" t="s">
        <v>30</v>
      </c>
      <c r="R518" t="s">
        <v>2114</v>
      </c>
      <c r="S518" t="s">
        <v>30</v>
      </c>
      <c r="W518">
        <v>0</v>
      </c>
      <c r="X518">
        <v>0</v>
      </c>
      <c r="Y518" t="s">
        <v>38</v>
      </c>
    </row>
    <row r="519" spans="1:25" x14ac:dyDescent="0.35">
      <c r="A519">
        <v>58608032</v>
      </c>
      <c r="B519" t="s">
        <v>2115</v>
      </c>
      <c r="C519" t="s">
        <v>2116</v>
      </c>
      <c r="D519" t="s">
        <v>2117</v>
      </c>
      <c r="F519" t="str">
        <f>"0593202112"</f>
        <v>0593202112</v>
      </c>
      <c r="G519" t="str">
        <f>"9780593202111"</f>
        <v>9780593202111</v>
      </c>
      <c r="H519">
        <v>0</v>
      </c>
      <c r="I519">
        <v>4.0199999999999996</v>
      </c>
      <c r="J519" t="s">
        <v>369</v>
      </c>
      <c r="K519" t="s">
        <v>85</v>
      </c>
      <c r="L519">
        <v>304</v>
      </c>
      <c r="M519">
        <v>2022</v>
      </c>
      <c r="N519">
        <v>2022</v>
      </c>
      <c r="P519" s="1">
        <v>45539</v>
      </c>
      <c r="Q519" t="s">
        <v>30</v>
      </c>
      <c r="R519" t="s">
        <v>2118</v>
      </c>
      <c r="S519" t="s">
        <v>30</v>
      </c>
      <c r="W519">
        <v>0</v>
      </c>
      <c r="X519">
        <v>0</v>
      </c>
      <c r="Y519" t="s">
        <v>38</v>
      </c>
    </row>
    <row r="520" spans="1:25" x14ac:dyDescent="0.35">
      <c r="A520">
        <v>202468442</v>
      </c>
      <c r="B520" t="s">
        <v>2119</v>
      </c>
      <c r="C520" t="s">
        <v>2116</v>
      </c>
      <c r="D520" t="s">
        <v>2117</v>
      </c>
      <c r="F520" t="str">
        <f>"0593524187"</f>
        <v>0593524187</v>
      </c>
      <c r="G520" t="str">
        <f>"9780593524183"</f>
        <v>9780593524183</v>
      </c>
      <c r="H520">
        <v>0</v>
      </c>
      <c r="I520">
        <v>4.28</v>
      </c>
      <c r="J520" t="s">
        <v>369</v>
      </c>
      <c r="K520" t="s">
        <v>48</v>
      </c>
      <c r="L520">
        <v>288</v>
      </c>
      <c r="M520">
        <v>2024</v>
      </c>
      <c r="N520">
        <v>2024</v>
      </c>
      <c r="P520" s="1">
        <v>45539</v>
      </c>
      <c r="Q520" t="s">
        <v>30</v>
      </c>
      <c r="R520" t="s">
        <v>2120</v>
      </c>
      <c r="S520" t="s">
        <v>30</v>
      </c>
      <c r="W520">
        <v>0</v>
      </c>
      <c r="X520">
        <v>0</v>
      </c>
      <c r="Y520" t="s">
        <v>38</v>
      </c>
    </row>
    <row r="521" spans="1:25" x14ac:dyDescent="0.35">
      <c r="A521">
        <v>52433331</v>
      </c>
      <c r="B521" t="s">
        <v>2121</v>
      </c>
      <c r="C521" t="s">
        <v>2116</v>
      </c>
      <c r="D521" t="s">
        <v>2117</v>
      </c>
      <c r="F521" t="str">
        <f>"0593202066"</f>
        <v>0593202066</v>
      </c>
      <c r="G521" t="str">
        <f>"9780593202067"</f>
        <v>9780593202067</v>
      </c>
      <c r="H521">
        <v>0</v>
      </c>
      <c r="I521">
        <v>4.01</v>
      </c>
      <c r="J521" t="s">
        <v>2122</v>
      </c>
      <c r="K521" t="s">
        <v>48</v>
      </c>
      <c r="L521">
        <v>304</v>
      </c>
      <c r="M521">
        <v>2020</v>
      </c>
      <c r="N521">
        <v>2020</v>
      </c>
      <c r="P521" s="1">
        <v>45539</v>
      </c>
      <c r="Q521" t="s">
        <v>30</v>
      </c>
      <c r="R521" t="s">
        <v>2123</v>
      </c>
      <c r="S521" t="s">
        <v>30</v>
      </c>
      <c r="W521">
        <v>0</v>
      </c>
      <c r="X521">
        <v>0</v>
      </c>
      <c r="Y521" t="s">
        <v>38</v>
      </c>
    </row>
    <row r="522" spans="1:25" x14ac:dyDescent="0.35">
      <c r="A522">
        <v>56160591</v>
      </c>
      <c r="B522" t="s">
        <v>2124</v>
      </c>
      <c r="C522" t="s">
        <v>2125</v>
      </c>
      <c r="D522" t="s">
        <v>2126</v>
      </c>
      <c r="F522" t="str">
        <f>"1496731352"</f>
        <v>1496731352</v>
      </c>
      <c r="G522" t="str">
        <f>"9781496731357"</f>
        <v>9781496731357</v>
      </c>
      <c r="H522">
        <v>0</v>
      </c>
      <c r="I522">
        <v>3.73</v>
      </c>
      <c r="J522" t="s">
        <v>808</v>
      </c>
      <c r="K522" t="s">
        <v>29</v>
      </c>
      <c r="L522">
        <v>288</v>
      </c>
      <c r="M522">
        <v>2021</v>
      </c>
      <c r="N522">
        <v>2021</v>
      </c>
      <c r="P522" s="1">
        <v>45539</v>
      </c>
      <c r="Q522" t="s">
        <v>30</v>
      </c>
      <c r="R522" t="s">
        <v>2127</v>
      </c>
      <c r="S522" t="s">
        <v>30</v>
      </c>
      <c r="W522">
        <v>0</v>
      </c>
      <c r="X522">
        <v>0</v>
      </c>
      <c r="Y522" t="s">
        <v>542</v>
      </c>
    </row>
    <row r="523" spans="1:25" x14ac:dyDescent="0.35">
      <c r="A523">
        <v>2767793</v>
      </c>
      <c r="B523" t="s">
        <v>2128</v>
      </c>
      <c r="C523" t="s">
        <v>2129</v>
      </c>
      <c r="D523" t="s">
        <v>2130</v>
      </c>
      <c r="F523" t="str">
        <f>"0765316897"</f>
        <v>0765316897</v>
      </c>
      <c r="G523" t="str">
        <f>"9780765316899"</f>
        <v>9780765316899</v>
      </c>
      <c r="H523">
        <v>0</v>
      </c>
      <c r="I523">
        <v>4.55</v>
      </c>
      <c r="J523" t="s">
        <v>868</v>
      </c>
      <c r="K523" t="s">
        <v>48</v>
      </c>
      <c r="L523">
        <v>572</v>
      </c>
      <c r="M523">
        <v>2008</v>
      </c>
      <c r="N523">
        <v>2008</v>
      </c>
      <c r="P523" s="1">
        <v>45538</v>
      </c>
      <c r="Q523" t="s">
        <v>30</v>
      </c>
      <c r="R523" t="s">
        <v>2131</v>
      </c>
      <c r="S523" t="s">
        <v>30</v>
      </c>
      <c r="W523">
        <v>0</v>
      </c>
      <c r="X523">
        <v>0</v>
      </c>
      <c r="Y523" t="s">
        <v>38</v>
      </c>
    </row>
    <row r="524" spans="1:25" x14ac:dyDescent="0.35">
      <c r="A524">
        <v>68429</v>
      </c>
      <c r="B524" t="s">
        <v>2132</v>
      </c>
      <c r="C524" t="s">
        <v>2129</v>
      </c>
      <c r="D524" t="s">
        <v>2130</v>
      </c>
      <c r="F524" t="str">
        <f>"0765316889"</f>
        <v>0765316889</v>
      </c>
      <c r="G524" t="str">
        <f>"9780765316882"</f>
        <v>9780765316882</v>
      </c>
      <c r="H524">
        <v>0</v>
      </c>
      <c r="I524">
        <v>4.3899999999999997</v>
      </c>
      <c r="J524" t="s">
        <v>868</v>
      </c>
      <c r="K524" t="s">
        <v>48</v>
      </c>
      <c r="L524">
        <v>590</v>
      </c>
      <c r="M524">
        <v>2007</v>
      </c>
      <c r="N524">
        <v>2007</v>
      </c>
      <c r="P524" s="1">
        <v>45538</v>
      </c>
      <c r="Q524" t="s">
        <v>30</v>
      </c>
      <c r="R524" t="s">
        <v>2133</v>
      </c>
      <c r="S524" t="s">
        <v>30</v>
      </c>
      <c r="W524">
        <v>0</v>
      </c>
      <c r="X524">
        <v>0</v>
      </c>
      <c r="Y524" t="s">
        <v>38</v>
      </c>
    </row>
    <row r="525" spans="1:25" x14ac:dyDescent="0.35">
      <c r="A525">
        <v>68428</v>
      </c>
      <c r="B525" t="s">
        <v>2134</v>
      </c>
      <c r="C525" t="s">
        <v>2129</v>
      </c>
      <c r="D525" t="s">
        <v>2130</v>
      </c>
      <c r="F525" t="str">
        <f>""</f>
        <v/>
      </c>
      <c r="G525" t="str">
        <f>"9780765311788"</f>
        <v>9780765311788</v>
      </c>
      <c r="H525">
        <v>0</v>
      </c>
      <c r="I525">
        <v>4.49</v>
      </c>
      <c r="J525" t="s">
        <v>868</v>
      </c>
      <c r="K525" t="s">
        <v>48</v>
      </c>
      <c r="L525">
        <v>541</v>
      </c>
      <c r="M525">
        <v>2006</v>
      </c>
      <c r="N525">
        <v>2006</v>
      </c>
      <c r="P525" s="1">
        <v>45538</v>
      </c>
      <c r="Q525" t="s">
        <v>30</v>
      </c>
      <c r="R525" t="s">
        <v>2135</v>
      </c>
      <c r="S525" t="s">
        <v>30</v>
      </c>
      <c r="W525">
        <v>0</v>
      </c>
      <c r="X525">
        <v>0</v>
      </c>
      <c r="Y525" t="s">
        <v>38</v>
      </c>
    </row>
    <row r="526" spans="1:25" x14ac:dyDescent="0.35">
      <c r="A526">
        <v>1268479</v>
      </c>
      <c r="B526" t="s">
        <v>2136</v>
      </c>
      <c r="C526" t="s">
        <v>2129</v>
      </c>
      <c r="D526" t="s">
        <v>2130</v>
      </c>
      <c r="F526" t="str">
        <f>""</f>
        <v/>
      </c>
      <c r="G526" t="str">
        <f>""</f>
        <v/>
      </c>
      <c r="H526">
        <v>0</v>
      </c>
      <c r="I526">
        <v>4.3</v>
      </c>
      <c r="J526" t="s">
        <v>2137</v>
      </c>
      <c r="K526" t="s">
        <v>375</v>
      </c>
      <c r="L526">
        <v>688</v>
      </c>
      <c r="M526">
        <v>2009</v>
      </c>
      <c r="N526">
        <v>2009</v>
      </c>
      <c r="P526" s="1">
        <v>45538</v>
      </c>
      <c r="Q526" t="s">
        <v>30</v>
      </c>
      <c r="R526" t="s">
        <v>2138</v>
      </c>
      <c r="S526" t="s">
        <v>30</v>
      </c>
      <c r="W526">
        <v>0</v>
      </c>
      <c r="X526">
        <v>0</v>
      </c>
      <c r="Y526" t="s">
        <v>32</v>
      </c>
    </row>
    <row r="527" spans="1:25" x14ac:dyDescent="0.35">
      <c r="A527">
        <v>60531406</v>
      </c>
      <c r="B527" t="s">
        <v>2139</v>
      </c>
      <c r="C527" t="s">
        <v>2129</v>
      </c>
      <c r="D527" t="s">
        <v>2130</v>
      </c>
      <c r="E527" t="s">
        <v>2140</v>
      </c>
      <c r="F527" t="str">
        <f>""</f>
        <v/>
      </c>
      <c r="G527" t="str">
        <f>""</f>
        <v/>
      </c>
      <c r="H527">
        <v>0</v>
      </c>
      <c r="I527">
        <v>4.3600000000000003</v>
      </c>
      <c r="J527" t="s">
        <v>2141</v>
      </c>
      <c r="K527" t="s">
        <v>85</v>
      </c>
      <c r="L527">
        <v>443</v>
      </c>
      <c r="M527">
        <v>2023</v>
      </c>
      <c r="N527">
        <v>2023</v>
      </c>
      <c r="P527" s="1">
        <v>45538</v>
      </c>
      <c r="Q527" t="s">
        <v>30</v>
      </c>
      <c r="R527" t="s">
        <v>2142</v>
      </c>
      <c r="S527" t="s">
        <v>30</v>
      </c>
      <c r="W527">
        <v>0</v>
      </c>
      <c r="X527">
        <v>0</v>
      </c>
      <c r="Y527" t="s">
        <v>38</v>
      </c>
    </row>
    <row r="528" spans="1:25" x14ac:dyDescent="0.35">
      <c r="A528">
        <v>59639059</v>
      </c>
      <c r="B528" t="s">
        <v>2143</v>
      </c>
      <c r="C528" t="s">
        <v>2144</v>
      </c>
      <c r="D528" t="s">
        <v>2145</v>
      </c>
      <c r="E528" t="s">
        <v>2146</v>
      </c>
      <c r="F528" t="str">
        <f>"1737867508"</f>
        <v>1737867508</v>
      </c>
      <c r="G528" t="str">
        <f>"9781737867500"</f>
        <v>9781737867500</v>
      </c>
      <c r="H528">
        <v>0</v>
      </c>
      <c r="I528">
        <v>4.09</v>
      </c>
      <c r="J528" t="s">
        <v>2147</v>
      </c>
      <c r="K528" t="s">
        <v>29</v>
      </c>
      <c r="L528">
        <v>172</v>
      </c>
      <c r="M528">
        <v>2021</v>
      </c>
      <c r="P528" s="1">
        <v>45531</v>
      </c>
      <c r="Q528" t="s">
        <v>30</v>
      </c>
      <c r="R528" t="s">
        <v>2148</v>
      </c>
      <c r="S528" t="s">
        <v>30</v>
      </c>
      <c r="W528">
        <v>0</v>
      </c>
      <c r="X528">
        <v>0</v>
      </c>
      <c r="Y528" t="s">
        <v>173</v>
      </c>
    </row>
    <row r="529" spans="1:25" x14ac:dyDescent="0.35">
      <c r="A529">
        <v>51175564</v>
      </c>
      <c r="B529" t="s">
        <v>2149</v>
      </c>
      <c r="C529" t="s">
        <v>2150</v>
      </c>
      <c r="D529" t="s">
        <v>2151</v>
      </c>
      <c r="F529" t="str">
        <f>"1250207010"</f>
        <v>1250207010</v>
      </c>
      <c r="G529" t="str">
        <f>"9781250207012"</f>
        <v>9781250207012</v>
      </c>
      <c r="H529">
        <v>0</v>
      </c>
      <c r="I529">
        <v>3.25</v>
      </c>
      <c r="J529" t="s">
        <v>878</v>
      </c>
      <c r="K529" t="s">
        <v>48</v>
      </c>
      <c r="L529">
        <v>400</v>
      </c>
      <c r="M529">
        <v>2020</v>
      </c>
      <c r="N529">
        <v>2020</v>
      </c>
      <c r="P529" s="1">
        <v>45505</v>
      </c>
      <c r="Q529" t="s">
        <v>30</v>
      </c>
      <c r="R529" t="s">
        <v>2152</v>
      </c>
      <c r="S529" t="s">
        <v>30</v>
      </c>
      <c r="W529">
        <v>1</v>
      </c>
      <c r="X529">
        <v>0</v>
      </c>
      <c r="Y529" t="s">
        <v>203</v>
      </c>
    </row>
    <row r="530" spans="1:25" x14ac:dyDescent="0.35">
      <c r="A530">
        <v>58490567</v>
      </c>
      <c r="B530" t="s">
        <v>2153</v>
      </c>
      <c r="C530" t="s">
        <v>2154</v>
      </c>
      <c r="D530" t="s">
        <v>2155</v>
      </c>
      <c r="F530" t="str">
        <f>"0062943510"</f>
        <v>0062943510</v>
      </c>
      <c r="G530" t="str">
        <f>"9780062943514"</f>
        <v>9780062943514</v>
      </c>
      <c r="H530">
        <v>0</v>
      </c>
      <c r="I530">
        <v>4.29</v>
      </c>
      <c r="J530" t="s">
        <v>1666</v>
      </c>
      <c r="K530" t="s">
        <v>48</v>
      </c>
      <c r="L530">
        <v>435</v>
      </c>
      <c r="M530">
        <v>2022</v>
      </c>
      <c r="N530">
        <v>2022</v>
      </c>
      <c r="P530" s="1">
        <v>45531</v>
      </c>
      <c r="Q530" t="s">
        <v>30</v>
      </c>
      <c r="R530" t="s">
        <v>2156</v>
      </c>
      <c r="S530" t="s">
        <v>30</v>
      </c>
      <c r="W530">
        <v>0</v>
      </c>
      <c r="X530">
        <v>0</v>
      </c>
      <c r="Y530" t="s">
        <v>38</v>
      </c>
    </row>
    <row r="531" spans="1:25" x14ac:dyDescent="0.35">
      <c r="A531">
        <v>61111298</v>
      </c>
      <c r="B531" t="s">
        <v>2157</v>
      </c>
      <c r="C531" t="s">
        <v>2158</v>
      </c>
      <c r="D531" t="s">
        <v>2159</v>
      </c>
      <c r="F531" t="str">
        <f>"0593548043"</f>
        <v>0593548043</v>
      </c>
      <c r="G531" t="str">
        <f>"9780593548042"</f>
        <v>9780593548042</v>
      </c>
      <c r="H531">
        <v>0</v>
      </c>
      <c r="I531">
        <v>3.99</v>
      </c>
      <c r="J531" t="s">
        <v>350</v>
      </c>
      <c r="K531" t="s">
        <v>48</v>
      </c>
      <c r="L531">
        <v>322</v>
      </c>
      <c r="M531">
        <v>2023</v>
      </c>
      <c r="N531">
        <v>2023</v>
      </c>
      <c r="P531" s="1">
        <v>45531</v>
      </c>
      <c r="Q531" t="s">
        <v>30</v>
      </c>
      <c r="R531" t="s">
        <v>2160</v>
      </c>
      <c r="S531" t="s">
        <v>30</v>
      </c>
      <c r="W531">
        <v>0</v>
      </c>
      <c r="X531">
        <v>0</v>
      </c>
      <c r="Y531" t="s">
        <v>38</v>
      </c>
    </row>
    <row r="532" spans="1:25" x14ac:dyDescent="0.35">
      <c r="A532">
        <v>180178455</v>
      </c>
      <c r="B532" t="s">
        <v>2161</v>
      </c>
      <c r="C532" t="s">
        <v>2162</v>
      </c>
      <c r="D532" t="s">
        <v>2163</v>
      </c>
      <c r="F532" t="str">
        <f>""</f>
        <v/>
      </c>
      <c r="G532" t="str">
        <f>""</f>
        <v/>
      </c>
      <c r="H532">
        <v>0</v>
      </c>
      <c r="I532">
        <v>4.0599999999999996</v>
      </c>
      <c r="J532" t="s">
        <v>2164</v>
      </c>
      <c r="K532" t="s">
        <v>48</v>
      </c>
      <c r="M532">
        <v>2013</v>
      </c>
      <c r="N532">
        <v>2013</v>
      </c>
      <c r="P532" s="1">
        <v>45422</v>
      </c>
      <c r="Q532" t="s">
        <v>30</v>
      </c>
      <c r="R532" t="s">
        <v>2165</v>
      </c>
      <c r="S532" t="s">
        <v>30</v>
      </c>
      <c r="W532">
        <v>0</v>
      </c>
      <c r="X532">
        <v>0</v>
      </c>
      <c r="Y532" t="s">
        <v>38</v>
      </c>
    </row>
    <row r="533" spans="1:25" x14ac:dyDescent="0.35">
      <c r="A533">
        <v>9912400</v>
      </c>
      <c r="B533" t="s">
        <v>2166</v>
      </c>
      <c r="C533" t="s">
        <v>2162</v>
      </c>
      <c r="D533" t="s">
        <v>2163</v>
      </c>
      <c r="F533" t="str">
        <f>""</f>
        <v/>
      </c>
      <c r="G533" t="str">
        <f>""</f>
        <v/>
      </c>
      <c r="H533">
        <v>0</v>
      </c>
      <c r="I533">
        <v>3.97</v>
      </c>
      <c r="J533" t="s">
        <v>2167</v>
      </c>
      <c r="K533" t="s">
        <v>29</v>
      </c>
      <c r="L533">
        <v>231</v>
      </c>
      <c r="M533">
        <v>2011</v>
      </c>
      <c r="N533">
        <v>2011</v>
      </c>
      <c r="P533" s="1">
        <v>45422</v>
      </c>
      <c r="Q533" t="s">
        <v>30</v>
      </c>
      <c r="R533" t="s">
        <v>2168</v>
      </c>
      <c r="S533" t="s">
        <v>30</v>
      </c>
      <c r="W533">
        <v>0</v>
      </c>
      <c r="X533">
        <v>0</v>
      </c>
      <c r="Y533" t="s">
        <v>38</v>
      </c>
    </row>
    <row r="534" spans="1:25" x14ac:dyDescent="0.35">
      <c r="A534">
        <v>8855321</v>
      </c>
      <c r="B534" t="s">
        <v>2169</v>
      </c>
      <c r="C534" t="s">
        <v>2170</v>
      </c>
      <c r="D534" t="s">
        <v>2171</v>
      </c>
      <c r="F534" t="str">
        <f>"1841499889"</f>
        <v>1841499889</v>
      </c>
      <c r="G534" t="str">
        <f>"9781841499888"</f>
        <v>9781841499888</v>
      </c>
      <c r="H534">
        <v>0</v>
      </c>
      <c r="I534">
        <v>4.3099999999999996</v>
      </c>
      <c r="J534" t="s">
        <v>803</v>
      </c>
      <c r="K534" t="s">
        <v>29</v>
      </c>
      <c r="L534">
        <v>592</v>
      </c>
      <c r="M534">
        <v>2011</v>
      </c>
      <c r="N534">
        <v>2011</v>
      </c>
      <c r="P534" s="1">
        <v>45522</v>
      </c>
      <c r="Q534" t="s">
        <v>30</v>
      </c>
      <c r="R534" t="s">
        <v>2172</v>
      </c>
      <c r="S534" t="s">
        <v>30</v>
      </c>
      <c r="W534">
        <v>0</v>
      </c>
      <c r="X534">
        <v>0</v>
      </c>
      <c r="Y534" t="s">
        <v>38</v>
      </c>
    </row>
    <row r="535" spans="1:25" x14ac:dyDescent="0.35">
      <c r="A535">
        <v>73071451</v>
      </c>
      <c r="B535" t="s">
        <v>2173</v>
      </c>
      <c r="C535" t="s">
        <v>2174</v>
      </c>
      <c r="D535" t="s">
        <v>2175</v>
      </c>
      <c r="F535" t="str">
        <f>"031655751X"</f>
        <v>031655751X</v>
      </c>
      <c r="G535" t="str">
        <f>"9780316557511"</f>
        <v>9780316557511</v>
      </c>
      <c r="H535">
        <v>0</v>
      </c>
      <c r="I535">
        <v>4.0199999999999996</v>
      </c>
      <c r="J535" t="s">
        <v>522</v>
      </c>
      <c r="K535" t="s">
        <v>85</v>
      </c>
      <c r="L535">
        <v>612</v>
      </c>
      <c r="M535">
        <v>2023</v>
      </c>
      <c r="N535">
        <v>2023</v>
      </c>
      <c r="P535" s="1">
        <v>45520</v>
      </c>
      <c r="Q535" t="s">
        <v>30</v>
      </c>
      <c r="R535" t="s">
        <v>2176</v>
      </c>
      <c r="S535" t="s">
        <v>30</v>
      </c>
      <c r="W535">
        <v>0</v>
      </c>
      <c r="X535">
        <v>0</v>
      </c>
      <c r="Y535" t="s">
        <v>38</v>
      </c>
    </row>
    <row r="536" spans="1:25" x14ac:dyDescent="0.35">
      <c r="A536">
        <v>58724993</v>
      </c>
      <c r="B536" t="s">
        <v>2177</v>
      </c>
      <c r="C536" t="s">
        <v>2178</v>
      </c>
      <c r="D536" t="s">
        <v>2179</v>
      </c>
      <c r="F536" t="str">
        <f>"1250780500"</f>
        <v>1250780500</v>
      </c>
      <c r="G536" t="str">
        <f>"9781250780508"</f>
        <v>9781250780508</v>
      </c>
      <c r="H536">
        <v>0</v>
      </c>
      <c r="I536">
        <v>4.0199999999999996</v>
      </c>
      <c r="J536" t="s">
        <v>1567</v>
      </c>
      <c r="K536" t="s">
        <v>48</v>
      </c>
      <c r="L536">
        <v>272</v>
      </c>
      <c r="M536">
        <v>2022</v>
      </c>
      <c r="N536">
        <v>2022</v>
      </c>
      <c r="P536" s="1">
        <v>45520</v>
      </c>
      <c r="Q536" t="s">
        <v>30</v>
      </c>
      <c r="R536" t="s">
        <v>2180</v>
      </c>
      <c r="S536" t="s">
        <v>30</v>
      </c>
      <c r="W536">
        <v>0</v>
      </c>
      <c r="X536">
        <v>0</v>
      </c>
      <c r="Y536" t="s">
        <v>38</v>
      </c>
    </row>
    <row r="537" spans="1:25" x14ac:dyDescent="0.35">
      <c r="A537">
        <v>180352002</v>
      </c>
      <c r="B537" t="s">
        <v>2181</v>
      </c>
      <c r="C537" t="s">
        <v>856</v>
      </c>
      <c r="D537" t="s">
        <v>857</v>
      </c>
      <c r="F537" t="str">
        <f>"0840716583"</f>
        <v>0840716583</v>
      </c>
      <c r="G537" t="str">
        <f>"9780840716583"</f>
        <v>9780840716583</v>
      </c>
      <c r="H537">
        <v>0</v>
      </c>
      <c r="I537">
        <v>4.03</v>
      </c>
      <c r="J537" t="s">
        <v>1175</v>
      </c>
      <c r="K537" t="s">
        <v>29</v>
      </c>
      <c r="L537">
        <v>384</v>
      </c>
      <c r="M537">
        <v>2024</v>
      </c>
      <c r="P537" s="1">
        <v>45517</v>
      </c>
      <c r="Q537" t="s">
        <v>30</v>
      </c>
      <c r="R537" t="s">
        <v>2182</v>
      </c>
      <c r="S537" t="s">
        <v>30</v>
      </c>
      <c r="W537">
        <v>0</v>
      </c>
      <c r="X537">
        <v>0</v>
      </c>
      <c r="Y537" t="s">
        <v>38</v>
      </c>
    </row>
    <row r="538" spans="1:25" x14ac:dyDescent="0.35">
      <c r="A538">
        <v>156570856</v>
      </c>
      <c r="B538" t="s">
        <v>2183</v>
      </c>
      <c r="C538" t="s">
        <v>2184</v>
      </c>
      <c r="D538" t="s">
        <v>2185</v>
      </c>
      <c r="F538" t="str">
        <f>"183790426X"</f>
        <v>183790426X</v>
      </c>
      <c r="G538" t="str">
        <f>"9781837904266"</f>
        <v>9781837904266</v>
      </c>
      <c r="H538">
        <v>0</v>
      </c>
      <c r="I538">
        <v>4.38</v>
      </c>
      <c r="J538" t="s">
        <v>2186</v>
      </c>
      <c r="K538" t="s">
        <v>85</v>
      </c>
      <c r="L538">
        <v>282</v>
      </c>
      <c r="M538">
        <v>2023</v>
      </c>
      <c r="N538">
        <v>2023</v>
      </c>
      <c r="P538" s="1">
        <v>45516</v>
      </c>
      <c r="Q538" t="s">
        <v>30</v>
      </c>
      <c r="R538" t="s">
        <v>2187</v>
      </c>
      <c r="S538" t="s">
        <v>30</v>
      </c>
      <c r="W538">
        <v>0</v>
      </c>
      <c r="X538">
        <v>0</v>
      </c>
      <c r="Y538" t="s">
        <v>38</v>
      </c>
    </row>
    <row r="539" spans="1:25" x14ac:dyDescent="0.35">
      <c r="A539">
        <v>8089607</v>
      </c>
      <c r="B539" t="s">
        <v>2188</v>
      </c>
      <c r="C539" t="s">
        <v>1396</v>
      </c>
      <c r="D539" t="s">
        <v>1397</v>
      </c>
      <c r="F539" t="str">
        <f>"0802458815"</f>
        <v>0802458815</v>
      </c>
      <c r="G539" t="str">
        <f>"9780802458810"</f>
        <v>9780802458810</v>
      </c>
      <c r="H539">
        <v>0</v>
      </c>
      <c r="I539">
        <v>4.32</v>
      </c>
      <c r="J539" t="s">
        <v>1661</v>
      </c>
      <c r="K539" t="s">
        <v>29</v>
      </c>
      <c r="L539">
        <v>320</v>
      </c>
      <c r="M539">
        <v>2010</v>
      </c>
      <c r="N539">
        <v>2010</v>
      </c>
      <c r="P539" s="1">
        <v>45509</v>
      </c>
      <c r="Q539" t="s">
        <v>30</v>
      </c>
      <c r="R539" t="s">
        <v>2189</v>
      </c>
      <c r="S539" t="s">
        <v>30</v>
      </c>
      <c r="W539">
        <v>0</v>
      </c>
      <c r="X539">
        <v>0</v>
      </c>
      <c r="Y539" t="s">
        <v>38</v>
      </c>
    </row>
    <row r="540" spans="1:25" x14ac:dyDescent="0.35">
      <c r="A540">
        <v>25822042</v>
      </c>
      <c r="B540" t="s">
        <v>2190</v>
      </c>
      <c r="C540" t="s">
        <v>2191</v>
      </c>
      <c r="D540" t="s">
        <v>2192</v>
      </c>
      <c r="F540" t="str">
        <f>"0764214373"</f>
        <v>0764214373</v>
      </c>
      <c r="G540" t="str">
        <f>"9780764214370"</f>
        <v>9780764214370</v>
      </c>
      <c r="H540">
        <v>0</v>
      </c>
      <c r="I540">
        <v>4.4000000000000004</v>
      </c>
      <c r="J540" t="s">
        <v>419</v>
      </c>
      <c r="K540" t="s">
        <v>29</v>
      </c>
      <c r="L540">
        <v>345</v>
      </c>
      <c r="M540">
        <v>2016</v>
      </c>
      <c r="N540">
        <v>2016</v>
      </c>
      <c r="P540" s="1">
        <v>45509</v>
      </c>
      <c r="Q540" t="s">
        <v>30</v>
      </c>
      <c r="R540" t="s">
        <v>2193</v>
      </c>
      <c r="S540" t="s">
        <v>30</v>
      </c>
      <c r="W540">
        <v>0</v>
      </c>
      <c r="X540">
        <v>0</v>
      </c>
      <c r="Y540" t="s">
        <v>38</v>
      </c>
    </row>
    <row r="541" spans="1:25" x14ac:dyDescent="0.35">
      <c r="A541">
        <v>7793271</v>
      </c>
      <c r="B541" t="s">
        <v>2194</v>
      </c>
      <c r="C541" t="s">
        <v>2195</v>
      </c>
      <c r="D541" t="s">
        <v>2196</v>
      </c>
      <c r="E541" t="s">
        <v>2197</v>
      </c>
      <c r="F541" t="str">
        <f>"0061999067"</f>
        <v>0061999067</v>
      </c>
      <c r="G541" t="str">
        <f>"9780061999062"</f>
        <v>9780061999062</v>
      </c>
      <c r="H541">
        <v>0</v>
      </c>
      <c r="I541">
        <v>3.14</v>
      </c>
      <c r="J541" t="s">
        <v>2198</v>
      </c>
      <c r="K541" t="s">
        <v>29</v>
      </c>
      <c r="L541">
        <v>244</v>
      </c>
      <c r="M541">
        <v>2010</v>
      </c>
      <c r="N541">
        <v>2010</v>
      </c>
      <c r="P541" s="1">
        <v>45509</v>
      </c>
      <c r="Q541" t="s">
        <v>30</v>
      </c>
      <c r="R541" t="s">
        <v>2199</v>
      </c>
      <c r="S541" t="s">
        <v>30</v>
      </c>
      <c r="W541">
        <v>0</v>
      </c>
      <c r="X541">
        <v>0</v>
      </c>
      <c r="Y541" t="s">
        <v>38</v>
      </c>
    </row>
    <row r="542" spans="1:25" x14ac:dyDescent="0.35">
      <c r="A542">
        <v>201908010</v>
      </c>
      <c r="B542" t="s">
        <v>2200</v>
      </c>
      <c r="C542" t="s">
        <v>2201</v>
      </c>
      <c r="D542" t="s">
        <v>2202</v>
      </c>
      <c r="F542" t="str">
        <f>"0764242504"</f>
        <v>0764242504</v>
      </c>
      <c r="G542" t="str">
        <f>"9780764242502"</f>
        <v>9780764242502</v>
      </c>
      <c r="H542">
        <v>0</v>
      </c>
      <c r="I542">
        <v>4.17</v>
      </c>
      <c r="J542" t="s">
        <v>36</v>
      </c>
      <c r="K542" t="s">
        <v>29</v>
      </c>
      <c r="L542">
        <v>336</v>
      </c>
      <c r="M542">
        <v>2024</v>
      </c>
      <c r="N542">
        <v>2024</v>
      </c>
      <c r="P542" s="1">
        <v>45509</v>
      </c>
      <c r="Q542" t="s">
        <v>30</v>
      </c>
      <c r="R542" t="s">
        <v>2203</v>
      </c>
      <c r="S542" t="s">
        <v>30</v>
      </c>
      <c r="W542">
        <v>0</v>
      </c>
      <c r="X542">
        <v>0</v>
      </c>
      <c r="Y542" t="s">
        <v>38</v>
      </c>
    </row>
    <row r="543" spans="1:25" x14ac:dyDescent="0.35">
      <c r="A543">
        <v>53380968</v>
      </c>
      <c r="B543" t="s">
        <v>2204</v>
      </c>
      <c r="C543" t="s">
        <v>446</v>
      </c>
      <c r="D543" t="s">
        <v>447</v>
      </c>
      <c r="F543" t="str">
        <f>"1925898296"</f>
        <v>1925898296</v>
      </c>
      <c r="G543" t="str">
        <f>"9781925898293"</f>
        <v>9781925898293</v>
      </c>
      <c r="H543">
        <v>0</v>
      </c>
      <c r="I543">
        <v>4.26</v>
      </c>
      <c r="J543" t="s">
        <v>906</v>
      </c>
      <c r="K543" t="s">
        <v>85</v>
      </c>
      <c r="L543">
        <v>317</v>
      </c>
      <c r="M543">
        <v>2020</v>
      </c>
      <c r="N543">
        <v>2020</v>
      </c>
      <c r="P543" s="1">
        <v>45509</v>
      </c>
      <c r="Q543" t="s">
        <v>30</v>
      </c>
      <c r="R543" t="s">
        <v>2205</v>
      </c>
      <c r="S543" t="s">
        <v>30</v>
      </c>
      <c r="W543">
        <v>0</v>
      </c>
      <c r="X543">
        <v>0</v>
      </c>
      <c r="Y543" t="s">
        <v>38</v>
      </c>
    </row>
    <row r="544" spans="1:25" x14ac:dyDescent="0.35">
      <c r="A544">
        <v>44285788</v>
      </c>
      <c r="B544" t="s">
        <v>2206</v>
      </c>
      <c r="C544" t="s">
        <v>2207</v>
      </c>
      <c r="D544" t="s">
        <v>2208</v>
      </c>
      <c r="F544" t="str">
        <f>"0062905317"</f>
        <v>0062905317</v>
      </c>
      <c r="G544" t="str">
        <f>"9780062905314"</f>
        <v>9780062905314</v>
      </c>
      <c r="H544">
        <v>0</v>
      </c>
      <c r="I544">
        <v>4.1900000000000004</v>
      </c>
      <c r="J544" t="s">
        <v>1666</v>
      </c>
      <c r="K544" t="s">
        <v>85</v>
      </c>
      <c r="L544">
        <v>320</v>
      </c>
      <c r="M544">
        <v>2020</v>
      </c>
      <c r="N544">
        <v>2020</v>
      </c>
      <c r="P544" s="1">
        <v>45509</v>
      </c>
      <c r="Q544" t="s">
        <v>30</v>
      </c>
      <c r="R544" t="s">
        <v>2209</v>
      </c>
      <c r="S544" t="s">
        <v>30</v>
      </c>
      <c r="W544">
        <v>0</v>
      </c>
      <c r="X544">
        <v>0</v>
      </c>
      <c r="Y544" t="s">
        <v>38</v>
      </c>
    </row>
    <row r="545" spans="1:25" x14ac:dyDescent="0.35">
      <c r="A545">
        <v>201335459</v>
      </c>
      <c r="B545" t="s">
        <v>2210</v>
      </c>
      <c r="C545" t="s">
        <v>2211</v>
      </c>
      <c r="D545" t="s">
        <v>2212</v>
      </c>
      <c r="F545" t="str">
        <f>"0840718802"</f>
        <v>0840718802</v>
      </c>
      <c r="G545" t="str">
        <f>"9780840718808"</f>
        <v>9780840718808</v>
      </c>
      <c r="H545">
        <v>0</v>
      </c>
      <c r="I545">
        <v>4.1500000000000004</v>
      </c>
      <c r="J545" t="s">
        <v>1175</v>
      </c>
      <c r="K545" t="s">
        <v>29</v>
      </c>
      <c r="L545">
        <v>336</v>
      </c>
      <c r="M545">
        <v>2024</v>
      </c>
      <c r="N545">
        <v>2024</v>
      </c>
      <c r="P545" s="1">
        <v>45509</v>
      </c>
      <c r="Q545" t="s">
        <v>30</v>
      </c>
      <c r="R545" t="s">
        <v>2213</v>
      </c>
      <c r="S545" t="s">
        <v>30</v>
      </c>
      <c r="W545">
        <v>0</v>
      </c>
      <c r="X545">
        <v>0</v>
      </c>
      <c r="Y545" t="s">
        <v>38</v>
      </c>
    </row>
    <row r="546" spans="1:25" x14ac:dyDescent="0.35">
      <c r="A546">
        <v>58684524</v>
      </c>
      <c r="B546" t="s">
        <v>2214</v>
      </c>
      <c r="C546" t="s">
        <v>106</v>
      </c>
      <c r="D546" t="s">
        <v>107</v>
      </c>
      <c r="F546" t="str">
        <f>"1538704374"</f>
        <v>1538704374</v>
      </c>
      <c r="G546" t="str">
        <f>"9781538704370"</f>
        <v>9781538704370</v>
      </c>
      <c r="H546">
        <v>0</v>
      </c>
      <c r="I546">
        <v>4.28</v>
      </c>
      <c r="J546" t="s">
        <v>441</v>
      </c>
      <c r="K546" t="s">
        <v>29</v>
      </c>
      <c r="L546">
        <v>389</v>
      </c>
      <c r="M546">
        <v>2022</v>
      </c>
      <c r="N546">
        <v>2022</v>
      </c>
      <c r="P546" s="1">
        <v>45509</v>
      </c>
      <c r="Q546" t="s">
        <v>30</v>
      </c>
      <c r="R546" t="s">
        <v>2215</v>
      </c>
      <c r="S546" t="s">
        <v>30</v>
      </c>
      <c r="W546">
        <v>0</v>
      </c>
      <c r="X546">
        <v>0</v>
      </c>
      <c r="Y546" t="s">
        <v>38</v>
      </c>
    </row>
    <row r="547" spans="1:25" x14ac:dyDescent="0.35">
      <c r="A547">
        <v>195820807</v>
      </c>
      <c r="B547" t="s">
        <v>2216</v>
      </c>
      <c r="C547" t="s">
        <v>106</v>
      </c>
      <c r="D547" t="s">
        <v>107</v>
      </c>
      <c r="F547" t="str">
        <f>"1538704439"</f>
        <v>1538704439</v>
      </c>
      <c r="G547" t="str">
        <f>"9781538704431"</f>
        <v>9781538704431</v>
      </c>
      <c r="H547">
        <v>0</v>
      </c>
      <c r="I547">
        <v>4.38</v>
      </c>
      <c r="J547" t="s">
        <v>441</v>
      </c>
      <c r="K547" t="s">
        <v>29</v>
      </c>
      <c r="L547">
        <v>432</v>
      </c>
      <c r="M547">
        <v>2024</v>
      </c>
      <c r="N547">
        <v>2024</v>
      </c>
      <c r="P547" s="1">
        <v>45509</v>
      </c>
      <c r="Q547" t="s">
        <v>30</v>
      </c>
      <c r="R547" t="s">
        <v>2217</v>
      </c>
      <c r="S547" t="s">
        <v>30</v>
      </c>
      <c r="W547">
        <v>0</v>
      </c>
      <c r="X547">
        <v>0</v>
      </c>
      <c r="Y547" t="s">
        <v>38</v>
      </c>
    </row>
    <row r="548" spans="1:25" x14ac:dyDescent="0.35">
      <c r="A548">
        <v>56849564</v>
      </c>
      <c r="B548" t="s">
        <v>2218</v>
      </c>
      <c r="C548" t="s">
        <v>2219</v>
      </c>
      <c r="D548" t="s">
        <v>2220</v>
      </c>
      <c r="E548" t="s">
        <v>2221</v>
      </c>
      <c r="F548" t="str">
        <f>"1433571242"</f>
        <v>1433571242</v>
      </c>
      <c r="G548" t="str">
        <f>"9781433571244"</f>
        <v>9781433571244</v>
      </c>
      <c r="H548">
        <v>0</v>
      </c>
      <c r="I548">
        <v>4.45</v>
      </c>
      <c r="J548" t="s">
        <v>1503</v>
      </c>
      <c r="K548" t="s">
        <v>29</v>
      </c>
      <c r="L548">
        <v>224</v>
      </c>
      <c r="M548">
        <v>2021</v>
      </c>
      <c r="N548">
        <v>2021</v>
      </c>
      <c r="P548" s="1">
        <v>45509</v>
      </c>
      <c r="Q548" t="s">
        <v>30</v>
      </c>
      <c r="R548" t="s">
        <v>2222</v>
      </c>
      <c r="S548" t="s">
        <v>30</v>
      </c>
      <c r="W548">
        <v>0</v>
      </c>
      <c r="X548">
        <v>0</v>
      </c>
      <c r="Y548" t="s">
        <v>38</v>
      </c>
    </row>
    <row r="549" spans="1:25" x14ac:dyDescent="0.35">
      <c r="A549">
        <v>213189860</v>
      </c>
      <c r="B549" t="s">
        <v>2223</v>
      </c>
      <c r="C549" t="s">
        <v>2224</v>
      </c>
      <c r="D549" t="s">
        <v>2225</v>
      </c>
      <c r="F549" t="str">
        <f>"0063142791"</f>
        <v>0063142791</v>
      </c>
      <c r="G549" t="str">
        <f>"9780063142794"</f>
        <v>9780063142794</v>
      </c>
      <c r="H549">
        <v>0</v>
      </c>
      <c r="I549">
        <v>3.84</v>
      </c>
      <c r="J549" t="s">
        <v>662</v>
      </c>
      <c r="K549" t="s">
        <v>29</v>
      </c>
      <c r="L549">
        <v>304</v>
      </c>
      <c r="M549">
        <v>2024</v>
      </c>
      <c r="N549">
        <v>2024</v>
      </c>
      <c r="P549" s="1">
        <v>45505</v>
      </c>
      <c r="Q549" t="s">
        <v>30</v>
      </c>
      <c r="R549" t="s">
        <v>2226</v>
      </c>
      <c r="S549" t="s">
        <v>30</v>
      </c>
      <c r="W549">
        <v>0</v>
      </c>
      <c r="X549">
        <v>0</v>
      </c>
      <c r="Y549" t="s">
        <v>38</v>
      </c>
    </row>
    <row r="550" spans="1:25" x14ac:dyDescent="0.35">
      <c r="A550">
        <v>51979032</v>
      </c>
      <c r="B550" t="s">
        <v>2227</v>
      </c>
      <c r="C550" t="s">
        <v>2228</v>
      </c>
      <c r="D550" t="s">
        <v>2229</v>
      </c>
      <c r="F550" t="str">
        <f>"1496444310"</f>
        <v>1496444310</v>
      </c>
      <c r="G550" t="str">
        <f>"9781496444318"</f>
        <v>9781496444318</v>
      </c>
      <c r="H550">
        <v>0</v>
      </c>
      <c r="I550">
        <v>4.22</v>
      </c>
      <c r="J550" t="s">
        <v>227</v>
      </c>
      <c r="K550" t="s">
        <v>48</v>
      </c>
      <c r="L550">
        <v>464</v>
      </c>
      <c r="M550">
        <v>2020</v>
      </c>
      <c r="N550">
        <v>2020</v>
      </c>
      <c r="P550" s="1">
        <v>45505</v>
      </c>
      <c r="Q550" t="s">
        <v>30</v>
      </c>
      <c r="R550" t="s">
        <v>2230</v>
      </c>
      <c r="S550" t="s">
        <v>30</v>
      </c>
      <c r="W550">
        <v>0</v>
      </c>
      <c r="X550">
        <v>0</v>
      </c>
      <c r="Y550" t="s">
        <v>38</v>
      </c>
    </row>
    <row r="551" spans="1:25" x14ac:dyDescent="0.35">
      <c r="A551">
        <v>266485</v>
      </c>
      <c r="B551" t="s">
        <v>2231</v>
      </c>
      <c r="C551" t="s">
        <v>2232</v>
      </c>
      <c r="D551" t="s">
        <v>2233</v>
      </c>
      <c r="F551" t="str">
        <f>""</f>
        <v/>
      </c>
      <c r="G551" t="str">
        <f>""</f>
        <v/>
      </c>
      <c r="H551">
        <v>0</v>
      </c>
      <c r="I551">
        <v>4.2699999999999996</v>
      </c>
      <c r="J551" t="s">
        <v>1828</v>
      </c>
      <c r="K551" t="s">
        <v>29</v>
      </c>
      <c r="L551">
        <v>371</v>
      </c>
      <c r="M551">
        <v>2005</v>
      </c>
      <c r="N551">
        <v>1986</v>
      </c>
      <c r="P551" s="1">
        <v>45504</v>
      </c>
      <c r="Q551" t="s">
        <v>30</v>
      </c>
      <c r="R551" t="s">
        <v>2234</v>
      </c>
      <c r="S551" t="s">
        <v>30</v>
      </c>
      <c r="W551">
        <v>0</v>
      </c>
      <c r="X551">
        <v>0</v>
      </c>
      <c r="Y551" t="s">
        <v>38</v>
      </c>
    </row>
    <row r="552" spans="1:25" x14ac:dyDescent="0.35">
      <c r="A552">
        <v>40095501</v>
      </c>
      <c r="B552" t="s">
        <v>2235</v>
      </c>
      <c r="C552" t="s">
        <v>167</v>
      </c>
      <c r="D552" t="s">
        <v>168</v>
      </c>
      <c r="F552" t="str">
        <f>""</f>
        <v/>
      </c>
      <c r="G552" t="str">
        <f>""</f>
        <v/>
      </c>
      <c r="H552">
        <v>0</v>
      </c>
      <c r="I552">
        <v>3.87</v>
      </c>
      <c r="J552" t="s">
        <v>396</v>
      </c>
      <c r="K552" t="s">
        <v>85</v>
      </c>
      <c r="L552">
        <v>148</v>
      </c>
      <c r="M552">
        <v>2018</v>
      </c>
      <c r="N552">
        <v>1983</v>
      </c>
      <c r="P552" s="1">
        <v>45504</v>
      </c>
      <c r="Q552" t="s">
        <v>30</v>
      </c>
      <c r="R552" t="s">
        <v>2236</v>
      </c>
      <c r="S552" t="s">
        <v>30</v>
      </c>
      <c r="W552">
        <v>0</v>
      </c>
      <c r="X552">
        <v>0</v>
      </c>
      <c r="Y552" t="s">
        <v>38</v>
      </c>
    </row>
    <row r="553" spans="1:25" x14ac:dyDescent="0.35">
      <c r="A553">
        <v>53496</v>
      </c>
      <c r="B553" t="s">
        <v>2237</v>
      </c>
      <c r="C553" t="s">
        <v>2238</v>
      </c>
      <c r="D553" t="s">
        <v>2239</v>
      </c>
      <c r="F553" t="str">
        <f>"0060739495"</f>
        <v>0060739495</v>
      </c>
      <c r="G553" t="str">
        <f>"9780060739492"</f>
        <v>9780060739492</v>
      </c>
      <c r="H553">
        <v>0</v>
      </c>
      <c r="I553">
        <v>4</v>
      </c>
      <c r="J553" t="s">
        <v>2240</v>
      </c>
      <c r="K553" t="s">
        <v>29</v>
      </c>
      <c r="L553">
        <v>280</v>
      </c>
      <c r="M553">
        <v>1996</v>
      </c>
      <c r="N553">
        <v>1994</v>
      </c>
      <c r="P553" s="1">
        <v>45504</v>
      </c>
      <c r="Q553" t="s">
        <v>30</v>
      </c>
      <c r="R553" t="s">
        <v>2241</v>
      </c>
      <c r="S553" t="s">
        <v>30</v>
      </c>
      <c r="W553">
        <v>0</v>
      </c>
      <c r="X553">
        <v>0</v>
      </c>
      <c r="Y553" t="s">
        <v>38</v>
      </c>
    </row>
    <row r="554" spans="1:25" x14ac:dyDescent="0.35">
      <c r="A554">
        <v>33512</v>
      </c>
      <c r="B554" t="s">
        <v>2242</v>
      </c>
      <c r="C554" t="s">
        <v>2243</v>
      </c>
      <c r="D554" t="s">
        <v>2244</v>
      </c>
      <c r="F554" t="str">
        <f>"0312199430"</f>
        <v>0312199430</v>
      </c>
      <c r="G554" t="str">
        <f>"9780312199432"</f>
        <v>9780312199432</v>
      </c>
      <c r="H554">
        <v>0</v>
      </c>
      <c r="I554">
        <v>3.91</v>
      </c>
      <c r="J554" t="s">
        <v>1215</v>
      </c>
      <c r="K554" t="s">
        <v>29</v>
      </c>
      <c r="L554">
        <v>434</v>
      </c>
      <c r="M554">
        <v>1999</v>
      </c>
      <c r="N554">
        <v>1998</v>
      </c>
      <c r="P554" s="1">
        <v>45504</v>
      </c>
      <c r="Q554" t="s">
        <v>30</v>
      </c>
      <c r="R554" t="s">
        <v>2245</v>
      </c>
      <c r="S554" t="s">
        <v>30</v>
      </c>
      <c r="W554">
        <v>0</v>
      </c>
      <c r="X554">
        <v>0</v>
      </c>
      <c r="Y554" t="s">
        <v>38</v>
      </c>
    </row>
    <row r="555" spans="1:25" x14ac:dyDescent="0.35">
      <c r="A555">
        <v>48678117</v>
      </c>
      <c r="B555" t="s">
        <v>2246</v>
      </c>
      <c r="C555" t="s">
        <v>2247</v>
      </c>
      <c r="D555" t="s">
        <v>2248</v>
      </c>
      <c r="F555" t="str">
        <f>"0062968947"</f>
        <v>0062968947</v>
      </c>
      <c r="G555" t="str">
        <f>"9780062968944"</f>
        <v>9780062968944</v>
      </c>
      <c r="H555">
        <v>0</v>
      </c>
      <c r="I555">
        <v>3.84</v>
      </c>
      <c r="J555" t="s">
        <v>1384</v>
      </c>
      <c r="K555" t="s">
        <v>48</v>
      </c>
      <c r="L555">
        <v>325</v>
      </c>
      <c r="M555">
        <v>2020</v>
      </c>
      <c r="N555">
        <v>2020</v>
      </c>
      <c r="P555" s="1">
        <v>45504</v>
      </c>
      <c r="Q555" t="s">
        <v>30</v>
      </c>
      <c r="R555" t="s">
        <v>2249</v>
      </c>
      <c r="S555" t="s">
        <v>30</v>
      </c>
      <c r="W555">
        <v>0</v>
      </c>
      <c r="X555">
        <v>0</v>
      </c>
      <c r="Y555" t="s">
        <v>38</v>
      </c>
    </row>
    <row r="556" spans="1:25" x14ac:dyDescent="0.35">
      <c r="A556">
        <v>52180399</v>
      </c>
      <c r="B556" t="s">
        <v>2250</v>
      </c>
      <c r="C556" t="s">
        <v>2251</v>
      </c>
      <c r="D556" t="s">
        <v>2252</v>
      </c>
      <c r="F556" t="str">
        <f>"1982136456"</f>
        <v>1982136456</v>
      </c>
      <c r="G556" t="str">
        <f>"9781982136451"</f>
        <v>9781982136451</v>
      </c>
      <c r="H556">
        <v>0</v>
      </c>
      <c r="I556">
        <v>3.69</v>
      </c>
      <c r="J556" t="s">
        <v>2253</v>
      </c>
      <c r="K556" t="s">
        <v>48</v>
      </c>
      <c r="L556">
        <v>305</v>
      </c>
      <c r="M556">
        <v>2020</v>
      </c>
      <c r="N556">
        <v>2020</v>
      </c>
      <c r="P556" s="1">
        <v>45504</v>
      </c>
      <c r="Q556" t="s">
        <v>30</v>
      </c>
      <c r="R556" t="s">
        <v>2254</v>
      </c>
      <c r="S556" t="s">
        <v>30</v>
      </c>
      <c r="W556">
        <v>0</v>
      </c>
      <c r="X556">
        <v>0</v>
      </c>
      <c r="Y556" t="s">
        <v>38</v>
      </c>
    </row>
    <row r="557" spans="1:25" x14ac:dyDescent="0.35">
      <c r="A557">
        <v>75500819</v>
      </c>
      <c r="B557" t="s">
        <v>2255</v>
      </c>
      <c r="C557" t="s">
        <v>2256</v>
      </c>
      <c r="D557" t="s">
        <v>2257</v>
      </c>
      <c r="F557" t="str">
        <f>"0593473086"</f>
        <v>0593473086</v>
      </c>
      <c r="G557" t="str">
        <f>"9780593473085"</f>
        <v>9780593473085</v>
      </c>
      <c r="H557">
        <v>0</v>
      </c>
      <c r="I557">
        <v>3.88</v>
      </c>
      <c r="J557" t="s">
        <v>2258</v>
      </c>
      <c r="K557" t="s">
        <v>48</v>
      </c>
      <c r="L557">
        <v>368</v>
      </c>
      <c r="M557">
        <v>2023</v>
      </c>
      <c r="N557">
        <v>2023</v>
      </c>
      <c r="P557" s="1">
        <v>45504</v>
      </c>
      <c r="Q557" t="s">
        <v>30</v>
      </c>
      <c r="R557" t="s">
        <v>2259</v>
      </c>
      <c r="S557" t="s">
        <v>30</v>
      </c>
      <c r="W557">
        <v>0</v>
      </c>
      <c r="X557">
        <v>0</v>
      </c>
      <c r="Y557" t="s">
        <v>38</v>
      </c>
    </row>
    <row r="558" spans="1:25" x14ac:dyDescent="0.35">
      <c r="A558">
        <v>61884987</v>
      </c>
      <c r="B558" t="s">
        <v>2260</v>
      </c>
      <c r="C558" t="s">
        <v>2261</v>
      </c>
      <c r="D558" t="s">
        <v>2262</v>
      </c>
      <c r="F558" t="str">
        <f>"1250283787"</f>
        <v>1250283787</v>
      </c>
      <c r="G558" t="str">
        <f>"9781250283788"</f>
        <v>9781250283788</v>
      </c>
      <c r="H558">
        <v>0</v>
      </c>
      <c r="I558">
        <v>3.93</v>
      </c>
      <c r="J558" t="s">
        <v>878</v>
      </c>
      <c r="K558" t="s">
        <v>48</v>
      </c>
      <c r="L558">
        <v>323</v>
      </c>
      <c r="M558">
        <v>2023</v>
      </c>
      <c r="N558">
        <v>2023</v>
      </c>
      <c r="P558" s="1">
        <v>45492</v>
      </c>
      <c r="Q558" t="s">
        <v>30</v>
      </c>
      <c r="R558" t="s">
        <v>2263</v>
      </c>
      <c r="S558" t="s">
        <v>30</v>
      </c>
      <c r="W558">
        <v>0</v>
      </c>
      <c r="X558">
        <v>0</v>
      </c>
      <c r="Y558" t="s">
        <v>38</v>
      </c>
    </row>
    <row r="559" spans="1:25" x14ac:dyDescent="0.35">
      <c r="A559">
        <v>57044336</v>
      </c>
      <c r="B559" t="s">
        <v>2264</v>
      </c>
      <c r="C559" t="s">
        <v>785</v>
      </c>
      <c r="D559" t="s">
        <v>786</v>
      </c>
      <c r="F559" t="str">
        <f>"1621841871"</f>
        <v>1621841871</v>
      </c>
      <c r="G559" t="str">
        <f>"9781621841876"</f>
        <v>9781621841876</v>
      </c>
      <c r="H559">
        <v>0</v>
      </c>
      <c r="I559">
        <v>4.1100000000000003</v>
      </c>
      <c r="J559" t="s">
        <v>113</v>
      </c>
      <c r="K559" t="s">
        <v>48</v>
      </c>
      <c r="L559">
        <v>272</v>
      </c>
      <c r="M559">
        <v>2021</v>
      </c>
      <c r="P559" s="1">
        <v>45492</v>
      </c>
      <c r="Q559" t="s">
        <v>30</v>
      </c>
      <c r="R559" t="s">
        <v>2265</v>
      </c>
      <c r="S559" t="s">
        <v>30</v>
      </c>
      <c r="W559">
        <v>0</v>
      </c>
      <c r="X559">
        <v>0</v>
      </c>
      <c r="Y559" t="s">
        <v>38</v>
      </c>
    </row>
    <row r="560" spans="1:25" x14ac:dyDescent="0.35">
      <c r="A560">
        <v>95784</v>
      </c>
      <c r="B560" t="s">
        <v>2266</v>
      </c>
      <c r="C560" t="s">
        <v>2267</v>
      </c>
      <c r="D560" t="s">
        <v>2268</v>
      </c>
      <c r="F560" t="str">
        <f>"0140277447"</f>
        <v>0140277447</v>
      </c>
      <c r="G560" t="str">
        <f>"9780140277449"</f>
        <v>9780140277449</v>
      </c>
      <c r="H560">
        <v>0</v>
      </c>
      <c r="I560">
        <v>4.24</v>
      </c>
      <c r="J560" t="s">
        <v>274</v>
      </c>
      <c r="K560" t="s">
        <v>29</v>
      </c>
      <c r="L560">
        <v>290</v>
      </c>
      <c r="M560">
        <v>1998</v>
      </c>
      <c r="N560">
        <v>1997</v>
      </c>
      <c r="P560" s="1">
        <v>45492</v>
      </c>
      <c r="Q560" t="s">
        <v>30</v>
      </c>
      <c r="R560" t="s">
        <v>2269</v>
      </c>
      <c r="S560" t="s">
        <v>30</v>
      </c>
      <c r="W560">
        <v>0</v>
      </c>
      <c r="X560">
        <v>0</v>
      </c>
      <c r="Y560" t="s">
        <v>32</v>
      </c>
    </row>
    <row r="561" spans="1:25" x14ac:dyDescent="0.35">
      <c r="A561">
        <v>62926992</v>
      </c>
      <c r="B561" t="s">
        <v>2270</v>
      </c>
      <c r="C561" t="s">
        <v>2271</v>
      </c>
      <c r="D561" t="s">
        <v>2272</v>
      </c>
      <c r="F561" t="str">
        <f>"0593598830"</f>
        <v>0593598830</v>
      </c>
      <c r="G561" t="str">
        <f>"9780593598832"</f>
        <v>9780593598832</v>
      </c>
      <c r="H561">
        <v>0</v>
      </c>
      <c r="I561">
        <v>4.05</v>
      </c>
      <c r="J561" t="s">
        <v>1008</v>
      </c>
      <c r="K561" t="s">
        <v>48</v>
      </c>
      <c r="L561">
        <v>304</v>
      </c>
      <c r="M561">
        <v>2023</v>
      </c>
      <c r="N561">
        <v>2023</v>
      </c>
      <c r="P561" s="1">
        <v>45492</v>
      </c>
      <c r="Q561" t="s">
        <v>30</v>
      </c>
      <c r="R561" t="s">
        <v>2273</v>
      </c>
      <c r="S561" t="s">
        <v>30</v>
      </c>
      <c r="W561">
        <v>0</v>
      </c>
      <c r="X561">
        <v>0</v>
      </c>
      <c r="Y561" t="s">
        <v>38</v>
      </c>
    </row>
    <row r="562" spans="1:25" x14ac:dyDescent="0.35">
      <c r="A562">
        <v>199927030</v>
      </c>
      <c r="B562" t="s">
        <v>2274</v>
      </c>
      <c r="C562" t="s">
        <v>2271</v>
      </c>
      <c r="D562" t="s">
        <v>2272</v>
      </c>
      <c r="F562" t="str">
        <f>"0593598873"</f>
        <v>0593598873</v>
      </c>
      <c r="G562" t="str">
        <f>"9780593598870"</f>
        <v>9780593598870</v>
      </c>
      <c r="H562">
        <v>0</v>
      </c>
      <c r="I562">
        <v>3.81</v>
      </c>
      <c r="J562" t="s">
        <v>1008</v>
      </c>
      <c r="K562" t="s">
        <v>48</v>
      </c>
      <c r="L562">
        <v>352</v>
      </c>
      <c r="M562">
        <v>2024</v>
      </c>
      <c r="N562">
        <v>2024</v>
      </c>
      <c r="P562" s="1">
        <v>45492</v>
      </c>
      <c r="Q562" t="s">
        <v>30</v>
      </c>
      <c r="R562" t="s">
        <v>2275</v>
      </c>
      <c r="S562" t="s">
        <v>30</v>
      </c>
      <c r="W562">
        <v>0</v>
      </c>
      <c r="X562">
        <v>0</v>
      </c>
      <c r="Y562" t="s">
        <v>38</v>
      </c>
    </row>
    <row r="563" spans="1:25" x14ac:dyDescent="0.35">
      <c r="A563">
        <v>623976</v>
      </c>
      <c r="B563" t="s">
        <v>2276</v>
      </c>
      <c r="C563" t="s">
        <v>2129</v>
      </c>
      <c r="D563" t="s">
        <v>2130</v>
      </c>
      <c r="F563" t="str">
        <f>"0439925509"</f>
        <v>0439925509</v>
      </c>
      <c r="G563" t="str">
        <f>"9780439925501"</f>
        <v>9780439925501</v>
      </c>
      <c r="H563">
        <v>0</v>
      </c>
      <c r="I563">
        <v>3.92</v>
      </c>
      <c r="J563" t="s">
        <v>356</v>
      </c>
      <c r="K563" t="s">
        <v>48</v>
      </c>
      <c r="L563">
        <v>308</v>
      </c>
      <c r="M563">
        <v>2007</v>
      </c>
      <c r="N563">
        <v>2007</v>
      </c>
      <c r="P563" s="1">
        <v>45492</v>
      </c>
      <c r="Q563" t="s">
        <v>30</v>
      </c>
      <c r="R563" t="s">
        <v>2277</v>
      </c>
      <c r="S563" t="s">
        <v>30</v>
      </c>
      <c r="W563">
        <v>0</v>
      </c>
      <c r="X563">
        <v>0</v>
      </c>
      <c r="Y563" t="s">
        <v>38</v>
      </c>
    </row>
    <row r="564" spans="1:25" x14ac:dyDescent="0.35">
      <c r="A564">
        <v>39973</v>
      </c>
      <c r="B564" t="s">
        <v>2278</v>
      </c>
      <c r="C564" t="s">
        <v>2279</v>
      </c>
      <c r="D564" t="s">
        <v>2280</v>
      </c>
      <c r="F564" t="str">
        <f>"0803730802"</f>
        <v>0803730802</v>
      </c>
      <c r="G564" t="str">
        <f>"9780803730809"</f>
        <v>9780803730809</v>
      </c>
      <c r="H564">
        <v>0</v>
      </c>
      <c r="I564">
        <v>3.76</v>
      </c>
      <c r="J564" t="s">
        <v>2281</v>
      </c>
      <c r="K564" t="s">
        <v>48</v>
      </c>
      <c r="L564">
        <v>160</v>
      </c>
      <c r="M564">
        <v>2006</v>
      </c>
      <c r="N564">
        <v>2006</v>
      </c>
      <c r="P564" s="1">
        <v>45492</v>
      </c>
      <c r="Q564" t="s">
        <v>30</v>
      </c>
      <c r="R564" t="s">
        <v>2282</v>
      </c>
      <c r="S564" t="s">
        <v>30</v>
      </c>
      <c r="W564">
        <v>0</v>
      </c>
      <c r="X564">
        <v>0</v>
      </c>
      <c r="Y564" t="s">
        <v>38</v>
      </c>
    </row>
    <row r="565" spans="1:25" x14ac:dyDescent="0.35">
      <c r="A565">
        <v>51932121</v>
      </c>
      <c r="B565" t="s">
        <v>2283</v>
      </c>
      <c r="C565" t="s">
        <v>2284</v>
      </c>
      <c r="D565" t="s">
        <v>2285</v>
      </c>
      <c r="F565" t="str">
        <f>"0062851500"</f>
        <v>0062851500</v>
      </c>
      <c r="G565" t="str">
        <f>"9780062851505"</f>
        <v>9780062851505</v>
      </c>
      <c r="H565">
        <v>0</v>
      </c>
      <c r="I565">
        <v>3.79</v>
      </c>
      <c r="J565" t="s">
        <v>662</v>
      </c>
      <c r="K565" t="s">
        <v>29</v>
      </c>
      <c r="L565">
        <v>400</v>
      </c>
      <c r="M565">
        <v>2020</v>
      </c>
      <c r="N565">
        <v>2020</v>
      </c>
      <c r="P565" s="1">
        <v>45492</v>
      </c>
      <c r="Q565" t="s">
        <v>30</v>
      </c>
      <c r="R565" t="s">
        <v>2286</v>
      </c>
      <c r="S565" t="s">
        <v>30</v>
      </c>
      <c r="W565">
        <v>0</v>
      </c>
      <c r="X565">
        <v>0</v>
      </c>
      <c r="Y565" t="s">
        <v>38</v>
      </c>
    </row>
    <row r="566" spans="1:25" x14ac:dyDescent="0.35">
      <c r="A566">
        <v>61237143</v>
      </c>
      <c r="B566" t="s">
        <v>2287</v>
      </c>
      <c r="C566" t="s">
        <v>2288</v>
      </c>
      <c r="D566" t="s">
        <v>2289</v>
      </c>
      <c r="F566" t="str">
        <f>"1538724219"</f>
        <v>1538724219</v>
      </c>
      <c r="G566" t="str">
        <f>"9781538724217"</f>
        <v>9781538724217</v>
      </c>
      <c r="H566">
        <v>0</v>
      </c>
      <c r="I566">
        <v>4.24</v>
      </c>
      <c r="J566" t="s">
        <v>441</v>
      </c>
      <c r="K566" t="s">
        <v>29</v>
      </c>
      <c r="L566">
        <v>468</v>
      </c>
      <c r="M566">
        <v>2023</v>
      </c>
      <c r="N566">
        <v>2023</v>
      </c>
      <c r="P566" s="1">
        <v>45492</v>
      </c>
      <c r="Q566" t="s">
        <v>30</v>
      </c>
      <c r="R566" t="s">
        <v>2290</v>
      </c>
      <c r="S566" t="s">
        <v>30</v>
      </c>
      <c r="W566">
        <v>0</v>
      </c>
      <c r="X566">
        <v>0</v>
      </c>
      <c r="Y566" t="s">
        <v>32</v>
      </c>
    </row>
    <row r="567" spans="1:25" x14ac:dyDescent="0.35">
      <c r="A567">
        <v>123004948</v>
      </c>
      <c r="B567" t="s">
        <v>2291</v>
      </c>
      <c r="C567" t="s">
        <v>386</v>
      </c>
      <c r="D567" t="s">
        <v>387</v>
      </c>
      <c r="F567" t="str">
        <f>"0593498356"</f>
        <v>0593498356</v>
      </c>
      <c r="G567" t="str">
        <f>"9780593498354"</f>
        <v>9780593498354</v>
      </c>
      <c r="H567">
        <v>0</v>
      </c>
      <c r="I567">
        <v>4.04</v>
      </c>
      <c r="J567" t="s">
        <v>1039</v>
      </c>
      <c r="K567" t="s">
        <v>85</v>
      </c>
      <c r="L567">
        <v>320</v>
      </c>
      <c r="M567">
        <v>2023</v>
      </c>
      <c r="N567">
        <v>2023</v>
      </c>
      <c r="P567" s="1">
        <v>45492</v>
      </c>
      <c r="Q567" t="s">
        <v>30</v>
      </c>
      <c r="R567" t="s">
        <v>2292</v>
      </c>
      <c r="S567" t="s">
        <v>30</v>
      </c>
      <c r="W567">
        <v>0</v>
      </c>
      <c r="X567">
        <v>0</v>
      </c>
      <c r="Y567" t="s">
        <v>38</v>
      </c>
    </row>
    <row r="568" spans="1:25" x14ac:dyDescent="0.35">
      <c r="A568">
        <v>58784475</v>
      </c>
      <c r="B568" t="s">
        <v>2293</v>
      </c>
      <c r="C568" t="s">
        <v>2294</v>
      </c>
      <c r="D568" t="s">
        <v>2295</v>
      </c>
      <c r="F568" t="str">
        <f>"0735243344"</f>
        <v>0735243344</v>
      </c>
      <c r="G568" t="str">
        <f>"9780735243347"</f>
        <v>9780735243347</v>
      </c>
      <c r="H568">
        <v>0</v>
      </c>
      <c r="I568">
        <v>4.1399999999999997</v>
      </c>
      <c r="J568" t="s">
        <v>487</v>
      </c>
      <c r="K568" t="s">
        <v>48</v>
      </c>
      <c r="L568">
        <v>401</v>
      </c>
      <c r="M568">
        <v>2022</v>
      </c>
      <c r="N568">
        <v>2022</v>
      </c>
      <c r="P568" s="1">
        <v>45492</v>
      </c>
      <c r="Q568" t="s">
        <v>30</v>
      </c>
      <c r="R568" t="s">
        <v>2296</v>
      </c>
      <c r="S568" t="s">
        <v>30</v>
      </c>
      <c r="W568">
        <v>0</v>
      </c>
      <c r="X568">
        <v>0</v>
      </c>
      <c r="Y568" t="s">
        <v>38</v>
      </c>
    </row>
    <row r="569" spans="1:25" x14ac:dyDescent="0.35">
      <c r="A569">
        <v>112974882</v>
      </c>
      <c r="B569" t="s">
        <v>2297</v>
      </c>
      <c r="C569" t="s">
        <v>2298</v>
      </c>
      <c r="D569" t="s">
        <v>2299</v>
      </c>
      <c r="F569" t="str">
        <f>"0593470516"</f>
        <v>0593470516</v>
      </c>
      <c r="G569" t="str">
        <f>"9780593470527"</f>
        <v>9780593470527</v>
      </c>
      <c r="H569">
        <v>0</v>
      </c>
      <c r="I569">
        <v>4.01</v>
      </c>
      <c r="J569" t="s">
        <v>1379</v>
      </c>
      <c r="K569" t="s">
        <v>85</v>
      </c>
      <c r="L569">
        <v>259</v>
      </c>
      <c r="M569">
        <v>2023</v>
      </c>
      <c r="N569">
        <v>2023</v>
      </c>
      <c r="P569" s="1">
        <v>45492</v>
      </c>
      <c r="Q569" t="s">
        <v>30</v>
      </c>
      <c r="R569" t="s">
        <v>2300</v>
      </c>
      <c r="S569" t="s">
        <v>30</v>
      </c>
      <c r="W569">
        <v>0</v>
      </c>
      <c r="X569">
        <v>0</v>
      </c>
      <c r="Y569" t="s">
        <v>38</v>
      </c>
    </row>
    <row r="570" spans="1:25" x14ac:dyDescent="0.35">
      <c r="A570">
        <v>43078423</v>
      </c>
      <c r="B570" t="s">
        <v>2301</v>
      </c>
      <c r="C570" t="s">
        <v>2302</v>
      </c>
      <c r="D570" t="s">
        <v>2303</v>
      </c>
      <c r="E570" t="s">
        <v>2304</v>
      </c>
      <c r="F570" t="str">
        <f>"1721386963"</f>
        <v>1721386963</v>
      </c>
      <c r="G570" t="str">
        <f>"9781721386963"</f>
        <v>9781721386963</v>
      </c>
      <c r="H570">
        <v>0</v>
      </c>
      <c r="I570">
        <v>4.26</v>
      </c>
      <c r="J570" t="s">
        <v>2305</v>
      </c>
      <c r="K570" t="s">
        <v>1707</v>
      </c>
      <c r="L570">
        <v>391</v>
      </c>
      <c r="M570">
        <v>2019</v>
      </c>
      <c r="N570">
        <v>2019</v>
      </c>
      <c r="P570" s="1">
        <v>45492</v>
      </c>
      <c r="Q570" t="s">
        <v>30</v>
      </c>
      <c r="R570" t="s">
        <v>2306</v>
      </c>
      <c r="S570" t="s">
        <v>30</v>
      </c>
      <c r="W570">
        <v>0</v>
      </c>
      <c r="X570">
        <v>0</v>
      </c>
      <c r="Y570" t="s">
        <v>38</v>
      </c>
    </row>
    <row r="571" spans="1:25" x14ac:dyDescent="0.35">
      <c r="A571">
        <v>62349957</v>
      </c>
      <c r="B571" t="s">
        <v>2307</v>
      </c>
      <c r="C571" t="s">
        <v>2308</v>
      </c>
      <c r="D571" t="s">
        <v>2309</v>
      </c>
      <c r="F571" t="str">
        <f>"1454947845"</f>
        <v>1454947845</v>
      </c>
      <c r="G571" t="str">
        <f>"9781454947844"</f>
        <v>9781454947844</v>
      </c>
      <c r="H571">
        <v>0</v>
      </c>
      <c r="I571">
        <v>4.21</v>
      </c>
      <c r="J571" t="s">
        <v>2310</v>
      </c>
      <c r="K571" t="s">
        <v>48</v>
      </c>
      <c r="L571">
        <v>272</v>
      </c>
      <c r="M571">
        <v>2023</v>
      </c>
      <c r="N571">
        <v>2023</v>
      </c>
      <c r="P571" s="1">
        <v>45492</v>
      </c>
      <c r="Q571" t="s">
        <v>30</v>
      </c>
      <c r="R571" t="s">
        <v>2311</v>
      </c>
      <c r="S571" t="s">
        <v>30</v>
      </c>
      <c r="W571">
        <v>0</v>
      </c>
      <c r="X571">
        <v>0</v>
      </c>
      <c r="Y571" t="s">
        <v>38</v>
      </c>
    </row>
    <row r="572" spans="1:25" x14ac:dyDescent="0.35">
      <c r="A572">
        <v>58429364</v>
      </c>
      <c r="B572" t="s">
        <v>2312</v>
      </c>
      <c r="C572" t="s">
        <v>2313</v>
      </c>
      <c r="D572" t="s">
        <v>2314</v>
      </c>
      <c r="F572" t="str">
        <f>"1400234204"</f>
        <v>1400234204</v>
      </c>
      <c r="G572" t="str">
        <f>"9781400234202"</f>
        <v>9781400234202</v>
      </c>
      <c r="H572">
        <v>0</v>
      </c>
      <c r="I572">
        <v>3.53</v>
      </c>
      <c r="J572" t="s">
        <v>713</v>
      </c>
      <c r="K572" t="s">
        <v>48</v>
      </c>
      <c r="L572">
        <v>464</v>
      </c>
      <c r="M572">
        <v>2022</v>
      </c>
      <c r="N572">
        <v>2022</v>
      </c>
      <c r="P572" s="1">
        <v>45492</v>
      </c>
      <c r="Q572" t="s">
        <v>30</v>
      </c>
      <c r="R572" t="s">
        <v>2315</v>
      </c>
      <c r="S572" t="s">
        <v>30</v>
      </c>
      <c r="W572">
        <v>0</v>
      </c>
      <c r="X572">
        <v>0</v>
      </c>
      <c r="Y572" t="s">
        <v>38</v>
      </c>
    </row>
    <row r="573" spans="1:25" x14ac:dyDescent="0.35">
      <c r="A573">
        <v>52462895</v>
      </c>
      <c r="B573" t="s">
        <v>2316</v>
      </c>
      <c r="C573" t="s">
        <v>2317</v>
      </c>
      <c r="D573" t="s">
        <v>2318</v>
      </c>
      <c r="F573" t="str">
        <f>"006293662X"</f>
        <v>006293662X</v>
      </c>
      <c r="G573" t="str">
        <f>"9780062936622"</f>
        <v>9780062936622</v>
      </c>
      <c r="H573">
        <v>0</v>
      </c>
      <c r="I573">
        <v>4.04</v>
      </c>
      <c r="J573" t="s">
        <v>2319</v>
      </c>
      <c r="K573" t="s">
        <v>48</v>
      </c>
      <c r="L573">
        <v>359</v>
      </c>
      <c r="M573">
        <v>2020</v>
      </c>
      <c r="N573">
        <v>2020</v>
      </c>
      <c r="P573" s="1">
        <v>45492</v>
      </c>
      <c r="Q573" t="s">
        <v>30</v>
      </c>
      <c r="R573" t="s">
        <v>2320</v>
      </c>
      <c r="S573" t="s">
        <v>30</v>
      </c>
      <c r="W573">
        <v>0</v>
      </c>
      <c r="X573">
        <v>0</v>
      </c>
      <c r="Y573" t="s">
        <v>38</v>
      </c>
    </row>
    <row r="574" spans="1:25" x14ac:dyDescent="0.35">
      <c r="A574">
        <v>63882018</v>
      </c>
      <c r="B574" t="s">
        <v>2321</v>
      </c>
      <c r="C574" t="s">
        <v>2322</v>
      </c>
      <c r="D574" t="s">
        <v>2323</v>
      </c>
      <c r="F574" t="str">
        <f>"1496740556"</f>
        <v>1496740556</v>
      </c>
      <c r="G574" t="str">
        <f>"9781496740557"</f>
        <v>9781496740557</v>
      </c>
      <c r="H574">
        <v>0</v>
      </c>
      <c r="I574">
        <v>4.04</v>
      </c>
      <c r="J574" t="s">
        <v>2324</v>
      </c>
      <c r="K574" t="s">
        <v>228</v>
      </c>
      <c r="L574">
        <v>326</v>
      </c>
      <c r="M574">
        <v>2023</v>
      </c>
      <c r="N574">
        <v>2023</v>
      </c>
      <c r="P574" s="1">
        <v>45492</v>
      </c>
      <c r="Q574" t="s">
        <v>30</v>
      </c>
      <c r="R574" t="s">
        <v>2325</v>
      </c>
      <c r="S574" t="s">
        <v>30</v>
      </c>
      <c r="W574">
        <v>0</v>
      </c>
      <c r="X574">
        <v>0</v>
      </c>
      <c r="Y574" t="s">
        <v>542</v>
      </c>
    </row>
    <row r="575" spans="1:25" x14ac:dyDescent="0.35">
      <c r="A575">
        <v>60932</v>
      </c>
      <c r="B575" t="s">
        <v>2326</v>
      </c>
      <c r="C575" t="s">
        <v>2327</v>
      </c>
      <c r="D575" t="s">
        <v>2328</v>
      </c>
      <c r="F575" t="str">
        <f>"0446610380"</f>
        <v>0446610380</v>
      </c>
      <c r="G575" t="str">
        <f>"9780446610384"</f>
        <v>9780446610384</v>
      </c>
      <c r="H575">
        <v>0</v>
      </c>
      <c r="I575">
        <v>4.32</v>
      </c>
      <c r="J575" t="s">
        <v>2329</v>
      </c>
      <c r="K575" t="s">
        <v>228</v>
      </c>
      <c r="L575">
        <v>448</v>
      </c>
      <c r="M575">
        <v>2001</v>
      </c>
      <c r="N575">
        <v>1998</v>
      </c>
      <c r="P575" s="1">
        <v>45490</v>
      </c>
      <c r="Q575" t="s">
        <v>30</v>
      </c>
      <c r="R575" t="s">
        <v>2330</v>
      </c>
      <c r="S575" t="s">
        <v>30</v>
      </c>
      <c r="W575">
        <v>0</v>
      </c>
      <c r="X575">
        <v>0</v>
      </c>
      <c r="Y575" t="s">
        <v>38</v>
      </c>
    </row>
    <row r="576" spans="1:25" x14ac:dyDescent="0.35">
      <c r="A576">
        <v>52397</v>
      </c>
      <c r="B576" t="s">
        <v>2331</v>
      </c>
      <c r="C576" t="s">
        <v>2327</v>
      </c>
      <c r="D576" t="s">
        <v>2328</v>
      </c>
      <c r="F576" t="str">
        <f>"0446675504"</f>
        <v>0446675504</v>
      </c>
      <c r="G576" t="str">
        <f>"9780446675505"</f>
        <v>9780446675505</v>
      </c>
      <c r="H576">
        <v>0</v>
      </c>
      <c r="I576">
        <v>4.21</v>
      </c>
      <c r="J576" t="s">
        <v>1295</v>
      </c>
      <c r="K576" t="s">
        <v>29</v>
      </c>
      <c r="L576">
        <v>345</v>
      </c>
      <c r="M576">
        <v>2000</v>
      </c>
      <c r="N576">
        <v>1993</v>
      </c>
      <c r="P576" s="1">
        <v>45490</v>
      </c>
      <c r="Q576" t="s">
        <v>30</v>
      </c>
      <c r="R576" t="s">
        <v>2332</v>
      </c>
      <c r="S576" t="s">
        <v>30</v>
      </c>
      <c r="W576">
        <v>0</v>
      </c>
      <c r="X576">
        <v>0</v>
      </c>
      <c r="Y576" t="s">
        <v>38</v>
      </c>
    </row>
    <row r="577" spans="1:25" x14ac:dyDescent="0.35">
      <c r="A577">
        <v>797107</v>
      </c>
      <c r="B577" t="s">
        <v>2333</v>
      </c>
      <c r="C577" t="s">
        <v>2334</v>
      </c>
      <c r="D577" t="s">
        <v>2335</v>
      </c>
      <c r="F577" t="str">
        <f>"1555911595"</f>
        <v>1555911595</v>
      </c>
      <c r="G577" t="str">
        <f>"9781555911591"</f>
        <v>9781555911591</v>
      </c>
      <c r="H577">
        <v>0</v>
      </c>
      <c r="I577">
        <v>3.67</v>
      </c>
      <c r="J577" t="s">
        <v>2336</v>
      </c>
      <c r="K577" t="s">
        <v>48</v>
      </c>
      <c r="L577">
        <v>320</v>
      </c>
      <c r="M577">
        <v>2002</v>
      </c>
      <c r="N577">
        <v>2002</v>
      </c>
      <c r="P577" s="1">
        <v>45488</v>
      </c>
      <c r="Q577" t="s">
        <v>30</v>
      </c>
      <c r="R577" t="s">
        <v>2337</v>
      </c>
      <c r="S577" t="s">
        <v>30</v>
      </c>
      <c r="W577">
        <v>0</v>
      </c>
      <c r="X577">
        <v>0</v>
      </c>
      <c r="Y577" t="s">
        <v>38</v>
      </c>
    </row>
    <row r="578" spans="1:25" x14ac:dyDescent="0.35">
      <c r="A578">
        <v>423791</v>
      </c>
      <c r="B578" t="s">
        <v>2338</v>
      </c>
      <c r="C578" t="s">
        <v>2334</v>
      </c>
      <c r="D578" t="s">
        <v>2335</v>
      </c>
      <c r="F578" t="str">
        <f>"0292707541"</f>
        <v>0292707541</v>
      </c>
      <c r="G578" t="str">
        <f>"9780292707542"</f>
        <v>9780292707542</v>
      </c>
      <c r="H578">
        <v>0</v>
      </c>
      <c r="I578">
        <v>4.22</v>
      </c>
      <c r="J578" t="s">
        <v>2339</v>
      </c>
      <c r="K578" t="s">
        <v>29</v>
      </c>
      <c r="L578">
        <v>310</v>
      </c>
      <c r="M578">
        <v>1985</v>
      </c>
      <c r="N578">
        <v>1985</v>
      </c>
      <c r="P578" s="1">
        <v>45488</v>
      </c>
      <c r="Q578" t="s">
        <v>30</v>
      </c>
      <c r="R578" t="s">
        <v>2340</v>
      </c>
      <c r="S578" t="s">
        <v>30</v>
      </c>
      <c r="W578">
        <v>0</v>
      </c>
      <c r="X578">
        <v>0</v>
      </c>
      <c r="Y578" t="s">
        <v>38</v>
      </c>
    </row>
    <row r="579" spans="1:25" x14ac:dyDescent="0.35">
      <c r="A579">
        <v>279096</v>
      </c>
      <c r="B579" t="s">
        <v>2341</v>
      </c>
      <c r="C579" t="s">
        <v>2334</v>
      </c>
      <c r="D579" t="s">
        <v>2335</v>
      </c>
      <c r="E579" t="s">
        <v>2342</v>
      </c>
      <c r="F579" t="str">
        <f>"155591859X"</f>
        <v>155591859X</v>
      </c>
      <c r="G579" t="str">
        <f>"9781555918590"</f>
        <v>9781555918590</v>
      </c>
      <c r="H579">
        <v>0</v>
      </c>
      <c r="I579">
        <v>4.43</v>
      </c>
      <c r="J579" t="s">
        <v>2336</v>
      </c>
      <c r="K579" t="s">
        <v>29</v>
      </c>
      <c r="L579">
        <v>176</v>
      </c>
      <c r="M579">
        <v>2001</v>
      </c>
      <c r="N579">
        <v>2001</v>
      </c>
      <c r="P579" s="1">
        <v>45488</v>
      </c>
      <c r="Q579" t="s">
        <v>30</v>
      </c>
      <c r="R579" t="s">
        <v>2343</v>
      </c>
      <c r="S579" t="s">
        <v>30</v>
      </c>
      <c r="W579">
        <v>0</v>
      </c>
      <c r="X579">
        <v>0</v>
      </c>
      <c r="Y579" t="s">
        <v>38</v>
      </c>
    </row>
    <row r="580" spans="1:25" x14ac:dyDescent="0.35">
      <c r="A580">
        <v>279109</v>
      </c>
      <c r="B580" t="s">
        <v>2344</v>
      </c>
      <c r="C580" t="s">
        <v>2345</v>
      </c>
      <c r="D580" t="s">
        <v>2346</v>
      </c>
      <c r="E580" t="s">
        <v>2347</v>
      </c>
      <c r="F580" t="str">
        <f>"0816516073"</f>
        <v>0816516073</v>
      </c>
      <c r="G580" t="str">
        <f>"9780816516070"</f>
        <v>9780816516070</v>
      </c>
      <c r="H580">
        <v>0</v>
      </c>
      <c r="I580">
        <v>4.03</v>
      </c>
      <c r="J580" t="s">
        <v>2348</v>
      </c>
      <c r="K580" t="s">
        <v>29</v>
      </c>
      <c r="L580">
        <v>236</v>
      </c>
      <c r="M580">
        <v>1997</v>
      </c>
      <c r="N580">
        <v>1997</v>
      </c>
      <c r="P580" s="1">
        <v>45488</v>
      </c>
      <c r="Q580" t="s">
        <v>30</v>
      </c>
      <c r="R580" t="s">
        <v>2349</v>
      </c>
      <c r="S580" t="s">
        <v>30</v>
      </c>
      <c r="W580">
        <v>0</v>
      </c>
      <c r="X580">
        <v>0</v>
      </c>
      <c r="Y580" t="s">
        <v>38</v>
      </c>
    </row>
    <row r="581" spans="1:25" x14ac:dyDescent="0.35">
      <c r="A581">
        <v>254349</v>
      </c>
      <c r="B581" t="s">
        <v>2350</v>
      </c>
      <c r="C581" t="s">
        <v>2334</v>
      </c>
      <c r="D581" t="s">
        <v>2335</v>
      </c>
      <c r="E581" t="s">
        <v>2351</v>
      </c>
      <c r="F581" t="str">
        <f>"1555914985"</f>
        <v>1555914985</v>
      </c>
      <c r="G581" t="str">
        <f>"9781555914981"</f>
        <v>9781555914981</v>
      </c>
      <c r="H581">
        <v>0</v>
      </c>
      <c r="I581">
        <v>4.1500000000000004</v>
      </c>
      <c r="J581" t="s">
        <v>2336</v>
      </c>
      <c r="K581" t="s">
        <v>29</v>
      </c>
      <c r="L581">
        <v>325</v>
      </c>
      <c r="M581">
        <v>2003</v>
      </c>
      <c r="N581">
        <v>1972</v>
      </c>
      <c r="P581" s="1">
        <v>45488</v>
      </c>
      <c r="Q581" t="s">
        <v>30</v>
      </c>
      <c r="R581" t="s">
        <v>2352</v>
      </c>
      <c r="S581" t="s">
        <v>30</v>
      </c>
      <c r="W581">
        <v>0</v>
      </c>
      <c r="X581">
        <v>0</v>
      </c>
      <c r="Y581" t="s">
        <v>122</v>
      </c>
    </row>
    <row r="582" spans="1:25" x14ac:dyDescent="0.35">
      <c r="A582">
        <v>61613291</v>
      </c>
      <c r="B582" t="s">
        <v>2353</v>
      </c>
      <c r="C582" t="s">
        <v>2354</v>
      </c>
      <c r="D582" t="s">
        <v>2355</v>
      </c>
      <c r="E582" t="s">
        <v>2356</v>
      </c>
      <c r="F582" t="str">
        <f>"1940627486"</f>
        <v>1940627486</v>
      </c>
      <c r="G582" t="str">
        <f>"9781940627489"</f>
        <v>9781940627489</v>
      </c>
      <c r="H582">
        <v>0</v>
      </c>
      <c r="I582">
        <v>4.0999999999999996</v>
      </c>
      <c r="J582" t="s">
        <v>2354</v>
      </c>
      <c r="K582" t="s">
        <v>85</v>
      </c>
      <c r="L582">
        <v>356</v>
      </c>
      <c r="M582">
        <v>2022</v>
      </c>
      <c r="P582" s="1">
        <v>45485</v>
      </c>
      <c r="Q582" t="s">
        <v>30</v>
      </c>
      <c r="R582" t="s">
        <v>2357</v>
      </c>
      <c r="S582" t="s">
        <v>30</v>
      </c>
      <c r="W582">
        <v>0</v>
      </c>
      <c r="X582">
        <v>0</v>
      </c>
      <c r="Y582" t="s">
        <v>38</v>
      </c>
    </row>
    <row r="583" spans="1:25" x14ac:dyDescent="0.35">
      <c r="A583">
        <v>55744836</v>
      </c>
      <c r="B583" t="s">
        <v>2358</v>
      </c>
      <c r="C583" t="s">
        <v>305</v>
      </c>
      <c r="D583" t="s">
        <v>306</v>
      </c>
      <c r="F583" t="str">
        <f>""</f>
        <v/>
      </c>
      <c r="G583" t="str">
        <f>""</f>
        <v/>
      </c>
      <c r="H583">
        <v>0</v>
      </c>
      <c r="I583">
        <v>4.5</v>
      </c>
      <c r="K583" t="s">
        <v>85</v>
      </c>
      <c r="L583">
        <v>182</v>
      </c>
      <c r="M583">
        <v>2020</v>
      </c>
      <c r="P583" s="1">
        <v>45483</v>
      </c>
      <c r="Q583" t="s">
        <v>30</v>
      </c>
      <c r="R583" t="s">
        <v>2359</v>
      </c>
      <c r="S583" t="s">
        <v>30</v>
      </c>
      <c r="W583">
        <v>0</v>
      </c>
      <c r="X583">
        <v>0</v>
      </c>
      <c r="Y583" t="s">
        <v>38</v>
      </c>
    </row>
    <row r="584" spans="1:25" x14ac:dyDescent="0.35">
      <c r="A584">
        <v>62611315</v>
      </c>
      <c r="B584" t="s">
        <v>2360</v>
      </c>
      <c r="C584" t="s">
        <v>2361</v>
      </c>
      <c r="D584" t="s">
        <v>2362</v>
      </c>
      <c r="F584" t="str">
        <f>"0764241567"</f>
        <v>0764241567</v>
      </c>
      <c r="G584" t="str">
        <f>"9781493442157"</f>
        <v>9781493442157</v>
      </c>
      <c r="H584">
        <v>0</v>
      </c>
      <c r="I584">
        <v>4.38</v>
      </c>
      <c r="J584" t="s">
        <v>36</v>
      </c>
      <c r="K584" t="s">
        <v>85</v>
      </c>
      <c r="L584">
        <v>384</v>
      </c>
      <c r="M584">
        <v>2023</v>
      </c>
      <c r="N584">
        <v>2023</v>
      </c>
      <c r="P584" s="1">
        <v>45483</v>
      </c>
      <c r="Q584" t="s">
        <v>30</v>
      </c>
      <c r="R584" t="s">
        <v>2363</v>
      </c>
      <c r="S584" t="s">
        <v>30</v>
      </c>
      <c r="W584">
        <v>0</v>
      </c>
      <c r="X584">
        <v>0</v>
      </c>
      <c r="Y584" t="s">
        <v>38</v>
      </c>
    </row>
    <row r="585" spans="1:25" x14ac:dyDescent="0.35">
      <c r="A585">
        <v>200772283</v>
      </c>
      <c r="B585" t="s">
        <v>2364</v>
      </c>
      <c r="C585" t="s">
        <v>2361</v>
      </c>
      <c r="D585" t="s">
        <v>2362</v>
      </c>
      <c r="F585" t="str">
        <f>"0764241575"</f>
        <v>0764241575</v>
      </c>
      <c r="G585" t="str">
        <f>"9780764241574"</f>
        <v>9780764241574</v>
      </c>
      <c r="H585">
        <v>0</v>
      </c>
      <c r="I585">
        <v>4.49</v>
      </c>
      <c r="J585" t="s">
        <v>36</v>
      </c>
      <c r="K585" t="s">
        <v>29</v>
      </c>
      <c r="L585">
        <v>384</v>
      </c>
      <c r="M585">
        <v>2024</v>
      </c>
      <c r="P585" s="1">
        <v>45483</v>
      </c>
      <c r="Q585" t="s">
        <v>30</v>
      </c>
      <c r="R585" t="s">
        <v>2365</v>
      </c>
      <c r="S585" t="s">
        <v>30</v>
      </c>
      <c r="W585">
        <v>0</v>
      </c>
      <c r="X585">
        <v>0</v>
      </c>
      <c r="Y585" t="s">
        <v>38</v>
      </c>
    </row>
    <row r="586" spans="1:25" x14ac:dyDescent="0.35">
      <c r="A586">
        <v>669037</v>
      </c>
      <c r="B586" t="s">
        <v>2366</v>
      </c>
      <c r="C586" t="s">
        <v>2367</v>
      </c>
      <c r="D586" t="s">
        <v>2368</v>
      </c>
      <c r="E586" t="s">
        <v>2369</v>
      </c>
      <c r="F586" t="str">
        <f>"039564514X"</f>
        <v>039564514X</v>
      </c>
      <c r="G586" t="str">
        <f>"9780395645147"</f>
        <v>9780395645147</v>
      </c>
      <c r="H586">
        <v>0</v>
      </c>
      <c r="I586">
        <v>4.25</v>
      </c>
      <c r="J586" t="s">
        <v>2370</v>
      </c>
      <c r="K586" t="s">
        <v>48</v>
      </c>
      <c r="L586">
        <v>124</v>
      </c>
      <c r="M586">
        <v>1992</v>
      </c>
      <c r="N586">
        <v>1992</v>
      </c>
      <c r="P586" s="1">
        <v>45483</v>
      </c>
      <c r="Q586" t="s">
        <v>30</v>
      </c>
      <c r="R586" t="s">
        <v>2371</v>
      </c>
      <c r="S586" t="s">
        <v>30</v>
      </c>
      <c r="W586">
        <v>0</v>
      </c>
      <c r="X586">
        <v>0</v>
      </c>
      <c r="Y586" t="s">
        <v>38</v>
      </c>
    </row>
    <row r="587" spans="1:25" x14ac:dyDescent="0.35">
      <c r="A587">
        <v>207599270</v>
      </c>
      <c r="B587" t="s">
        <v>2372</v>
      </c>
      <c r="C587" t="s">
        <v>2373</v>
      </c>
      <c r="D587" t="s">
        <v>2374</v>
      </c>
      <c r="F587" t="str">
        <f>""</f>
        <v/>
      </c>
      <c r="G587" t="str">
        <f>"9798350938739"</f>
        <v>9798350938739</v>
      </c>
      <c r="H587">
        <v>0</v>
      </c>
      <c r="I587">
        <v>5</v>
      </c>
      <c r="J587" t="s">
        <v>2375</v>
      </c>
      <c r="K587" t="s">
        <v>85</v>
      </c>
      <c r="L587">
        <v>602</v>
      </c>
      <c r="M587">
        <v>2024</v>
      </c>
      <c r="P587" s="1">
        <v>45481</v>
      </c>
      <c r="Q587" t="s">
        <v>30</v>
      </c>
      <c r="R587" t="s">
        <v>2376</v>
      </c>
      <c r="S587" t="s">
        <v>30</v>
      </c>
      <c r="W587">
        <v>0</v>
      </c>
      <c r="X587">
        <v>0</v>
      </c>
      <c r="Y587" t="s">
        <v>38</v>
      </c>
    </row>
    <row r="588" spans="1:25" x14ac:dyDescent="0.35">
      <c r="A588">
        <v>34045334</v>
      </c>
      <c r="B588" t="s">
        <v>2377</v>
      </c>
      <c r="C588" t="s">
        <v>2378</v>
      </c>
      <c r="D588" t="s">
        <v>2379</v>
      </c>
      <c r="F588" t="str">
        <f>""</f>
        <v/>
      </c>
      <c r="G588" t="str">
        <f>""</f>
        <v/>
      </c>
      <c r="H588">
        <v>0</v>
      </c>
      <c r="I588">
        <v>4.1399999999999997</v>
      </c>
      <c r="J588" t="s">
        <v>2380</v>
      </c>
      <c r="K588" t="s">
        <v>29</v>
      </c>
      <c r="L588">
        <v>250</v>
      </c>
      <c r="M588">
        <v>2017</v>
      </c>
      <c r="N588">
        <v>2017</v>
      </c>
      <c r="P588" s="1">
        <v>45479</v>
      </c>
      <c r="Q588" t="s">
        <v>30</v>
      </c>
      <c r="R588" t="s">
        <v>2381</v>
      </c>
      <c r="S588" t="s">
        <v>30</v>
      </c>
      <c r="W588">
        <v>0</v>
      </c>
      <c r="X588">
        <v>0</v>
      </c>
      <c r="Y588" t="s">
        <v>38</v>
      </c>
    </row>
    <row r="589" spans="1:25" x14ac:dyDescent="0.35">
      <c r="A589">
        <v>40390757</v>
      </c>
      <c r="B589" t="s">
        <v>2382</v>
      </c>
      <c r="C589" t="s">
        <v>2383</v>
      </c>
      <c r="D589" t="s">
        <v>2384</v>
      </c>
      <c r="E589" t="s">
        <v>2385</v>
      </c>
      <c r="F589" t="str">
        <f>"0062838377"</f>
        <v>0062838377</v>
      </c>
      <c r="G589" t="str">
        <f>"9780062838377"</f>
        <v>9780062838377</v>
      </c>
      <c r="H589">
        <v>0</v>
      </c>
      <c r="I589">
        <v>3.83</v>
      </c>
      <c r="J589" t="s">
        <v>2386</v>
      </c>
      <c r="K589" t="s">
        <v>48</v>
      </c>
      <c r="L589">
        <v>416</v>
      </c>
      <c r="M589">
        <v>2019</v>
      </c>
      <c r="N589">
        <v>2019</v>
      </c>
      <c r="P589" s="1">
        <v>45479</v>
      </c>
      <c r="Q589" t="s">
        <v>30</v>
      </c>
      <c r="R589" t="s">
        <v>2387</v>
      </c>
      <c r="S589" t="s">
        <v>30</v>
      </c>
      <c r="W589">
        <v>0</v>
      </c>
      <c r="X589">
        <v>0</v>
      </c>
      <c r="Y589" t="s">
        <v>38</v>
      </c>
    </row>
    <row r="590" spans="1:25" x14ac:dyDescent="0.35">
      <c r="A590">
        <v>6426364</v>
      </c>
      <c r="B590" t="s">
        <v>2388</v>
      </c>
      <c r="C590" t="s">
        <v>1344</v>
      </c>
      <c r="D590" t="s">
        <v>1345</v>
      </c>
      <c r="F590" t="str">
        <f>"0006280900"</f>
        <v>0006280900</v>
      </c>
      <c r="G590" t="str">
        <f>"9780006280903"</f>
        <v>9780006280903</v>
      </c>
      <c r="H590">
        <v>0</v>
      </c>
      <c r="I590">
        <v>4.13</v>
      </c>
      <c r="J590" t="s">
        <v>2389</v>
      </c>
      <c r="K590" t="s">
        <v>29</v>
      </c>
      <c r="L590">
        <v>192</v>
      </c>
      <c r="M590">
        <v>1998</v>
      </c>
      <c r="N590">
        <v>1996</v>
      </c>
      <c r="P590" s="1">
        <v>45478</v>
      </c>
      <c r="Q590" t="s">
        <v>30</v>
      </c>
      <c r="R590" t="s">
        <v>2390</v>
      </c>
      <c r="S590" t="s">
        <v>30</v>
      </c>
      <c r="W590">
        <v>0</v>
      </c>
      <c r="X590">
        <v>0</v>
      </c>
      <c r="Y590" t="s">
        <v>2391</v>
      </c>
    </row>
    <row r="591" spans="1:25" x14ac:dyDescent="0.35">
      <c r="A591">
        <v>30037802</v>
      </c>
      <c r="B591" t="s">
        <v>2392</v>
      </c>
      <c r="C591" t="s">
        <v>1344</v>
      </c>
      <c r="D591" t="s">
        <v>1345</v>
      </c>
      <c r="E591" t="s">
        <v>2393</v>
      </c>
      <c r="F591" t="str">
        <f>"0062643681"</f>
        <v>0062643681</v>
      </c>
      <c r="G591" t="str">
        <f>"9780062643681"</f>
        <v>9780062643681</v>
      </c>
      <c r="H591">
        <v>0</v>
      </c>
      <c r="I591">
        <v>3.65</v>
      </c>
      <c r="J591" t="s">
        <v>2394</v>
      </c>
      <c r="K591" t="s">
        <v>29</v>
      </c>
      <c r="L591">
        <v>272</v>
      </c>
      <c r="M591">
        <v>2017</v>
      </c>
      <c r="N591">
        <v>1969</v>
      </c>
      <c r="P591" s="1">
        <v>45478</v>
      </c>
      <c r="Q591" t="s">
        <v>30</v>
      </c>
      <c r="R591" t="s">
        <v>2395</v>
      </c>
      <c r="S591" t="s">
        <v>30</v>
      </c>
      <c r="W591">
        <v>0</v>
      </c>
      <c r="X591">
        <v>0</v>
      </c>
      <c r="Y591" t="s">
        <v>762</v>
      </c>
    </row>
    <row r="592" spans="1:25" x14ac:dyDescent="0.35">
      <c r="A592">
        <v>30037809</v>
      </c>
      <c r="B592" t="s">
        <v>2396</v>
      </c>
      <c r="C592" t="s">
        <v>1344</v>
      </c>
      <c r="D592" t="s">
        <v>1345</v>
      </c>
      <c r="F592" t="str">
        <f>"006264355X"</f>
        <v>006264355X</v>
      </c>
      <c r="G592" t="str">
        <f>"9780062643551"</f>
        <v>9780062643551</v>
      </c>
      <c r="H592">
        <v>0</v>
      </c>
      <c r="I592">
        <v>4.3099999999999996</v>
      </c>
      <c r="J592" t="s">
        <v>2394</v>
      </c>
      <c r="K592" t="s">
        <v>29</v>
      </c>
      <c r="L592">
        <v>320</v>
      </c>
      <c r="M592">
        <v>2017</v>
      </c>
      <c r="N592">
        <v>1968</v>
      </c>
      <c r="P592" s="1">
        <v>45478</v>
      </c>
      <c r="Q592" t="s">
        <v>30</v>
      </c>
      <c r="R592" t="s">
        <v>2397</v>
      </c>
      <c r="S592" t="s">
        <v>30</v>
      </c>
      <c r="W592">
        <v>0</v>
      </c>
      <c r="X592">
        <v>0</v>
      </c>
      <c r="Y592" t="s">
        <v>38</v>
      </c>
    </row>
    <row r="593" spans="1:25" x14ac:dyDescent="0.35">
      <c r="A593">
        <v>30037808</v>
      </c>
      <c r="B593" t="s">
        <v>2398</v>
      </c>
      <c r="C593" t="s">
        <v>1344</v>
      </c>
      <c r="D593" t="s">
        <v>1345</v>
      </c>
      <c r="F593" t="str">
        <f>"0062643576"</f>
        <v>0062643576</v>
      </c>
      <c r="G593" t="str">
        <f>"9780062643575"</f>
        <v>9780062643575</v>
      </c>
      <c r="H593">
        <v>0</v>
      </c>
      <c r="I593">
        <v>4.22</v>
      </c>
      <c r="J593" t="s">
        <v>2394</v>
      </c>
      <c r="K593" t="s">
        <v>29</v>
      </c>
      <c r="L593">
        <v>432</v>
      </c>
      <c r="M593">
        <v>2017</v>
      </c>
      <c r="N593">
        <v>1984</v>
      </c>
      <c r="P593" s="1">
        <v>45478</v>
      </c>
      <c r="Q593" t="s">
        <v>30</v>
      </c>
      <c r="R593" t="s">
        <v>2399</v>
      </c>
      <c r="S593" t="s">
        <v>30</v>
      </c>
      <c r="W593">
        <v>0</v>
      </c>
      <c r="X593">
        <v>0</v>
      </c>
      <c r="Y593" t="s">
        <v>300</v>
      </c>
    </row>
    <row r="594" spans="1:25" x14ac:dyDescent="0.35">
      <c r="A594">
        <v>30037806</v>
      </c>
      <c r="B594" t="s">
        <v>2400</v>
      </c>
      <c r="C594" t="s">
        <v>1344</v>
      </c>
      <c r="D594" t="s">
        <v>1345</v>
      </c>
      <c r="F594" t="str">
        <f>"0062643592"</f>
        <v>0062643592</v>
      </c>
      <c r="G594" t="str">
        <f>"9780062643599"</f>
        <v>9780062643599</v>
      </c>
      <c r="H594">
        <v>0</v>
      </c>
      <c r="I594">
        <v>4.03</v>
      </c>
      <c r="J594" t="s">
        <v>2394</v>
      </c>
      <c r="K594" t="s">
        <v>29</v>
      </c>
      <c r="L594">
        <v>160</v>
      </c>
      <c r="M594">
        <v>2017</v>
      </c>
      <c r="N594">
        <v>1987</v>
      </c>
      <c r="P594" s="1">
        <v>45478</v>
      </c>
      <c r="Q594" t="s">
        <v>30</v>
      </c>
      <c r="R594" t="s">
        <v>2401</v>
      </c>
      <c r="S594" t="s">
        <v>30</v>
      </c>
      <c r="W594">
        <v>0</v>
      </c>
      <c r="X594">
        <v>0</v>
      </c>
      <c r="Y594" t="s">
        <v>2391</v>
      </c>
    </row>
    <row r="595" spans="1:25" x14ac:dyDescent="0.35">
      <c r="A595">
        <v>543544</v>
      </c>
      <c r="B595" t="s">
        <v>2402</v>
      </c>
      <c r="C595" t="s">
        <v>1344</v>
      </c>
      <c r="D595" t="s">
        <v>1345</v>
      </c>
      <c r="F595" t="str">
        <f>"080281428X"</f>
        <v>080281428X</v>
      </c>
      <c r="G595" t="str">
        <f>"9780802814289"</f>
        <v>9780802814289</v>
      </c>
      <c r="H595">
        <v>0</v>
      </c>
      <c r="I595">
        <v>4.0999999999999996</v>
      </c>
      <c r="J595" t="s">
        <v>2403</v>
      </c>
      <c r="K595" t="s">
        <v>29</v>
      </c>
      <c r="L595">
        <v>128</v>
      </c>
      <c r="M595">
        <v>1967</v>
      </c>
      <c r="N595">
        <v>1966</v>
      </c>
      <c r="P595" s="1">
        <v>45478</v>
      </c>
      <c r="Q595" t="s">
        <v>30</v>
      </c>
      <c r="R595" t="s">
        <v>2404</v>
      </c>
      <c r="S595" t="s">
        <v>30</v>
      </c>
      <c r="W595">
        <v>0</v>
      </c>
      <c r="X595">
        <v>0</v>
      </c>
      <c r="Y595" t="s">
        <v>38</v>
      </c>
    </row>
    <row r="596" spans="1:25" x14ac:dyDescent="0.35">
      <c r="A596">
        <v>30037798</v>
      </c>
      <c r="B596" t="s">
        <v>2405</v>
      </c>
      <c r="C596" t="s">
        <v>1344</v>
      </c>
      <c r="D596" t="s">
        <v>1345</v>
      </c>
      <c r="F596" t="str">
        <f>"0062643517"</f>
        <v>0062643517</v>
      </c>
      <c r="G596" t="str">
        <f>"9780062643513"</f>
        <v>9780062643513</v>
      </c>
      <c r="H596">
        <v>0</v>
      </c>
      <c r="I596">
        <v>4.21</v>
      </c>
      <c r="J596" t="s">
        <v>2394</v>
      </c>
      <c r="K596" t="s">
        <v>29</v>
      </c>
      <c r="L596">
        <v>128</v>
      </c>
      <c r="M596">
        <v>2017</v>
      </c>
      <c r="N596">
        <v>1960</v>
      </c>
      <c r="P596" s="1">
        <v>45478</v>
      </c>
      <c r="Q596" t="s">
        <v>30</v>
      </c>
      <c r="R596" t="s">
        <v>2406</v>
      </c>
      <c r="S596" t="s">
        <v>30</v>
      </c>
      <c r="W596">
        <v>0</v>
      </c>
      <c r="X596">
        <v>0</v>
      </c>
      <c r="Y596" t="s">
        <v>2391</v>
      </c>
    </row>
    <row r="597" spans="1:25" x14ac:dyDescent="0.35">
      <c r="A597">
        <v>30037800</v>
      </c>
      <c r="B597" t="s">
        <v>2407</v>
      </c>
      <c r="C597" t="s">
        <v>1344</v>
      </c>
      <c r="D597" t="s">
        <v>1345</v>
      </c>
      <c r="F597" t="str">
        <f>"0062643533"</f>
        <v>0062643533</v>
      </c>
      <c r="G597" t="str">
        <f>"9780062643537"</f>
        <v>9780062643537</v>
      </c>
      <c r="H597">
        <v>0</v>
      </c>
      <c r="I597">
        <v>3.71</v>
      </c>
      <c r="J597" t="s">
        <v>2394</v>
      </c>
      <c r="K597" t="s">
        <v>29</v>
      </c>
      <c r="L597">
        <v>240</v>
      </c>
      <c r="M597">
        <v>2017</v>
      </c>
      <c r="N597">
        <v>1977</v>
      </c>
      <c r="P597" s="1">
        <v>45478</v>
      </c>
      <c r="Q597" t="s">
        <v>30</v>
      </c>
      <c r="R597" t="s">
        <v>2408</v>
      </c>
      <c r="S597" t="s">
        <v>30</v>
      </c>
      <c r="W597">
        <v>0</v>
      </c>
      <c r="X597">
        <v>0</v>
      </c>
      <c r="Y597" t="s">
        <v>38</v>
      </c>
    </row>
    <row r="598" spans="1:25" x14ac:dyDescent="0.35">
      <c r="A598">
        <v>121706</v>
      </c>
      <c r="B598" t="s">
        <v>2409</v>
      </c>
      <c r="C598" t="s">
        <v>1344</v>
      </c>
      <c r="D598" t="s">
        <v>1345</v>
      </c>
      <c r="F598" t="str">
        <f>""</f>
        <v/>
      </c>
      <c r="G598" t="str">
        <f>""</f>
        <v/>
      </c>
      <c r="H598">
        <v>0</v>
      </c>
      <c r="I598">
        <v>3.93</v>
      </c>
      <c r="J598" t="s">
        <v>2410</v>
      </c>
      <c r="K598" t="s">
        <v>29</v>
      </c>
      <c r="L598">
        <v>151</v>
      </c>
      <c r="M598">
        <v>1964</v>
      </c>
      <c r="N598">
        <v>1958</v>
      </c>
      <c r="P598" s="1">
        <v>45478</v>
      </c>
      <c r="Q598" t="s">
        <v>30</v>
      </c>
      <c r="R598" t="s">
        <v>2411</v>
      </c>
      <c r="S598" t="s">
        <v>30</v>
      </c>
      <c r="W598">
        <v>0</v>
      </c>
      <c r="X598">
        <v>0</v>
      </c>
      <c r="Y598" t="s">
        <v>38</v>
      </c>
    </row>
    <row r="599" spans="1:25" x14ac:dyDescent="0.35">
      <c r="A599">
        <v>13650512</v>
      </c>
      <c r="B599" t="s">
        <v>2412</v>
      </c>
      <c r="C599" t="s">
        <v>1344</v>
      </c>
      <c r="D599" t="s">
        <v>1345</v>
      </c>
      <c r="F599" t="str">
        <f>"0007461259"</f>
        <v>0007461259</v>
      </c>
      <c r="G599" t="str">
        <f>"9780007461257"</f>
        <v>9780007461257</v>
      </c>
      <c r="H599">
        <v>0</v>
      </c>
      <c r="I599">
        <v>4.05</v>
      </c>
      <c r="J599" t="s">
        <v>2413</v>
      </c>
      <c r="K599" t="s">
        <v>29</v>
      </c>
      <c r="L599">
        <v>294</v>
      </c>
      <c r="M599">
        <v>2012</v>
      </c>
      <c r="N599">
        <v>1947</v>
      </c>
      <c r="P599" s="1">
        <v>45478</v>
      </c>
      <c r="Q599" t="s">
        <v>30</v>
      </c>
      <c r="R599" t="s">
        <v>2414</v>
      </c>
      <c r="S599" t="s">
        <v>30</v>
      </c>
      <c r="W599">
        <v>0</v>
      </c>
      <c r="X599">
        <v>0</v>
      </c>
      <c r="Y599" t="s">
        <v>38</v>
      </c>
    </row>
    <row r="600" spans="1:25" x14ac:dyDescent="0.35">
      <c r="A600">
        <v>13650513</v>
      </c>
      <c r="B600" t="s">
        <v>2415</v>
      </c>
      <c r="C600" t="s">
        <v>1344</v>
      </c>
      <c r="D600" t="s">
        <v>1345</v>
      </c>
      <c r="F600" t="str">
        <f>"0007461267"</f>
        <v>0007461267</v>
      </c>
      <c r="G600" t="str">
        <f>"9780007461264"</f>
        <v>9780007461264</v>
      </c>
      <c r="H600">
        <v>0</v>
      </c>
      <c r="I600">
        <v>4.1399999999999997</v>
      </c>
      <c r="J600" t="s">
        <v>2413</v>
      </c>
      <c r="K600" t="s">
        <v>29</v>
      </c>
      <c r="L600">
        <v>162</v>
      </c>
      <c r="M600">
        <v>2012</v>
      </c>
      <c r="N600">
        <v>1940</v>
      </c>
      <c r="P600" s="1">
        <v>45478</v>
      </c>
      <c r="Q600" t="s">
        <v>30</v>
      </c>
      <c r="R600" t="s">
        <v>2416</v>
      </c>
      <c r="S600" t="s">
        <v>30</v>
      </c>
      <c r="W600">
        <v>0</v>
      </c>
      <c r="X600">
        <v>0</v>
      </c>
      <c r="Y600" t="s">
        <v>38</v>
      </c>
    </row>
    <row r="601" spans="1:25" x14ac:dyDescent="0.35">
      <c r="A601">
        <v>29938407</v>
      </c>
      <c r="B601" t="s">
        <v>2417</v>
      </c>
      <c r="C601" t="s">
        <v>1344</v>
      </c>
      <c r="D601" t="s">
        <v>1345</v>
      </c>
      <c r="F601" t="str">
        <f>"0062565397"</f>
        <v>0062565397</v>
      </c>
      <c r="G601" t="str">
        <f>"9780062565396"</f>
        <v>9780062565396</v>
      </c>
      <c r="H601">
        <v>0</v>
      </c>
      <c r="I601">
        <v>4.17</v>
      </c>
      <c r="J601" t="s">
        <v>2394</v>
      </c>
      <c r="K601" t="s">
        <v>29</v>
      </c>
      <c r="L601">
        <v>192</v>
      </c>
      <c r="M601">
        <v>2017</v>
      </c>
      <c r="N601">
        <v>1960</v>
      </c>
      <c r="P601" s="1">
        <v>45478</v>
      </c>
      <c r="Q601" t="s">
        <v>30</v>
      </c>
      <c r="R601" t="s">
        <v>2418</v>
      </c>
      <c r="S601" t="s">
        <v>30</v>
      </c>
      <c r="W601">
        <v>0</v>
      </c>
      <c r="X601">
        <v>0</v>
      </c>
      <c r="Y601" t="s">
        <v>38</v>
      </c>
    </row>
    <row r="602" spans="1:25" x14ac:dyDescent="0.35">
      <c r="A602">
        <v>1222958</v>
      </c>
      <c r="B602" t="s">
        <v>2419</v>
      </c>
      <c r="C602" t="s">
        <v>2420</v>
      </c>
      <c r="D602" t="s">
        <v>2421</v>
      </c>
      <c r="F602" t="str">
        <f>"1416919201"</f>
        <v>1416919201</v>
      </c>
      <c r="G602" t="str">
        <f>"9781416919209"</f>
        <v>9781416919209</v>
      </c>
      <c r="H602">
        <v>0</v>
      </c>
      <c r="I602">
        <v>3.77</v>
      </c>
      <c r="J602" t="s">
        <v>2422</v>
      </c>
      <c r="K602" t="s">
        <v>48</v>
      </c>
      <c r="L602">
        <v>208</v>
      </c>
      <c r="M602">
        <v>2007</v>
      </c>
      <c r="N602">
        <v>2007</v>
      </c>
      <c r="P602" s="1">
        <v>45478</v>
      </c>
      <c r="Q602" t="s">
        <v>30</v>
      </c>
      <c r="R602" t="s">
        <v>2423</v>
      </c>
      <c r="S602" t="s">
        <v>30</v>
      </c>
      <c r="W602">
        <v>0</v>
      </c>
      <c r="X602">
        <v>0</v>
      </c>
      <c r="Y602" t="s">
        <v>38</v>
      </c>
    </row>
    <row r="603" spans="1:25" x14ac:dyDescent="0.35">
      <c r="A603">
        <v>186872349</v>
      </c>
      <c r="B603" t="s">
        <v>2424</v>
      </c>
      <c r="C603" t="s">
        <v>2420</v>
      </c>
      <c r="D603" t="s">
        <v>2421</v>
      </c>
      <c r="F603" t="str">
        <f>"0735228566"</f>
        <v>0735228566</v>
      </c>
      <c r="G603" t="str">
        <f>"9780735228566"</f>
        <v>9780735228566</v>
      </c>
      <c r="H603">
        <v>0</v>
      </c>
      <c r="I603">
        <v>4.03</v>
      </c>
      <c r="J603" t="s">
        <v>2281</v>
      </c>
      <c r="K603" t="s">
        <v>48</v>
      </c>
      <c r="L603">
        <v>288</v>
      </c>
      <c r="M603">
        <v>2024</v>
      </c>
      <c r="N603">
        <v>2024</v>
      </c>
      <c r="P603" s="1">
        <v>45478</v>
      </c>
      <c r="Q603" t="s">
        <v>30</v>
      </c>
      <c r="R603" t="s">
        <v>2425</v>
      </c>
      <c r="S603" t="s">
        <v>30</v>
      </c>
      <c r="W603">
        <v>0</v>
      </c>
      <c r="X603">
        <v>0</v>
      </c>
      <c r="Y603" t="s">
        <v>32</v>
      </c>
    </row>
    <row r="604" spans="1:25" x14ac:dyDescent="0.35">
      <c r="A604">
        <v>714451</v>
      </c>
      <c r="B604" t="s">
        <v>2426</v>
      </c>
      <c r="C604" t="s">
        <v>2420</v>
      </c>
      <c r="D604" t="s">
        <v>2421</v>
      </c>
      <c r="F604" t="str">
        <f>"0440418313"</f>
        <v>0440418313</v>
      </c>
      <c r="G604" t="str">
        <f>"9780440418313"</f>
        <v>9780440418313</v>
      </c>
      <c r="H604">
        <v>0</v>
      </c>
      <c r="I604">
        <v>4.13</v>
      </c>
      <c r="J604" t="s">
        <v>169</v>
      </c>
      <c r="K604" t="s">
        <v>228</v>
      </c>
      <c r="L604">
        <v>192</v>
      </c>
      <c r="M604">
        <v>2005</v>
      </c>
      <c r="N604">
        <v>2003</v>
      </c>
      <c r="P604" s="1">
        <v>45478</v>
      </c>
      <c r="Q604" t="s">
        <v>30</v>
      </c>
      <c r="R604" t="s">
        <v>2427</v>
      </c>
      <c r="S604" t="s">
        <v>30</v>
      </c>
      <c r="W604">
        <v>0</v>
      </c>
      <c r="X604">
        <v>0</v>
      </c>
      <c r="Y604" t="s">
        <v>38</v>
      </c>
    </row>
    <row r="605" spans="1:25" x14ac:dyDescent="0.35">
      <c r="A605">
        <v>9742411</v>
      </c>
      <c r="B605" t="s">
        <v>2428</v>
      </c>
      <c r="C605" t="s">
        <v>2420</v>
      </c>
      <c r="D605" t="s">
        <v>2421</v>
      </c>
      <c r="F605" t="str">
        <f>"0803734999"</f>
        <v>0803734999</v>
      </c>
      <c r="G605" t="str">
        <f>"9780803734999"</f>
        <v>9780803734999</v>
      </c>
      <c r="H605">
        <v>0</v>
      </c>
      <c r="I605">
        <v>4.1100000000000003</v>
      </c>
      <c r="J605" t="s">
        <v>2281</v>
      </c>
      <c r="K605" t="s">
        <v>48</v>
      </c>
      <c r="L605">
        <v>368</v>
      </c>
      <c r="M605">
        <v>2011</v>
      </c>
      <c r="N605">
        <v>2011</v>
      </c>
      <c r="P605" s="1">
        <v>45478</v>
      </c>
      <c r="Q605" t="s">
        <v>30</v>
      </c>
      <c r="R605" t="s">
        <v>2429</v>
      </c>
      <c r="S605" t="s">
        <v>30</v>
      </c>
      <c r="W605">
        <v>0</v>
      </c>
      <c r="X605">
        <v>0</v>
      </c>
      <c r="Y605" t="s">
        <v>38</v>
      </c>
    </row>
    <row r="606" spans="1:25" x14ac:dyDescent="0.35">
      <c r="A606">
        <v>33865643</v>
      </c>
      <c r="B606" t="s">
        <v>2430</v>
      </c>
      <c r="C606" t="s">
        <v>2420</v>
      </c>
      <c r="D606" t="s">
        <v>2421</v>
      </c>
      <c r="F606" t="str">
        <f>"0525429204"</f>
        <v>0525429204</v>
      </c>
      <c r="G606" t="str">
        <f>"9780525429203"</f>
        <v>9780525429203</v>
      </c>
      <c r="H606">
        <v>0</v>
      </c>
      <c r="I606">
        <v>4.4800000000000004</v>
      </c>
      <c r="J606" t="s">
        <v>2281</v>
      </c>
      <c r="K606" t="s">
        <v>48</v>
      </c>
      <c r="L606">
        <v>387</v>
      </c>
      <c r="M606">
        <v>2017</v>
      </c>
      <c r="N606">
        <v>2017</v>
      </c>
      <c r="P606" s="1">
        <v>45478</v>
      </c>
      <c r="Q606" t="s">
        <v>30</v>
      </c>
      <c r="R606" t="s">
        <v>2431</v>
      </c>
      <c r="S606" t="s">
        <v>30</v>
      </c>
      <c r="W606">
        <v>0</v>
      </c>
      <c r="X606">
        <v>0</v>
      </c>
      <c r="Y606" t="s">
        <v>32</v>
      </c>
    </row>
    <row r="607" spans="1:25" x14ac:dyDescent="0.35">
      <c r="A607">
        <v>63019896</v>
      </c>
      <c r="B607" t="s">
        <v>2432</v>
      </c>
      <c r="C607" t="s">
        <v>98</v>
      </c>
      <c r="D607" t="s">
        <v>99</v>
      </c>
      <c r="F607" t="str">
        <f>"0764239759"</f>
        <v>0764239759</v>
      </c>
      <c r="G607" t="str">
        <f>"9780764239755"</f>
        <v>9780764239755</v>
      </c>
      <c r="H607">
        <v>0</v>
      </c>
      <c r="I607">
        <v>4.47</v>
      </c>
      <c r="J607" t="s">
        <v>36</v>
      </c>
      <c r="K607" t="s">
        <v>29</v>
      </c>
      <c r="L607">
        <v>416</v>
      </c>
      <c r="M607">
        <v>2023</v>
      </c>
      <c r="N607">
        <v>2023</v>
      </c>
      <c r="P607" s="1">
        <v>45475</v>
      </c>
      <c r="Q607" t="s">
        <v>30</v>
      </c>
      <c r="R607" t="s">
        <v>2433</v>
      </c>
      <c r="S607" t="s">
        <v>30</v>
      </c>
      <c r="W607">
        <v>0</v>
      </c>
      <c r="X607">
        <v>0</v>
      </c>
      <c r="Y607" t="s">
        <v>38</v>
      </c>
    </row>
    <row r="608" spans="1:25" x14ac:dyDescent="0.35">
      <c r="A608">
        <v>17851885</v>
      </c>
      <c r="B608" t="s">
        <v>2434</v>
      </c>
      <c r="C608" t="s">
        <v>2435</v>
      </c>
      <c r="D608" t="s">
        <v>2436</v>
      </c>
      <c r="E608" t="s">
        <v>2437</v>
      </c>
      <c r="F608" t="str">
        <f>"0316322407"</f>
        <v>0316322407</v>
      </c>
      <c r="G608" t="str">
        <f>"9780316322409"</f>
        <v>9780316322409</v>
      </c>
      <c r="H608">
        <v>0</v>
      </c>
      <c r="I608">
        <v>4.16</v>
      </c>
      <c r="J608" t="s">
        <v>522</v>
      </c>
      <c r="K608" t="s">
        <v>48</v>
      </c>
      <c r="L608">
        <v>327</v>
      </c>
      <c r="M608">
        <v>2013</v>
      </c>
      <c r="N608">
        <v>2012</v>
      </c>
      <c r="P608" s="1">
        <v>45460</v>
      </c>
      <c r="Q608" t="s">
        <v>30</v>
      </c>
      <c r="R608" t="s">
        <v>2438</v>
      </c>
      <c r="S608" t="s">
        <v>30</v>
      </c>
      <c r="W608">
        <v>1</v>
      </c>
      <c r="X608">
        <v>0</v>
      </c>
      <c r="Y608" t="s">
        <v>38</v>
      </c>
    </row>
    <row r="609" spans="1:25" x14ac:dyDescent="0.35">
      <c r="A609">
        <v>87556731</v>
      </c>
      <c r="B609" t="s">
        <v>2439</v>
      </c>
      <c r="C609" t="s">
        <v>2440</v>
      </c>
      <c r="D609" t="s">
        <v>2441</v>
      </c>
      <c r="F609" t="str">
        <f>"1639931694"</f>
        <v>1639931694</v>
      </c>
      <c r="G609" t="str">
        <f>"9781639931699"</f>
        <v>9781639931699</v>
      </c>
      <c r="H609">
        <v>0</v>
      </c>
      <c r="I609">
        <v>4.16</v>
      </c>
      <c r="J609" t="s">
        <v>2442</v>
      </c>
      <c r="K609" t="s">
        <v>29</v>
      </c>
      <c r="L609">
        <v>288</v>
      </c>
      <c r="M609">
        <v>2024</v>
      </c>
      <c r="N609">
        <v>2024</v>
      </c>
      <c r="P609" s="1">
        <v>45472</v>
      </c>
      <c r="Q609" t="s">
        <v>30</v>
      </c>
      <c r="R609" t="s">
        <v>2443</v>
      </c>
      <c r="S609" t="s">
        <v>30</v>
      </c>
      <c r="W609">
        <v>0</v>
      </c>
      <c r="X609">
        <v>0</v>
      </c>
      <c r="Y609" t="s">
        <v>203</v>
      </c>
    </row>
    <row r="610" spans="1:25" x14ac:dyDescent="0.35">
      <c r="A610">
        <v>150723</v>
      </c>
      <c r="B610" t="s">
        <v>2444</v>
      </c>
      <c r="C610" t="s">
        <v>1971</v>
      </c>
      <c r="D610" t="s">
        <v>1972</v>
      </c>
      <c r="F610" t="str">
        <f>"0786887842"</f>
        <v>0786887842</v>
      </c>
      <c r="G610" t="str">
        <f>"9780786887842"</f>
        <v>9780786887842</v>
      </c>
      <c r="H610">
        <v>0</v>
      </c>
      <c r="I610">
        <v>3.69</v>
      </c>
      <c r="J610" t="s">
        <v>2445</v>
      </c>
      <c r="K610" t="s">
        <v>29</v>
      </c>
      <c r="L610">
        <v>135</v>
      </c>
      <c r="M610">
        <v>2002</v>
      </c>
      <c r="N610">
        <v>1996</v>
      </c>
      <c r="P610" s="1">
        <v>45471</v>
      </c>
      <c r="Q610" t="s">
        <v>30</v>
      </c>
      <c r="R610" t="s">
        <v>2446</v>
      </c>
      <c r="S610" t="s">
        <v>30</v>
      </c>
      <c r="W610">
        <v>0</v>
      </c>
      <c r="X610">
        <v>0</v>
      </c>
      <c r="Y610" t="s">
        <v>38</v>
      </c>
    </row>
    <row r="611" spans="1:25" x14ac:dyDescent="0.35">
      <c r="A611">
        <v>15797509</v>
      </c>
      <c r="B611" t="s">
        <v>2447</v>
      </c>
      <c r="C611" t="s">
        <v>2448</v>
      </c>
      <c r="D611" t="s">
        <v>2449</v>
      </c>
      <c r="F611" t="str">
        <f>"0385674058"</f>
        <v>0385674058</v>
      </c>
      <c r="G611" t="str">
        <f>"9780385674058"</f>
        <v>9780385674058</v>
      </c>
      <c r="H611">
        <v>0</v>
      </c>
      <c r="I611">
        <v>4.25</v>
      </c>
      <c r="J611" t="s">
        <v>2450</v>
      </c>
      <c r="K611" t="s">
        <v>85</v>
      </c>
      <c r="L611">
        <v>266</v>
      </c>
      <c r="M611">
        <v>2012</v>
      </c>
      <c r="N611">
        <v>2012</v>
      </c>
      <c r="P611" s="1">
        <v>45470</v>
      </c>
      <c r="Q611" t="s">
        <v>30</v>
      </c>
      <c r="R611" t="s">
        <v>2451</v>
      </c>
      <c r="S611" t="s">
        <v>30</v>
      </c>
      <c r="W611">
        <v>0</v>
      </c>
      <c r="X611">
        <v>0</v>
      </c>
      <c r="Y611" t="s">
        <v>38</v>
      </c>
    </row>
    <row r="612" spans="1:25" x14ac:dyDescent="0.35">
      <c r="A612">
        <v>13154147</v>
      </c>
      <c r="B612" t="s">
        <v>2452</v>
      </c>
      <c r="C612" t="s">
        <v>2453</v>
      </c>
      <c r="D612" t="s">
        <v>2454</v>
      </c>
      <c r="F612" t="str">
        <f>"1847921124"</f>
        <v>1847921124</v>
      </c>
      <c r="G612" t="str">
        <f>"9781847921123"</f>
        <v>9781847921123</v>
      </c>
      <c r="H612">
        <v>0</v>
      </c>
      <c r="I612">
        <v>3.82</v>
      </c>
      <c r="J612" t="s">
        <v>2455</v>
      </c>
      <c r="K612" t="s">
        <v>48</v>
      </c>
      <c r="L612">
        <v>496</v>
      </c>
      <c r="M612">
        <v>2012</v>
      </c>
      <c r="N612">
        <v>2012</v>
      </c>
      <c r="P612" s="1">
        <v>45470</v>
      </c>
      <c r="Q612" t="s">
        <v>30</v>
      </c>
      <c r="R612" t="s">
        <v>2456</v>
      </c>
      <c r="S612" t="s">
        <v>30</v>
      </c>
      <c r="W612">
        <v>0</v>
      </c>
      <c r="X612">
        <v>0</v>
      </c>
      <c r="Y612" t="s">
        <v>38</v>
      </c>
    </row>
    <row r="613" spans="1:25" x14ac:dyDescent="0.35">
      <c r="A613">
        <v>29811</v>
      </c>
      <c r="B613" t="s">
        <v>2457</v>
      </c>
      <c r="C613" t="s">
        <v>2458</v>
      </c>
      <c r="D613" t="s">
        <v>2459</v>
      </c>
      <c r="F613" t="str">
        <f>"0802449247"</f>
        <v>0802449247</v>
      </c>
      <c r="G613" t="str">
        <f>"9780802449245"</f>
        <v>9780802449245</v>
      </c>
      <c r="H613">
        <v>4</v>
      </c>
      <c r="I613">
        <v>4.41</v>
      </c>
      <c r="J613" t="s">
        <v>1661</v>
      </c>
      <c r="K613" t="s">
        <v>29</v>
      </c>
      <c r="L613">
        <v>336</v>
      </c>
      <c r="M613">
        <v>2006</v>
      </c>
      <c r="N613">
        <v>1947</v>
      </c>
      <c r="P613" s="1">
        <v>45468</v>
      </c>
      <c r="S613" t="s">
        <v>51</v>
      </c>
      <c r="W613">
        <v>1</v>
      </c>
      <c r="X613">
        <v>0</v>
      </c>
      <c r="Y613" t="s">
        <v>38</v>
      </c>
    </row>
    <row r="614" spans="1:25" x14ac:dyDescent="0.35">
      <c r="A614">
        <v>20775916</v>
      </c>
      <c r="B614" t="s">
        <v>2460</v>
      </c>
      <c r="C614" t="s">
        <v>2461</v>
      </c>
      <c r="D614" t="s">
        <v>2462</v>
      </c>
      <c r="F614" t="str">
        <f>"1938846184"</f>
        <v>1938846184</v>
      </c>
      <c r="G614" t="str">
        <f>"9781938846182"</f>
        <v>9781938846182</v>
      </c>
      <c r="H614">
        <v>0</v>
      </c>
      <c r="I614">
        <v>4.3600000000000003</v>
      </c>
      <c r="J614" t="s">
        <v>2463</v>
      </c>
      <c r="K614" t="s">
        <v>29</v>
      </c>
      <c r="L614">
        <v>168</v>
      </c>
      <c r="M614">
        <v>2014</v>
      </c>
      <c r="N614">
        <v>2014</v>
      </c>
      <c r="P614" s="1">
        <v>45463</v>
      </c>
      <c r="Q614" t="s">
        <v>30</v>
      </c>
      <c r="R614" t="s">
        <v>2464</v>
      </c>
      <c r="S614" t="s">
        <v>30</v>
      </c>
      <c r="W614">
        <v>0</v>
      </c>
      <c r="X614">
        <v>0</v>
      </c>
      <c r="Y614" t="s">
        <v>38</v>
      </c>
    </row>
    <row r="615" spans="1:25" x14ac:dyDescent="0.35">
      <c r="A615">
        <v>26621446</v>
      </c>
      <c r="B615" t="s">
        <v>2465</v>
      </c>
      <c r="C615" t="s">
        <v>2466</v>
      </c>
      <c r="D615" t="s">
        <v>2467</v>
      </c>
      <c r="F615" t="str">
        <f>"1500229148"</f>
        <v>1500229148</v>
      </c>
      <c r="G615" t="str">
        <f>"9781500229146"</f>
        <v>9781500229146</v>
      </c>
      <c r="H615">
        <v>0</v>
      </c>
      <c r="I615">
        <v>4.07</v>
      </c>
      <c r="J615" t="s">
        <v>2468</v>
      </c>
      <c r="K615" t="s">
        <v>29</v>
      </c>
      <c r="L615">
        <v>348</v>
      </c>
      <c r="M615">
        <v>2014</v>
      </c>
      <c r="N615">
        <v>1678</v>
      </c>
      <c r="P615" s="1">
        <v>45460</v>
      </c>
      <c r="Q615" t="s">
        <v>30</v>
      </c>
      <c r="R615" t="s">
        <v>2469</v>
      </c>
      <c r="S615" t="s">
        <v>30</v>
      </c>
      <c r="W615">
        <v>0</v>
      </c>
      <c r="X615">
        <v>0</v>
      </c>
      <c r="Y615" t="s">
        <v>38</v>
      </c>
    </row>
    <row r="616" spans="1:25" x14ac:dyDescent="0.35">
      <c r="A616">
        <v>53138081</v>
      </c>
      <c r="B616" t="s">
        <v>2470</v>
      </c>
      <c r="C616" t="s">
        <v>1145</v>
      </c>
      <c r="D616" t="s">
        <v>1146</v>
      </c>
      <c r="F616" t="str">
        <f>"1250178606"</f>
        <v>1250178606</v>
      </c>
      <c r="G616" t="str">
        <f>"9781250178602"</f>
        <v>9781250178602</v>
      </c>
      <c r="H616">
        <v>0</v>
      </c>
      <c r="I616">
        <v>4.3</v>
      </c>
      <c r="J616" t="s">
        <v>878</v>
      </c>
      <c r="K616" t="s">
        <v>48</v>
      </c>
      <c r="L616">
        <v>464</v>
      </c>
      <c r="M616">
        <v>2021</v>
      </c>
      <c r="N616">
        <v>2021</v>
      </c>
      <c r="P616" s="1">
        <v>45454</v>
      </c>
      <c r="Q616" t="s">
        <v>30</v>
      </c>
      <c r="R616" t="s">
        <v>2471</v>
      </c>
      <c r="S616" t="s">
        <v>30</v>
      </c>
      <c r="W616">
        <v>0</v>
      </c>
      <c r="X616">
        <v>0</v>
      </c>
      <c r="Y616" t="s">
        <v>38</v>
      </c>
    </row>
    <row r="617" spans="1:25" x14ac:dyDescent="0.35">
      <c r="A617">
        <v>55650158</v>
      </c>
      <c r="B617" t="s">
        <v>2472</v>
      </c>
      <c r="C617" t="s">
        <v>2473</v>
      </c>
      <c r="D617" t="s">
        <v>2474</v>
      </c>
      <c r="F617" t="str">
        <f>"0593337697"</f>
        <v>0593337697</v>
      </c>
      <c r="G617" t="str">
        <f>"9780593337691"</f>
        <v>9780593337691</v>
      </c>
      <c r="H617">
        <v>0</v>
      </c>
      <c r="I617">
        <v>4.3600000000000003</v>
      </c>
      <c r="J617" t="s">
        <v>350</v>
      </c>
      <c r="K617" t="s">
        <v>48</v>
      </c>
      <c r="L617">
        <v>359</v>
      </c>
      <c r="M617">
        <v>2022</v>
      </c>
      <c r="N617">
        <v>2022</v>
      </c>
      <c r="P617" s="1">
        <v>45454</v>
      </c>
      <c r="Q617" t="s">
        <v>30</v>
      </c>
      <c r="R617" t="s">
        <v>2475</v>
      </c>
      <c r="S617" t="s">
        <v>30</v>
      </c>
      <c r="W617">
        <v>0</v>
      </c>
      <c r="X617">
        <v>0</v>
      </c>
      <c r="Y617" t="s">
        <v>38</v>
      </c>
    </row>
    <row r="618" spans="1:25" x14ac:dyDescent="0.35">
      <c r="A618">
        <v>56816904</v>
      </c>
      <c r="B618" t="s">
        <v>2476</v>
      </c>
      <c r="C618" t="s">
        <v>373</v>
      </c>
      <c r="D618" t="s">
        <v>374</v>
      </c>
      <c r="F618" t="str">
        <f>"006267112X"</f>
        <v>006267112X</v>
      </c>
      <c r="G618" t="str">
        <f>"9780062671127"</f>
        <v>9780062671127</v>
      </c>
      <c r="H618">
        <v>0</v>
      </c>
      <c r="I618">
        <v>3.95</v>
      </c>
      <c r="J618" t="s">
        <v>1552</v>
      </c>
      <c r="K618" t="s">
        <v>48</v>
      </c>
      <c r="L618">
        <v>387</v>
      </c>
      <c r="M618">
        <v>2021</v>
      </c>
      <c r="N618">
        <v>2021</v>
      </c>
      <c r="P618" s="1">
        <v>45454</v>
      </c>
      <c r="Q618" t="s">
        <v>30</v>
      </c>
      <c r="R618" t="s">
        <v>2477</v>
      </c>
      <c r="S618" t="s">
        <v>30</v>
      </c>
      <c r="W618">
        <v>0</v>
      </c>
      <c r="X618">
        <v>0</v>
      </c>
      <c r="Y618" t="s">
        <v>38</v>
      </c>
    </row>
    <row r="619" spans="1:25" x14ac:dyDescent="0.35">
      <c r="A619">
        <v>199087657</v>
      </c>
      <c r="B619" t="s">
        <v>2478</v>
      </c>
      <c r="C619" t="s">
        <v>2479</v>
      </c>
      <c r="D619" t="s">
        <v>2480</v>
      </c>
      <c r="F619" t="str">
        <f>"0593622758"</f>
        <v>0593622758</v>
      </c>
      <c r="G619" t="str">
        <f>"9780593622759"</f>
        <v>9780593622759</v>
      </c>
      <c r="H619">
        <v>0</v>
      </c>
      <c r="I619">
        <v>3.71</v>
      </c>
      <c r="J619" t="s">
        <v>369</v>
      </c>
      <c r="K619" t="s">
        <v>48</v>
      </c>
      <c r="L619">
        <v>480</v>
      </c>
      <c r="M619">
        <v>2024</v>
      </c>
      <c r="N619">
        <v>2024</v>
      </c>
      <c r="P619" s="1">
        <v>45454</v>
      </c>
      <c r="Q619" t="s">
        <v>30</v>
      </c>
      <c r="R619" t="s">
        <v>2481</v>
      </c>
      <c r="S619" t="s">
        <v>30</v>
      </c>
      <c r="W619">
        <v>0</v>
      </c>
      <c r="X619">
        <v>0</v>
      </c>
      <c r="Y619" t="s">
        <v>173</v>
      </c>
    </row>
    <row r="620" spans="1:25" x14ac:dyDescent="0.35">
      <c r="A620">
        <v>79705</v>
      </c>
      <c r="B620" t="s">
        <v>2482</v>
      </c>
      <c r="C620" t="s">
        <v>225</v>
      </c>
      <c r="D620" t="s">
        <v>226</v>
      </c>
      <c r="E620" t="s">
        <v>54</v>
      </c>
      <c r="F620" t="str">
        <f>"0786229071"</f>
        <v>0786229071</v>
      </c>
      <c r="G620" t="str">
        <f>"9780786229079"</f>
        <v>9780786229079</v>
      </c>
      <c r="H620">
        <v>0</v>
      </c>
      <c r="I620">
        <v>4</v>
      </c>
      <c r="J620" t="s">
        <v>2483</v>
      </c>
      <c r="K620" t="s">
        <v>48</v>
      </c>
      <c r="L620">
        <v>480</v>
      </c>
      <c r="M620">
        <v>2001</v>
      </c>
      <c r="N620">
        <v>1999</v>
      </c>
      <c r="P620" s="1">
        <v>45449</v>
      </c>
      <c r="S620" t="s">
        <v>51</v>
      </c>
      <c r="W620">
        <v>1</v>
      </c>
      <c r="X620">
        <v>0</v>
      </c>
      <c r="Y620" t="s">
        <v>38</v>
      </c>
    </row>
    <row r="621" spans="1:25" x14ac:dyDescent="0.35">
      <c r="A621">
        <v>203699121</v>
      </c>
      <c r="B621" t="s">
        <v>2484</v>
      </c>
      <c r="C621" t="s">
        <v>2485</v>
      </c>
      <c r="D621" t="s">
        <v>2486</v>
      </c>
      <c r="F621" t="str">
        <f>""</f>
        <v/>
      </c>
      <c r="G621" t="str">
        <f>""</f>
        <v/>
      </c>
      <c r="H621">
        <v>0</v>
      </c>
      <c r="I621">
        <v>4.2300000000000004</v>
      </c>
      <c r="J621" t="s">
        <v>2487</v>
      </c>
      <c r="K621" t="s">
        <v>85</v>
      </c>
      <c r="L621">
        <v>234</v>
      </c>
      <c r="M621">
        <v>2024</v>
      </c>
      <c r="N621">
        <v>2024</v>
      </c>
      <c r="P621" s="1">
        <v>45447</v>
      </c>
      <c r="Q621" t="s">
        <v>30</v>
      </c>
      <c r="R621" t="s">
        <v>2488</v>
      </c>
      <c r="S621" t="s">
        <v>30</v>
      </c>
      <c r="W621">
        <v>0</v>
      </c>
      <c r="X621">
        <v>0</v>
      </c>
      <c r="Y621" t="s">
        <v>203</v>
      </c>
    </row>
    <row r="622" spans="1:25" x14ac:dyDescent="0.35">
      <c r="A622">
        <v>53914938</v>
      </c>
      <c r="B622" t="s">
        <v>2489</v>
      </c>
      <c r="C622" t="s">
        <v>2154</v>
      </c>
      <c r="D622" t="s">
        <v>2155</v>
      </c>
      <c r="F622" t="str">
        <f>"0062943472"</f>
        <v>0062943472</v>
      </c>
      <c r="G622" t="str">
        <f>"9780062943477"</f>
        <v>9780062943477</v>
      </c>
      <c r="H622">
        <v>0</v>
      </c>
      <c r="I622">
        <v>4.45</v>
      </c>
      <c r="J622" t="s">
        <v>1666</v>
      </c>
      <c r="K622" t="s">
        <v>29</v>
      </c>
      <c r="L622">
        <v>624</v>
      </c>
      <c r="M622">
        <v>2021</v>
      </c>
      <c r="N622">
        <v>2021</v>
      </c>
      <c r="P622" s="1">
        <v>45447</v>
      </c>
      <c r="Q622" t="s">
        <v>30</v>
      </c>
      <c r="R622" t="s">
        <v>2490</v>
      </c>
      <c r="S622" t="s">
        <v>30</v>
      </c>
      <c r="W622">
        <v>0</v>
      </c>
      <c r="X622">
        <v>0</v>
      </c>
      <c r="Y622" t="s">
        <v>38</v>
      </c>
    </row>
    <row r="623" spans="1:25" x14ac:dyDescent="0.35">
      <c r="A623">
        <v>10176119</v>
      </c>
      <c r="B623" t="s">
        <v>2491</v>
      </c>
      <c r="C623" t="s">
        <v>2492</v>
      </c>
      <c r="D623" t="s">
        <v>2493</v>
      </c>
      <c r="F623" t="str">
        <f>""</f>
        <v/>
      </c>
      <c r="G623" t="str">
        <f>""</f>
        <v/>
      </c>
      <c r="H623">
        <v>0</v>
      </c>
      <c r="I623">
        <v>4.1399999999999997</v>
      </c>
      <c r="J623" t="s">
        <v>2494</v>
      </c>
      <c r="K623" t="s">
        <v>375</v>
      </c>
      <c r="L623">
        <v>9</v>
      </c>
      <c r="M623">
        <v>1961</v>
      </c>
      <c r="N623">
        <v>1961</v>
      </c>
      <c r="P623" s="1">
        <v>45445</v>
      </c>
      <c r="Q623" t="s">
        <v>30</v>
      </c>
      <c r="R623" t="s">
        <v>2495</v>
      </c>
      <c r="S623" t="s">
        <v>30</v>
      </c>
      <c r="W623">
        <v>0</v>
      </c>
      <c r="X623">
        <v>0</v>
      </c>
      <c r="Y623" t="s">
        <v>38</v>
      </c>
    </row>
    <row r="624" spans="1:25" x14ac:dyDescent="0.35">
      <c r="A624">
        <v>2173611</v>
      </c>
      <c r="B624" t="s">
        <v>2496</v>
      </c>
      <c r="C624" t="s">
        <v>2497</v>
      </c>
      <c r="D624" t="s">
        <v>2498</v>
      </c>
      <c r="F624" t="str">
        <f>"0061477958"</f>
        <v>0061477958</v>
      </c>
      <c r="G624" t="str">
        <f>"9780061477959"</f>
        <v>9780061477959</v>
      </c>
      <c r="H624">
        <v>0</v>
      </c>
      <c r="I624">
        <v>4.0599999999999996</v>
      </c>
      <c r="J624" t="s">
        <v>731</v>
      </c>
      <c r="K624" t="s">
        <v>48</v>
      </c>
      <c r="L624">
        <v>404</v>
      </c>
      <c r="M624">
        <v>2008</v>
      </c>
      <c r="N624">
        <v>2008</v>
      </c>
      <c r="P624" s="1">
        <v>45443</v>
      </c>
      <c r="Q624" t="s">
        <v>30</v>
      </c>
      <c r="R624" t="s">
        <v>2499</v>
      </c>
      <c r="S624" t="s">
        <v>30</v>
      </c>
      <c r="W624">
        <v>0</v>
      </c>
      <c r="X624">
        <v>0</v>
      </c>
      <c r="Y624" t="s">
        <v>38</v>
      </c>
    </row>
    <row r="625" spans="1:25" x14ac:dyDescent="0.35">
      <c r="A625">
        <v>47520</v>
      </c>
      <c r="B625" t="s">
        <v>2500</v>
      </c>
      <c r="C625" t="s">
        <v>2497</v>
      </c>
      <c r="D625" t="s">
        <v>2498</v>
      </c>
      <c r="F625" t="str">
        <f>"0064473457"</f>
        <v>0064473457</v>
      </c>
      <c r="G625" t="str">
        <f>"9780064473453"</f>
        <v>9780064473453</v>
      </c>
      <c r="H625">
        <v>0</v>
      </c>
      <c r="I625">
        <v>3.87</v>
      </c>
      <c r="J625" t="s">
        <v>731</v>
      </c>
      <c r="K625" t="s">
        <v>228</v>
      </c>
      <c r="L625">
        <v>298</v>
      </c>
      <c r="M625">
        <v>2001</v>
      </c>
      <c r="N625">
        <v>1990</v>
      </c>
      <c r="P625" s="1">
        <v>45443</v>
      </c>
      <c r="Q625" t="s">
        <v>30</v>
      </c>
      <c r="R625" t="s">
        <v>2501</v>
      </c>
      <c r="S625" t="s">
        <v>30</v>
      </c>
      <c r="W625">
        <v>0</v>
      </c>
      <c r="X625">
        <v>0</v>
      </c>
      <c r="Y625" t="s">
        <v>38</v>
      </c>
    </row>
    <row r="626" spans="1:25" x14ac:dyDescent="0.35">
      <c r="A626">
        <v>62854847</v>
      </c>
      <c r="B626" t="s">
        <v>2502</v>
      </c>
      <c r="C626" t="s">
        <v>2503</v>
      </c>
      <c r="D626" t="s">
        <v>2504</v>
      </c>
      <c r="F626" t="str">
        <f>"0063258072"</f>
        <v>0063258072</v>
      </c>
      <c r="G626" t="str">
        <f>"9780063258075"</f>
        <v>9780063258075</v>
      </c>
      <c r="H626">
        <v>0</v>
      </c>
      <c r="I626">
        <v>4.03</v>
      </c>
      <c r="J626" t="s">
        <v>2505</v>
      </c>
      <c r="K626" t="s">
        <v>48</v>
      </c>
      <c r="L626">
        <v>227</v>
      </c>
      <c r="M626">
        <v>2023</v>
      </c>
      <c r="N626">
        <v>2023</v>
      </c>
      <c r="P626" s="1">
        <v>45442</v>
      </c>
      <c r="Q626" t="s">
        <v>30</v>
      </c>
      <c r="R626" t="s">
        <v>2506</v>
      </c>
      <c r="S626" t="s">
        <v>30</v>
      </c>
      <c r="W626">
        <v>0</v>
      </c>
      <c r="X626">
        <v>0</v>
      </c>
      <c r="Y626" t="s">
        <v>38</v>
      </c>
    </row>
    <row r="627" spans="1:25" x14ac:dyDescent="0.35">
      <c r="A627">
        <v>60439685</v>
      </c>
      <c r="B627" t="s">
        <v>2507</v>
      </c>
      <c r="C627" t="s">
        <v>2440</v>
      </c>
      <c r="D627" t="s">
        <v>2441</v>
      </c>
      <c r="F627" t="str">
        <f>"1639930515"</f>
        <v>1639930515</v>
      </c>
      <c r="G627" t="str">
        <f>"9781639930517"</f>
        <v>9781639930517</v>
      </c>
      <c r="H627">
        <v>0</v>
      </c>
      <c r="I627">
        <v>4.04</v>
      </c>
      <c r="J627" t="s">
        <v>2442</v>
      </c>
      <c r="K627" t="s">
        <v>29</v>
      </c>
      <c r="L627">
        <v>288</v>
      </c>
      <c r="M627">
        <v>2022</v>
      </c>
      <c r="N627">
        <v>2022</v>
      </c>
      <c r="P627" s="1">
        <v>45441</v>
      </c>
      <c r="Q627" t="s">
        <v>30</v>
      </c>
      <c r="R627" t="s">
        <v>2508</v>
      </c>
      <c r="S627" t="s">
        <v>30</v>
      </c>
      <c r="W627">
        <v>0</v>
      </c>
      <c r="X627">
        <v>0</v>
      </c>
      <c r="Y627" t="s">
        <v>203</v>
      </c>
    </row>
    <row r="628" spans="1:25" x14ac:dyDescent="0.35">
      <c r="A628">
        <v>78134469</v>
      </c>
      <c r="B628" t="s">
        <v>2509</v>
      </c>
      <c r="C628" t="s">
        <v>2510</v>
      </c>
      <c r="D628" t="s">
        <v>2511</v>
      </c>
      <c r="F628" t="str">
        <f>"0063314401"</f>
        <v>0063314401</v>
      </c>
      <c r="G628" t="str">
        <f>"9780063314405"</f>
        <v>9780063314405</v>
      </c>
      <c r="H628">
        <v>0</v>
      </c>
      <c r="I628">
        <v>4.2699999999999996</v>
      </c>
      <c r="J628" t="s">
        <v>731</v>
      </c>
      <c r="K628" t="s">
        <v>48</v>
      </c>
      <c r="L628">
        <v>272</v>
      </c>
      <c r="M628">
        <v>2023</v>
      </c>
      <c r="N628">
        <v>2023</v>
      </c>
      <c r="P628" s="1">
        <v>45440</v>
      </c>
      <c r="Q628" t="s">
        <v>30</v>
      </c>
      <c r="R628" t="s">
        <v>2512</v>
      </c>
      <c r="S628" t="s">
        <v>30</v>
      </c>
      <c r="W628">
        <v>0</v>
      </c>
      <c r="X628">
        <v>0</v>
      </c>
      <c r="Y628" t="s">
        <v>38</v>
      </c>
    </row>
    <row r="629" spans="1:25" x14ac:dyDescent="0.35">
      <c r="A629">
        <v>63354446</v>
      </c>
      <c r="B629" t="s">
        <v>2513</v>
      </c>
      <c r="C629" t="s">
        <v>1349</v>
      </c>
      <c r="D629" t="s">
        <v>1350</v>
      </c>
      <c r="F629" t="str">
        <f>"0840712804"</f>
        <v>0840712804</v>
      </c>
      <c r="G629" t="str">
        <f>"9780840712806"</f>
        <v>9780840712806</v>
      </c>
      <c r="H629">
        <v>0</v>
      </c>
      <c r="I629">
        <v>4.1900000000000004</v>
      </c>
      <c r="J629" t="s">
        <v>1175</v>
      </c>
      <c r="K629" t="s">
        <v>29</v>
      </c>
      <c r="L629">
        <v>358</v>
      </c>
      <c r="M629">
        <v>2023</v>
      </c>
      <c r="N629">
        <v>2023</v>
      </c>
      <c r="P629" s="1">
        <v>45440</v>
      </c>
      <c r="Q629" t="s">
        <v>30</v>
      </c>
      <c r="R629" t="s">
        <v>2514</v>
      </c>
      <c r="S629" t="s">
        <v>30</v>
      </c>
      <c r="W629">
        <v>0</v>
      </c>
      <c r="X629">
        <v>0</v>
      </c>
      <c r="Y629" t="s">
        <v>38</v>
      </c>
    </row>
    <row r="630" spans="1:25" x14ac:dyDescent="0.35">
      <c r="A630">
        <v>195888874</v>
      </c>
      <c r="B630" t="s">
        <v>2515</v>
      </c>
      <c r="C630" t="s">
        <v>2516</v>
      </c>
      <c r="D630" t="s">
        <v>2517</v>
      </c>
      <c r="F630" t="str">
        <f>"0593640535"</f>
        <v>0593640535</v>
      </c>
      <c r="G630" t="str">
        <f>"9780593640531"</f>
        <v>9780593640531</v>
      </c>
      <c r="H630">
        <v>0</v>
      </c>
      <c r="I630">
        <v>4.4800000000000004</v>
      </c>
      <c r="J630" t="s">
        <v>350</v>
      </c>
      <c r="K630" t="s">
        <v>48</v>
      </c>
      <c r="L630">
        <v>400</v>
      </c>
      <c r="M630">
        <v>2024</v>
      </c>
      <c r="N630">
        <v>2024</v>
      </c>
      <c r="P630" s="1">
        <v>45440</v>
      </c>
      <c r="Q630" t="s">
        <v>30</v>
      </c>
      <c r="R630" t="s">
        <v>2518</v>
      </c>
      <c r="S630" t="s">
        <v>30</v>
      </c>
      <c r="W630">
        <v>0</v>
      </c>
      <c r="X630">
        <v>0</v>
      </c>
      <c r="Y630" t="s">
        <v>38</v>
      </c>
    </row>
    <row r="631" spans="1:25" x14ac:dyDescent="0.35">
      <c r="A631">
        <v>180357146</v>
      </c>
      <c r="B631" t="s">
        <v>2519</v>
      </c>
      <c r="C631" t="s">
        <v>2520</v>
      </c>
      <c r="D631" t="s">
        <v>2521</v>
      </c>
      <c r="F631" t="str">
        <f>"0802162177"</f>
        <v>0802162177</v>
      </c>
      <c r="G631" t="str">
        <f>"9780802162175"</f>
        <v>9780802162175</v>
      </c>
      <c r="H631">
        <v>0</v>
      </c>
      <c r="I631">
        <v>4.43</v>
      </c>
      <c r="J631" t="s">
        <v>2522</v>
      </c>
      <c r="K631" t="s">
        <v>48</v>
      </c>
      <c r="L631">
        <v>724</v>
      </c>
      <c r="M631">
        <v>2023</v>
      </c>
      <c r="N631">
        <v>2023</v>
      </c>
      <c r="P631" s="1">
        <v>45440</v>
      </c>
      <c r="Q631" t="s">
        <v>30</v>
      </c>
      <c r="R631" t="s">
        <v>2523</v>
      </c>
      <c r="S631" t="s">
        <v>30</v>
      </c>
      <c r="W631">
        <v>0</v>
      </c>
      <c r="X631">
        <v>0</v>
      </c>
      <c r="Y631" t="s">
        <v>38</v>
      </c>
    </row>
    <row r="632" spans="1:25" x14ac:dyDescent="0.35">
      <c r="A632">
        <v>202268128</v>
      </c>
      <c r="B632" t="s">
        <v>2106</v>
      </c>
      <c r="C632" t="s">
        <v>2524</v>
      </c>
      <c r="D632" t="s">
        <v>2525</v>
      </c>
      <c r="F632" t="str">
        <f>"0825448697"</f>
        <v>0825448697</v>
      </c>
      <c r="G632" t="str">
        <f>"9780825448690"</f>
        <v>9780825448690</v>
      </c>
      <c r="H632">
        <v>0</v>
      </c>
      <c r="I632">
        <v>4.21</v>
      </c>
      <c r="J632" t="s">
        <v>382</v>
      </c>
      <c r="K632" t="s">
        <v>29</v>
      </c>
      <c r="L632">
        <v>304</v>
      </c>
      <c r="M632">
        <v>2024</v>
      </c>
      <c r="N632">
        <v>2024</v>
      </c>
      <c r="P632" s="1">
        <v>45440</v>
      </c>
      <c r="Q632" t="s">
        <v>30</v>
      </c>
      <c r="R632" t="s">
        <v>2526</v>
      </c>
      <c r="S632" t="s">
        <v>30</v>
      </c>
      <c r="W632">
        <v>0</v>
      </c>
      <c r="X632">
        <v>0</v>
      </c>
      <c r="Y632" t="s">
        <v>38</v>
      </c>
    </row>
    <row r="633" spans="1:25" x14ac:dyDescent="0.35">
      <c r="A633">
        <v>124725488</v>
      </c>
      <c r="B633" t="s">
        <v>2527</v>
      </c>
      <c r="C633" t="s">
        <v>2528</v>
      </c>
      <c r="D633" t="s">
        <v>2529</v>
      </c>
      <c r="F633" t="str">
        <f>"0806542853"</f>
        <v>0806542853</v>
      </c>
      <c r="G633" t="str">
        <f>"9780806542850"</f>
        <v>9780806542850</v>
      </c>
      <c r="H633">
        <v>0</v>
      </c>
      <c r="I633">
        <v>4.1900000000000004</v>
      </c>
      <c r="J633" t="s">
        <v>2530</v>
      </c>
      <c r="K633" t="s">
        <v>48</v>
      </c>
      <c r="L633">
        <v>464</v>
      </c>
      <c r="M633">
        <v>2023</v>
      </c>
      <c r="N633">
        <v>2023</v>
      </c>
      <c r="P633" s="1">
        <v>45440</v>
      </c>
      <c r="Q633" t="s">
        <v>30</v>
      </c>
      <c r="R633" t="s">
        <v>2531</v>
      </c>
      <c r="S633" t="s">
        <v>30</v>
      </c>
      <c r="W633">
        <v>0</v>
      </c>
      <c r="X633">
        <v>0</v>
      </c>
      <c r="Y633" t="s">
        <v>762</v>
      </c>
    </row>
    <row r="634" spans="1:25" x14ac:dyDescent="0.35">
      <c r="A634">
        <v>182094236</v>
      </c>
      <c r="B634" t="s">
        <v>2532</v>
      </c>
      <c r="C634" t="s">
        <v>1802</v>
      </c>
      <c r="D634" t="s">
        <v>1803</v>
      </c>
      <c r="F634" t="str">
        <f>"0800744713"</f>
        <v>0800744713</v>
      </c>
      <c r="G634" t="str">
        <f>"9780800744717"</f>
        <v>9780800744717</v>
      </c>
      <c r="H634">
        <v>0</v>
      </c>
      <c r="I634">
        <v>3.48</v>
      </c>
      <c r="J634" t="s">
        <v>259</v>
      </c>
      <c r="K634" t="s">
        <v>29</v>
      </c>
      <c r="L634">
        <v>288</v>
      </c>
      <c r="M634">
        <v>2024</v>
      </c>
      <c r="N634">
        <v>2024</v>
      </c>
      <c r="P634" s="1">
        <v>45440</v>
      </c>
      <c r="Q634" t="s">
        <v>30</v>
      </c>
      <c r="R634" t="s">
        <v>2533</v>
      </c>
      <c r="S634" t="s">
        <v>30</v>
      </c>
      <c r="W634">
        <v>0</v>
      </c>
      <c r="X634">
        <v>0</v>
      </c>
      <c r="Y634" t="s">
        <v>38</v>
      </c>
    </row>
    <row r="635" spans="1:25" x14ac:dyDescent="0.35">
      <c r="A635">
        <v>36562225</v>
      </c>
      <c r="B635" t="s">
        <v>2534</v>
      </c>
      <c r="C635" t="s">
        <v>446</v>
      </c>
      <c r="D635" t="s">
        <v>447</v>
      </c>
      <c r="F635" t="str">
        <f>""</f>
        <v/>
      </c>
      <c r="G635" t="str">
        <f>""</f>
        <v/>
      </c>
      <c r="H635">
        <v>0</v>
      </c>
      <c r="I635">
        <v>4.13</v>
      </c>
      <c r="J635" t="s">
        <v>448</v>
      </c>
      <c r="K635" t="s">
        <v>85</v>
      </c>
      <c r="L635">
        <v>334</v>
      </c>
      <c r="M635">
        <v>2016</v>
      </c>
      <c r="N635">
        <v>2016</v>
      </c>
      <c r="P635" s="1">
        <v>45440</v>
      </c>
      <c r="Q635" t="s">
        <v>30</v>
      </c>
      <c r="R635" t="s">
        <v>2535</v>
      </c>
      <c r="S635" t="s">
        <v>30</v>
      </c>
      <c r="W635">
        <v>0</v>
      </c>
      <c r="X635">
        <v>0</v>
      </c>
      <c r="Y635" t="s">
        <v>38</v>
      </c>
    </row>
    <row r="636" spans="1:25" x14ac:dyDescent="0.35">
      <c r="A636">
        <v>54613403</v>
      </c>
      <c r="B636" t="s">
        <v>2534</v>
      </c>
      <c r="C636" t="s">
        <v>446</v>
      </c>
      <c r="D636" t="s">
        <v>447</v>
      </c>
      <c r="F636" t="str">
        <f>"098069633X"</f>
        <v>098069633X</v>
      </c>
      <c r="G636" t="str">
        <f>"9780980696332"</f>
        <v>9780980696332</v>
      </c>
      <c r="H636">
        <v>0</v>
      </c>
      <c r="I636">
        <v>4.13</v>
      </c>
      <c r="J636" t="s">
        <v>448</v>
      </c>
      <c r="K636" t="s">
        <v>85</v>
      </c>
      <c r="L636">
        <v>350</v>
      </c>
      <c r="M636">
        <v>2020</v>
      </c>
      <c r="N636">
        <v>2016</v>
      </c>
      <c r="P636" s="1">
        <v>45440</v>
      </c>
      <c r="Q636" t="s">
        <v>30</v>
      </c>
      <c r="R636" t="s">
        <v>2536</v>
      </c>
      <c r="S636" t="s">
        <v>30</v>
      </c>
      <c r="W636">
        <v>0</v>
      </c>
      <c r="X636">
        <v>0</v>
      </c>
      <c r="Y636" t="s">
        <v>38</v>
      </c>
    </row>
    <row r="637" spans="1:25" x14ac:dyDescent="0.35">
      <c r="A637">
        <v>193544841</v>
      </c>
      <c r="B637" t="s">
        <v>2537</v>
      </c>
      <c r="C637" t="s">
        <v>646</v>
      </c>
      <c r="D637" t="s">
        <v>647</v>
      </c>
      <c r="F637" t="str">
        <f>"1728265770"</f>
        <v>1728265770</v>
      </c>
      <c r="G637" t="str">
        <f>"9781728265773"</f>
        <v>9781728265773</v>
      </c>
      <c r="H637">
        <v>0</v>
      </c>
      <c r="I637">
        <v>3.86</v>
      </c>
      <c r="J637" t="s">
        <v>435</v>
      </c>
      <c r="K637" t="s">
        <v>29</v>
      </c>
      <c r="L637">
        <v>432</v>
      </c>
      <c r="M637">
        <v>2024</v>
      </c>
      <c r="N637">
        <v>2024</v>
      </c>
      <c r="P637" s="1">
        <v>45440</v>
      </c>
      <c r="Q637" t="s">
        <v>30</v>
      </c>
      <c r="R637" t="s">
        <v>2538</v>
      </c>
      <c r="S637" t="s">
        <v>30</v>
      </c>
      <c r="W637">
        <v>0</v>
      </c>
      <c r="X637">
        <v>0</v>
      </c>
      <c r="Y637" t="s">
        <v>38</v>
      </c>
    </row>
    <row r="638" spans="1:25" x14ac:dyDescent="0.35">
      <c r="A638">
        <v>15779</v>
      </c>
      <c r="B638" t="s">
        <v>2539</v>
      </c>
      <c r="C638" t="s">
        <v>2540</v>
      </c>
      <c r="D638" t="s">
        <v>2541</v>
      </c>
      <c r="E638" t="s">
        <v>2542</v>
      </c>
      <c r="F638" t="str">
        <f>"0747571775"</f>
        <v>0747571775</v>
      </c>
      <c r="G638" t="str">
        <f>"9780747571773"</f>
        <v>9780747571773</v>
      </c>
      <c r="H638">
        <v>0</v>
      </c>
      <c r="I638">
        <v>4.16</v>
      </c>
      <c r="J638" t="s">
        <v>2543</v>
      </c>
      <c r="K638" t="s">
        <v>29</v>
      </c>
      <c r="L638">
        <v>144</v>
      </c>
      <c r="M638">
        <v>2004</v>
      </c>
      <c r="N638">
        <v>1978</v>
      </c>
      <c r="P638" s="1">
        <v>45439</v>
      </c>
      <c r="Q638" t="s">
        <v>30</v>
      </c>
      <c r="R638" t="s">
        <v>2544</v>
      </c>
      <c r="S638" t="s">
        <v>30</v>
      </c>
      <c r="W638">
        <v>0</v>
      </c>
      <c r="X638">
        <v>0</v>
      </c>
      <c r="Y638" t="s">
        <v>38</v>
      </c>
    </row>
    <row r="639" spans="1:25" x14ac:dyDescent="0.35">
      <c r="A639">
        <v>10065</v>
      </c>
      <c r="B639" t="s">
        <v>2545</v>
      </c>
      <c r="C639" t="s">
        <v>2540</v>
      </c>
      <c r="D639" t="s">
        <v>2541</v>
      </c>
      <c r="E639" t="s">
        <v>2542</v>
      </c>
      <c r="F639" t="str">
        <f>"0380731509"</f>
        <v>0380731509</v>
      </c>
      <c r="G639" t="str">
        <f>"9780380731503"</f>
        <v>9780380731503</v>
      </c>
      <c r="H639">
        <v>0</v>
      </c>
      <c r="I639">
        <v>4.17</v>
      </c>
      <c r="J639" t="s">
        <v>2546</v>
      </c>
      <c r="K639" t="s">
        <v>29</v>
      </c>
      <c r="L639">
        <v>152</v>
      </c>
      <c r="M639">
        <v>1990</v>
      </c>
      <c r="N639">
        <v>1989</v>
      </c>
      <c r="P639" s="1">
        <v>45439</v>
      </c>
      <c r="Q639" t="s">
        <v>30</v>
      </c>
      <c r="R639" t="s">
        <v>2547</v>
      </c>
      <c r="S639" t="s">
        <v>30</v>
      </c>
      <c r="W639">
        <v>0</v>
      </c>
      <c r="X639">
        <v>0</v>
      </c>
      <c r="Y639" t="s">
        <v>38</v>
      </c>
    </row>
    <row r="640" spans="1:25" x14ac:dyDescent="0.35">
      <c r="A640">
        <v>49691870</v>
      </c>
      <c r="B640" t="s">
        <v>2548</v>
      </c>
      <c r="C640" t="s">
        <v>2549</v>
      </c>
      <c r="D640" t="s">
        <v>2550</v>
      </c>
      <c r="F640" t="str">
        <f>"1524746363"</f>
        <v>1524746363</v>
      </c>
      <c r="G640" t="str">
        <f>"9781524746360"</f>
        <v>9781524746360</v>
      </c>
      <c r="H640">
        <v>0</v>
      </c>
      <c r="I640">
        <v>3.88</v>
      </c>
      <c r="J640" t="s">
        <v>2258</v>
      </c>
      <c r="K640" t="s">
        <v>48</v>
      </c>
      <c r="L640">
        <v>449</v>
      </c>
      <c r="M640">
        <v>2020</v>
      </c>
      <c r="N640">
        <v>2020</v>
      </c>
      <c r="P640" s="1">
        <v>45438</v>
      </c>
      <c r="Q640" t="s">
        <v>30</v>
      </c>
      <c r="R640" t="s">
        <v>2551</v>
      </c>
      <c r="S640" t="s">
        <v>30</v>
      </c>
      <c r="W640">
        <v>0</v>
      </c>
      <c r="X640">
        <v>0</v>
      </c>
      <c r="Y640" t="s">
        <v>38</v>
      </c>
    </row>
    <row r="641" spans="1:25" x14ac:dyDescent="0.35">
      <c r="A641">
        <v>62918680</v>
      </c>
      <c r="B641" t="s">
        <v>2552</v>
      </c>
      <c r="C641" t="s">
        <v>2553</v>
      </c>
      <c r="D641" t="s">
        <v>2554</v>
      </c>
      <c r="F641" t="str">
        <f>"1476748470"</f>
        <v>1476748470</v>
      </c>
      <c r="G641" t="str">
        <f>"9781476748474"</f>
        <v>9781476748474</v>
      </c>
      <c r="H641">
        <v>0</v>
      </c>
      <c r="I641">
        <v>4.3600000000000003</v>
      </c>
      <c r="J641" t="s">
        <v>798</v>
      </c>
      <c r="K641" t="s">
        <v>48</v>
      </c>
      <c r="L641">
        <v>348</v>
      </c>
      <c r="M641">
        <v>2023</v>
      </c>
      <c r="N641">
        <v>2023</v>
      </c>
      <c r="P641" s="1">
        <v>45438</v>
      </c>
      <c r="Q641" t="s">
        <v>30</v>
      </c>
      <c r="R641" t="s">
        <v>2555</v>
      </c>
      <c r="S641" t="s">
        <v>30</v>
      </c>
      <c r="W641">
        <v>0</v>
      </c>
      <c r="X641">
        <v>0</v>
      </c>
      <c r="Y641" t="s">
        <v>38</v>
      </c>
    </row>
    <row r="642" spans="1:25" x14ac:dyDescent="0.35">
      <c r="A642">
        <v>9408584</v>
      </c>
      <c r="B642" t="s">
        <v>2556</v>
      </c>
      <c r="C642" t="s">
        <v>2557</v>
      </c>
      <c r="D642" t="s">
        <v>2558</v>
      </c>
      <c r="F642" t="str">
        <f>""</f>
        <v/>
      </c>
      <c r="G642" t="str">
        <f>""</f>
        <v/>
      </c>
      <c r="H642">
        <v>0</v>
      </c>
      <c r="I642">
        <v>3.94</v>
      </c>
      <c r="J642" t="s">
        <v>683</v>
      </c>
      <c r="K642" t="s">
        <v>29</v>
      </c>
      <c r="L642">
        <v>390</v>
      </c>
      <c r="M642">
        <v>2009</v>
      </c>
      <c r="N642">
        <v>2001</v>
      </c>
      <c r="P642" s="1">
        <v>45434</v>
      </c>
      <c r="S642" t="s">
        <v>51</v>
      </c>
      <c r="W642">
        <v>1</v>
      </c>
      <c r="X642">
        <v>0</v>
      </c>
      <c r="Y642" t="s">
        <v>38</v>
      </c>
    </row>
    <row r="643" spans="1:25" x14ac:dyDescent="0.35">
      <c r="A643">
        <v>110386</v>
      </c>
      <c r="B643" t="s">
        <v>2559</v>
      </c>
      <c r="C643" t="s">
        <v>2557</v>
      </c>
      <c r="D643" t="s">
        <v>2558</v>
      </c>
      <c r="F643" t="str">
        <f>"0380820854"</f>
        <v>0380820854</v>
      </c>
      <c r="G643" t="str">
        <f>"9780380820856"</f>
        <v>9780380820856</v>
      </c>
      <c r="H643">
        <v>0</v>
      </c>
      <c r="I643">
        <v>3.7</v>
      </c>
      <c r="J643" t="s">
        <v>683</v>
      </c>
      <c r="K643" t="s">
        <v>29</v>
      </c>
      <c r="L643">
        <v>372</v>
      </c>
      <c r="M643">
        <v>2003</v>
      </c>
      <c r="N643">
        <v>2003</v>
      </c>
      <c r="P643" s="1">
        <v>45432</v>
      </c>
      <c r="S643" t="s">
        <v>51</v>
      </c>
      <c r="W643">
        <v>1</v>
      </c>
      <c r="X643">
        <v>0</v>
      </c>
      <c r="Y643" t="s">
        <v>38</v>
      </c>
    </row>
    <row r="644" spans="1:25" x14ac:dyDescent="0.35">
      <c r="A644">
        <v>152261416</v>
      </c>
      <c r="B644" t="s">
        <v>2560</v>
      </c>
      <c r="C644" t="s">
        <v>2561</v>
      </c>
      <c r="D644" t="s">
        <v>2562</v>
      </c>
      <c r="F644" t="str">
        <f>""</f>
        <v/>
      </c>
      <c r="G644" t="str">
        <f>"9798988257707"</f>
        <v>9798988257707</v>
      </c>
      <c r="H644">
        <v>0</v>
      </c>
      <c r="I644">
        <v>4.22</v>
      </c>
      <c r="J644" t="s">
        <v>2563</v>
      </c>
      <c r="K644" t="s">
        <v>48</v>
      </c>
      <c r="L644">
        <v>272</v>
      </c>
      <c r="M644">
        <v>2023</v>
      </c>
      <c r="P644" s="1">
        <v>45432</v>
      </c>
      <c r="Q644" t="s">
        <v>30</v>
      </c>
      <c r="R644" t="s">
        <v>2564</v>
      </c>
      <c r="S644" t="s">
        <v>30</v>
      </c>
      <c r="W644">
        <v>0</v>
      </c>
      <c r="X644">
        <v>0</v>
      </c>
      <c r="Y644" t="s">
        <v>38</v>
      </c>
    </row>
    <row r="645" spans="1:25" x14ac:dyDescent="0.35">
      <c r="A645">
        <v>21413662</v>
      </c>
      <c r="B645" t="s">
        <v>2565</v>
      </c>
      <c r="C645" t="s">
        <v>2566</v>
      </c>
      <c r="D645" t="s">
        <v>2567</v>
      </c>
      <c r="F645" t="str">
        <f>"0544272994"</f>
        <v>0544272994</v>
      </c>
      <c r="G645" t="str">
        <f>"9780544272996"</f>
        <v>9780544272996</v>
      </c>
      <c r="H645">
        <v>0</v>
      </c>
      <c r="I645">
        <v>4.1399999999999997</v>
      </c>
      <c r="J645" t="s">
        <v>2568</v>
      </c>
      <c r="K645" t="s">
        <v>48</v>
      </c>
      <c r="L645">
        <v>303</v>
      </c>
      <c r="M645">
        <v>2014</v>
      </c>
      <c r="N645">
        <v>2014</v>
      </c>
      <c r="P645" s="1">
        <v>45432</v>
      </c>
      <c r="Q645" t="s">
        <v>30</v>
      </c>
      <c r="R645" t="s">
        <v>2569</v>
      </c>
      <c r="S645" t="s">
        <v>30</v>
      </c>
      <c r="W645">
        <v>0</v>
      </c>
      <c r="X645">
        <v>0</v>
      </c>
      <c r="Y645" t="s">
        <v>38</v>
      </c>
    </row>
    <row r="646" spans="1:25" x14ac:dyDescent="0.35">
      <c r="A646">
        <v>25441973</v>
      </c>
      <c r="B646" t="s">
        <v>2570</v>
      </c>
      <c r="C646" t="s">
        <v>2571</v>
      </c>
      <c r="D646" t="s">
        <v>2572</v>
      </c>
      <c r="E646" t="s">
        <v>2573</v>
      </c>
      <c r="F646" t="str">
        <f>""</f>
        <v/>
      </c>
      <c r="G646" t="str">
        <f>""</f>
        <v/>
      </c>
      <c r="H646">
        <v>0</v>
      </c>
      <c r="I646">
        <v>4.68</v>
      </c>
      <c r="J646" t="s">
        <v>2574</v>
      </c>
      <c r="K646" t="s">
        <v>85</v>
      </c>
      <c r="L646">
        <v>206</v>
      </c>
      <c r="M646">
        <v>2015</v>
      </c>
      <c r="P646" s="1">
        <v>45432</v>
      </c>
      <c r="Q646" t="s">
        <v>30</v>
      </c>
      <c r="R646" t="s">
        <v>2575</v>
      </c>
      <c r="S646" t="s">
        <v>30</v>
      </c>
      <c r="W646">
        <v>0</v>
      </c>
      <c r="X646">
        <v>0</v>
      </c>
      <c r="Y646" t="s">
        <v>38</v>
      </c>
    </row>
    <row r="647" spans="1:25" x14ac:dyDescent="0.35">
      <c r="A647">
        <v>110384</v>
      </c>
      <c r="B647" t="s">
        <v>2576</v>
      </c>
      <c r="C647" t="s">
        <v>2557</v>
      </c>
      <c r="D647" t="s">
        <v>2558</v>
      </c>
      <c r="F647" t="str">
        <f>"0380820846"</f>
        <v>0380820846</v>
      </c>
      <c r="G647" t="str">
        <f>"9780380820849"</f>
        <v>9780380820849</v>
      </c>
      <c r="H647">
        <v>0</v>
      </c>
      <c r="I647">
        <v>3.88</v>
      </c>
      <c r="J647" t="s">
        <v>683</v>
      </c>
      <c r="K647" t="s">
        <v>228</v>
      </c>
      <c r="L647">
        <v>370</v>
      </c>
      <c r="M647">
        <v>2002</v>
      </c>
      <c r="N647">
        <v>2002</v>
      </c>
      <c r="P647" s="1">
        <v>45432</v>
      </c>
      <c r="S647" t="s">
        <v>51</v>
      </c>
      <c r="W647">
        <v>1</v>
      </c>
      <c r="X647">
        <v>0</v>
      </c>
      <c r="Y647" t="s">
        <v>38</v>
      </c>
    </row>
    <row r="648" spans="1:25" x14ac:dyDescent="0.35">
      <c r="A648">
        <v>181857655</v>
      </c>
      <c r="B648" t="s">
        <v>2577</v>
      </c>
      <c r="C648" t="s">
        <v>2578</v>
      </c>
      <c r="D648" t="s">
        <v>2579</v>
      </c>
      <c r="F648" t="str">
        <f>"1493445111"</f>
        <v>1493445111</v>
      </c>
      <c r="G648" t="str">
        <f>"9781493445110"</f>
        <v>9781493445110</v>
      </c>
      <c r="H648">
        <v>4</v>
      </c>
      <c r="I648">
        <v>3.96</v>
      </c>
      <c r="J648" t="s">
        <v>36</v>
      </c>
      <c r="K648" t="s">
        <v>85</v>
      </c>
      <c r="L648">
        <v>379</v>
      </c>
      <c r="M648">
        <v>2024</v>
      </c>
      <c r="N648">
        <v>2024</v>
      </c>
      <c r="P648" s="1">
        <v>45352</v>
      </c>
      <c r="S648" t="s">
        <v>51</v>
      </c>
      <c r="W648">
        <v>1</v>
      </c>
      <c r="X648">
        <v>0</v>
      </c>
      <c r="Y648" t="s">
        <v>444</v>
      </c>
    </row>
    <row r="649" spans="1:25" x14ac:dyDescent="0.35">
      <c r="A649">
        <v>52761909</v>
      </c>
      <c r="B649" t="s">
        <v>2580</v>
      </c>
      <c r="C649" t="s">
        <v>2581</v>
      </c>
      <c r="D649" t="s">
        <v>2582</v>
      </c>
      <c r="F649" t="str">
        <f>"1982134194"</f>
        <v>1982134194</v>
      </c>
      <c r="G649" t="str">
        <f>"9781982134198"</f>
        <v>9781982134198</v>
      </c>
      <c r="H649">
        <v>0</v>
      </c>
      <c r="I649">
        <v>4.07</v>
      </c>
      <c r="J649" t="s">
        <v>798</v>
      </c>
      <c r="K649" t="s">
        <v>48</v>
      </c>
      <c r="L649">
        <v>368</v>
      </c>
      <c r="M649">
        <v>2021</v>
      </c>
      <c r="N649">
        <v>2021</v>
      </c>
      <c r="P649" s="1">
        <v>45429</v>
      </c>
      <c r="Q649" t="s">
        <v>30</v>
      </c>
      <c r="R649" t="s">
        <v>2583</v>
      </c>
      <c r="S649" t="s">
        <v>30</v>
      </c>
      <c r="W649">
        <v>0</v>
      </c>
      <c r="X649">
        <v>0</v>
      </c>
      <c r="Y649" t="s">
        <v>38</v>
      </c>
    </row>
    <row r="650" spans="1:25" x14ac:dyDescent="0.35">
      <c r="A650">
        <v>203305188</v>
      </c>
      <c r="B650" t="s">
        <v>2584</v>
      </c>
      <c r="C650" t="s">
        <v>2585</v>
      </c>
      <c r="D650" t="s">
        <v>2586</v>
      </c>
      <c r="F650" t="str">
        <f>""</f>
        <v/>
      </c>
      <c r="G650" t="str">
        <f>""</f>
        <v/>
      </c>
      <c r="H650">
        <v>0</v>
      </c>
      <c r="I650">
        <v>4.7</v>
      </c>
      <c r="J650" t="s">
        <v>2587</v>
      </c>
      <c r="K650" t="s">
        <v>85</v>
      </c>
      <c r="L650">
        <v>1961</v>
      </c>
      <c r="M650">
        <v>2023</v>
      </c>
      <c r="P650" s="1">
        <v>45429</v>
      </c>
      <c r="Q650" t="s">
        <v>30</v>
      </c>
      <c r="R650" t="s">
        <v>2588</v>
      </c>
      <c r="S650" t="s">
        <v>30</v>
      </c>
      <c r="W650">
        <v>0</v>
      </c>
      <c r="X650">
        <v>0</v>
      </c>
      <c r="Y650" t="s">
        <v>38</v>
      </c>
    </row>
    <row r="651" spans="1:25" x14ac:dyDescent="0.35">
      <c r="A651">
        <v>59344312</v>
      </c>
      <c r="B651" t="s">
        <v>2589</v>
      </c>
      <c r="C651" t="s">
        <v>2590</v>
      </c>
      <c r="D651" t="s">
        <v>2591</v>
      </c>
      <c r="F651" t="str">
        <f>"153872474X"</f>
        <v>153872474X</v>
      </c>
      <c r="G651" t="str">
        <f>"9781538724743"</f>
        <v>9781538724743</v>
      </c>
      <c r="H651">
        <v>0</v>
      </c>
      <c r="I651">
        <v>4.3099999999999996</v>
      </c>
      <c r="J651" t="s">
        <v>1295</v>
      </c>
      <c r="K651" t="s">
        <v>375</v>
      </c>
      <c r="L651">
        <v>336</v>
      </c>
      <c r="M651">
        <v>2021</v>
      </c>
      <c r="N651">
        <v>2018</v>
      </c>
      <c r="P651" s="1">
        <v>45429</v>
      </c>
      <c r="Q651" t="s">
        <v>30</v>
      </c>
      <c r="R651" t="s">
        <v>2592</v>
      </c>
      <c r="S651" t="s">
        <v>30</v>
      </c>
      <c r="W651">
        <v>0</v>
      </c>
      <c r="X651">
        <v>0</v>
      </c>
      <c r="Y651" t="s">
        <v>38</v>
      </c>
    </row>
    <row r="652" spans="1:25" x14ac:dyDescent="0.35">
      <c r="A652">
        <v>45171440</v>
      </c>
      <c r="B652" t="s">
        <v>2593</v>
      </c>
      <c r="C652" t="s">
        <v>2594</v>
      </c>
      <c r="D652" t="s">
        <v>2595</v>
      </c>
      <c r="F652" t="str">
        <f>"1728209722"</f>
        <v>1728209722</v>
      </c>
      <c r="G652" t="str">
        <f>"9781728209722"</f>
        <v>9781728209722</v>
      </c>
      <c r="H652">
        <v>0</v>
      </c>
      <c r="I652">
        <v>3.91</v>
      </c>
      <c r="J652" t="s">
        <v>2596</v>
      </c>
      <c r="K652" t="s">
        <v>48</v>
      </c>
      <c r="L652">
        <v>277</v>
      </c>
      <c r="M652">
        <v>2020</v>
      </c>
      <c r="N652">
        <v>2020</v>
      </c>
      <c r="P652" s="1">
        <v>45429</v>
      </c>
      <c r="Q652" t="s">
        <v>30</v>
      </c>
      <c r="R652" t="s">
        <v>2597</v>
      </c>
      <c r="S652" t="s">
        <v>30</v>
      </c>
      <c r="W652">
        <v>0</v>
      </c>
      <c r="X652">
        <v>0</v>
      </c>
      <c r="Y652" t="s">
        <v>38</v>
      </c>
    </row>
    <row r="653" spans="1:25" x14ac:dyDescent="0.35">
      <c r="A653">
        <v>179947355</v>
      </c>
      <c r="B653" t="s">
        <v>2598</v>
      </c>
      <c r="C653" t="s">
        <v>2594</v>
      </c>
      <c r="D653" t="s">
        <v>2595</v>
      </c>
      <c r="F653" t="str">
        <f>"1728259533"</f>
        <v>1728259533</v>
      </c>
      <c r="G653" t="str">
        <f>"9781728259536"</f>
        <v>9781728259536</v>
      </c>
      <c r="H653">
        <v>0</v>
      </c>
      <c r="I653">
        <v>3.97</v>
      </c>
      <c r="J653" t="s">
        <v>2599</v>
      </c>
      <c r="K653" t="s">
        <v>48</v>
      </c>
      <c r="L653">
        <v>256</v>
      </c>
      <c r="M653">
        <v>2024</v>
      </c>
      <c r="N653">
        <v>2024</v>
      </c>
      <c r="P653" s="1">
        <v>45429</v>
      </c>
      <c r="Q653" t="s">
        <v>30</v>
      </c>
      <c r="R653" t="s">
        <v>2600</v>
      </c>
      <c r="S653" t="s">
        <v>30</v>
      </c>
      <c r="W653">
        <v>0</v>
      </c>
      <c r="X653">
        <v>0</v>
      </c>
      <c r="Y653" t="s">
        <v>542</v>
      </c>
    </row>
    <row r="654" spans="1:25" x14ac:dyDescent="0.35">
      <c r="A654">
        <v>68009601</v>
      </c>
      <c r="B654" t="s">
        <v>2601</v>
      </c>
      <c r="C654" t="s">
        <v>2594</v>
      </c>
      <c r="D654" t="s">
        <v>2595</v>
      </c>
      <c r="F654" t="str">
        <f>""</f>
        <v/>
      </c>
      <c r="G654" t="str">
        <f>""</f>
        <v/>
      </c>
      <c r="H654">
        <v>0</v>
      </c>
      <c r="I654">
        <v>3.96</v>
      </c>
      <c r="J654" t="s">
        <v>2599</v>
      </c>
      <c r="K654" t="s">
        <v>1642</v>
      </c>
      <c r="L654">
        <v>274</v>
      </c>
      <c r="M654">
        <v>2023</v>
      </c>
      <c r="N654">
        <v>2023</v>
      </c>
      <c r="P654" s="1">
        <v>45429</v>
      </c>
      <c r="Q654" t="s">
        <v>30</v>
      </c>
      <c r="R654" t="s">
        <v>2602</v>
      </c>
      <c r="S654" t="s">
        <v>30</v>
      </c>
      <c r="W654">
        <v>0</v>
      </c>
      <c r="X654">
        <v>0</v>
      </c>
      <c r="Y654" t="s">
        <v>38</v>
      </c>
    </row>
    <row r="655" spans="1:25" x14ac:dyDescent="0.35">
      <c r="A655">
        <v>57924370</v>
      </c>
      <c r="B655" t="s">
        <v>2603</v>
      </c>
      <c r="C655" t="s">
        <v>2604</v>
      </c>
      <c r="D655" t="s">
        <v>2605</v>
      </c>
      <c r="F655" t="str">
        <f>"0063076926"</f>
        <v>0063076926</v>
      </c>
      <c r="G655" t="str">
        <f>"9780063076921"</f>
        <v>9780063076921</v>
      </c>
      <c r="H655">
        <v>0</v>
      </c>
      <c r="I655">
        <v>3.69</v>
      </c>
      <c r="J655" t="s">
        <v>292</v>
      </c>
      <c r="K655" t="s">
        <v>48</v>
      </c>
      <c r="L655">
        <v>288</v>
      </c>
      <c r="M655">
        <v>2022</v>
      </c>
      <c r="N655">
        <v>2022</v>
      </c>
      <c r="P655" s="1">
        <v>45429</v>
      </c>
      <c r="Q655" t="s">
        <v>30</v>
      </c>
      <c r="R655" t="s">
        <v>2606</v>
      </c>
      <c r="S655" t="s">
        <v>30</v>
      </c>
      <c r="W655">
        <v>0</v>
      </c>
      <c r="X655">
        <v>0</v>
      </c>
      <c r="Y655" t="s">
        <v>38</v>
      </c>
    </row>
    <row r="656" spans="1:25" x14ac:dyDescent="0.35">
      <c r="A656">
        <v>44317989</v>
      </c>
      <c r="B656" t="s">
        <v>2607</v>
      </c>
      <c r="C656" t="s">
        <v>2608</v>
      </c>
      <c r="D656" t="s">
        <v>2609</v>
      </c>
      <c r="F656" t="str">
        <f>""</f>
        <v/>
      </c>
      <c r="G656" t="str">
        <f>""</f>
        <v/>
      </c>
      <c r="H656">
        <v>0</v>
      </c>
      <c r="I656">
        <v>4.13</v>
      </c>
      <c r="J656" t="s">
        <v>1060</v>
      </c>
      <c r="K656" t="s">
        <v>1642</v>
      </c>
      <c r="L656">
        <v>400</v>
      </c>
      <c r="M656">
        <v>2020</v>
      </c>
      <c r="N656">
        <v>2020</v>
      </c>
      <c r="P656" s="1">
        <v>45429</v>
      </c>
      <c r="Q656" t="s">
        <v>30</v>
      </c>
      <c r="R656" t="s">
        <v>2610</v>
      </c>
      <c r="S656" t="s">
        <v>30</v>
      </c>
      <c r="W656">
        <v>0</v>
      </c>
      <c r="X656">
        <v>0</v>
      </c>
      <c r="Y656" t="s">
        <v>38</v>
      </c>
    </row>
    <row r="657" spans="1:25" x14ac:dyDescent="0.35">
      <c r="A657">
        <v>51493456</v>
      </c>
      <c r="B657" t="s">
        <v>2611</v>
      </c>
      <c r="C657" t="s">
        <v>2612</v>
      </c>
      <c r="D657" t="s">
        <v>2613</v>
      </c>
      <c r="E657" t="s">
        <v>2614</v>
      </c>
      <c r="F657" t="str">
        <f>"1912626217"</f>
        <v>1912626217</v>
      </c>
      <c r="G657" t="str">
        <f>"9781912626212"</f>
        <v>9781912626212</v>
      </c>
      <c r="H657">
        <v>0</v>
      </c>
      <c r="I657">
        <v>3.75</v>
      </c>
      <c r="J657" t="s">
        <v>2615</v>
      </c>
      <c r="K657" t="s">
        <v>29</v>
      </c>
      <c r="L657">
        <v>336</v>
      </c>
      <c r="M657">
        <v>2020</v>
      </c>
      <c r="N657">
        <v>2020</v>
      </c>
      <c r="P657" s="1">
        <v>45429</v>
      </c>
      <c r="Q657" t="s">
        <v>30</v>
      </c>
      <c r="R657" t="s">
        <v>2616</v>
      </c>
      <c r="S657" t="s">
        <v>30</v>
      </c>
      <c r="W657">
        <v>0</v>
      </c>
      <c r="X657">
        <v>0</v>
      </c>
      <c r="Y657" t="s">
        <v>38</v>
      </c>
    </row>
    <row r="658" spans="1:25" x14ac:dyDescent="0.35">
      <c r="A658">
        <v>61357120</v>
      </c>
      <c r="B658" t="s">
        <v>2617</v>
      </c>
      <c r="C658" t="s">
        <v>2618</v>
      </c>
      <c r="D658" t="s">
        <v>2619</v>
      </c>
      <c r="F658" t="str">
        <f>"149646608X"</f>
        <v>149646608X</v>
      </c>
      <c r="G658" t="str">
        <f>"9781496466082"</f>
        <v>9781496466082</v>
      </c>
      <c r="H658">
        <v>4</v>
      </c>
      <c r="I658">
        <v>3.69</v>
      </c>
      <c r="J658" t="s">
        <v>626</v>
      </c>
      <c r="K658" t="s">
        <v>29</v>
      </c>
      <c r="L658">
        <v>373</v>
      </c>
      <c r="M658">
        <v>2023</v>
      </c>
      <c r="N658">
        <v>2023</v>
      </c>
      <c r="O658" s="1">
        <v>45359</v>
      </c>
      <c r="P658" s="1">
        <v>45322</v>
      </c>
      <c r="S658" t="s">
        <v>51</v>
      </c>
      <c r="T658" t="s">
        <v>2620</v>
      </c>
      <c r="W658">
        <v>1</v>
      </c>
      <c r="X658">
        <v>0</v>
      </c>
      <c r="Y658" t="s">
        <v>38</v>
      </c>
    </row>
    <row r="659" spans="1:25" x14ac:dyDescent="0.35">
      <c r="A659">
        <v>55214650</v>
      </c>
      <c r="B659" t="s">
        <v>2621</v>
      </c>
      <c r="C659" t="s">
        <v>2622</v>
      </c>
      <c r="D659" t="s">
        <v>2623</v>
      </c>
      <c r="F659" t="str">
        <f>""</f>
        <v/>
      </c>
      <c r="G659" t="str">
        <f>"9798667976578"</f>
        <v>9798667976578</v>
      </c>
      <c r="H659">
        <v>0</v>
      </c>
      <c r="I659">
        <v>4.17</v>
      </c>
      <c r="K659" t="s">
        <v>85</v>
      </c>
      <c r="L659">
        <v>307</v>
      </c>
      <c r="M659">
        <v>2020</v>
      </c>
      <c r="N659">
        <v>2020</v>
      </c>
      <c r="P659" s="1">
        <v>45428</v>
      </c>
      <c r="Q659" t="s">
        <v>30</v>
      </c>
      <c r="R659" t="s">
        <v>2624</v>
      </c>
      <c r="S659" t="s">
        <v>30</v>
      </c>
      <c r="W659">
        <v>0</v>
      </c>
      <c r="X659">
        <v>0</v>
      </c>
      <c r="Y659" t="s">
        <v>38</v>
      </c>
    </row>
    <row r="660" spans="1:25" x14ac:dyDescent="0.35">
      <c r="A660">
        <v>31131467</v>
      </c>
      <c r="B660" t="s">
        <v>2625</v>
      </c>
      <c r="C660" t="s">
        <v>2626</v>
      </c>
      <c r="D660" t="s">
        <v>2627</v>
      </c>
      <c r="F660" t="str">
        <f>""</f>
        <v/>
      </c>
      <c r="G660" t="str">
        <f>""</f>
        <v/>
      </c>
      <c r="H660">
        <v>0</v>
      </c>
      <c r="I660">
        <v>3.87</v>
      </c>
      <c r="K660" t="s">
        <v>375</v>
      </c>
      <c r="L660">
        <v>418</v>
      </c>
      <c r="M660">
        <v>2016</v>
      </c>
      <c r="N660">
        <v>2016</v>
      </c>
      <c r="P660" s="1">
        <v>45428</v>
      </c>
      <c r="Q660" t="s">
        <v>30</v>
      </c>
      <c r="R660" t="s">
        <v>2628</v>
      </c>
      <c r="S660" t="s">
        <v>30</v>
      </c>
      <c r="W660">
        <v>0</v>
      </c>
      <c r="X660">
        <v>0</v>
      </c>
      <c r="Y660" t="s">
        <v>38</v>
      </c>
    </row>
    <row r="661" spans="1:25" x14ac:dyDescent="0.35">
      <c r="A661">
        <v>177059915</v>
      </c>
      <c r="B661" t="s">
        <v>2629</v>
      </c>
      <c r="C661" t="s">
        <v>2630</v>
      </c>
      <c r="D661" t="s">
        <v>2631</v>
      </c>
      <c r="E661" t="s">
        <v>2632</v>
      </c>
      <c r="F661" t="str">
        <f>"1400247101"</f>
        <v>1400247101</v>
      </c>
      <c r="G661" t="str">
        <f>"9781400247103"</f>
        <v>9781400247103</v>
      </c>
      <c r="H661">
        <v>0</v>
      </c>
      <c r="I661">
        <v>3.74</v>
      </c>
      <c r="J661" t="s">
        <v>2633</v>
      </c>
      <c r="K661" t="s">
        <v>48</v>
      </c>
      <c r="L661">
        <v>272</v>
      </c>
      <c r="M661">
        <v>2023</v>
      </c>
      <c r="P661" s="1">
        <v>45425</v>
      </c>
      <c r="Q661" t="s">
        <v>30</v>
      </c>
      <c r="R661" t="s">
        <v>2634</v>
      </c>
      <c r="S661" t="s">
        <v>30</v>
      </c>
      <c r="W661">
        <v>0</v>
      </c>
      <c r="X661">
        <v>0</v>
      </c>
      <c r="Y661" t="s">
        <v>38</v>
      </c>
    </row>
    <row r="662" spans="1:25" x14ac:dyDescent="0.35">
      <c r="A662">
        <v>136276877</v>
      </c>
      <c r="B662" t="s">
        <v>2635</v>
      </c>
      <c r="C662" t="s">
        <v>2636</v>
      </c>
      <c r="D662" t="s">
        <v>2637</v>
      </c>
      <c r="F662" t="str">
        <f>""</f>
        <v/>
      </c>
      <c r="G662" t="str">
        <f>""</f>
        <v/>
      </c>
      <c r="H662">
        <v>0</v>
      </c>
      <c r="I662">
        <v>3.67</v>
      </c>
      <c r="J662" t="s">
        <v>435</v>
      </c>
      <c r="K662" t="s">
        <v>48</v>
      </c>
      <c r="L662">
        <v>368</v>
      </c>
      <c r="M662">
        <v>2024</v>
      </c>
      <c r="N662">
        <v>2024</v>
      </c>
      <c r="P662" s="1">
        <v>45424</v>
      </c>
      <c r="Q662" t="s">
        <v>30</v>
      </c>
      <c r="R662" t="s">
        <v>2638</v>
      </c>
      <c r="S662" t="s">
        <v>30</v>
      </c>
      <c r="W662">
        <v>0</v>
      </c>
      <c r="X662">
        <v>0</v>
      </c>
      <c r="Y662" t="s">
        <v>38</v>
      </c>
    </row>
    <row r="663" spans="1:25" x14ac:dyDescent="0.35">
      <c r="A663">
        <v>42872963</v>
      </c>
      <c r="B663" t="s">
        <v>2639</v>
      </c>
      <c r="C663" t="s">
        <v>2640</v>
      </c>
      <c r="D663" t="s">
        <v>2641</v>
      </c>
      <c r="F663" t="str">
        <f>"0593084195"</f>
        <v>0593084195</v>
      </c>
      <c r="G663" t="str">
        <f>"9780593084199"</f>
        <v>9780593084199</v>
      </c>
      <c r="H663">
        <v>0</v>
      </c>
      <c r="I663">
        <v>3.78</v>
      </c>
      <c r="J663" t="s">
        <v>2642</v>
      </c>
      <c r="K663" t="s">
        <v>48</v>
      </c>
      <c r="L663">
        <v>256</v>
      </c>
      <c r="M663">
        <v>2019</v>
      </c>
      <c r="N663">
        <v>2019</v>
      </c>
      <c r="P663" s="1">
        <v>45424</v>
      </c>
      <c r="Q663" t="s">
        <v>30</v>
      </c>
      <c r="R663" t="s">
        <v>2643</v>
      </c>
      <c r="S663" t="s">
        <v>30</v>
      </c>
      <c r="W663">
        <v>0</v>
      </c>
      <c r="X663">
        <v>0</v>
      </c>
      <c r="Y663" t="s">
        <v>2644</v>
      </c>
    </row>
    <row r="664" spans="1:25" x14ac:dyDescent="0.35">
      <c r="A664">
        <v>33224061</v>
      </c>
      <c r="B664" t="s">
        <v>2645</v>
      </c>
      <c r="C664" t="s">
        <v>2646</v>
      </c>
      <c r="D664" t="s">
        <v>2647</v>
      </c>
      <c r="F664" t="str">
        <f>""</f>
        <v/>
      </c>
      <c r="G664" t="str">
        <f>""</f>
        <v/>
      </c>
      <c r="H664">
        <v>0</v>
      </c>
      <c r="I664">
        <v>3.96</v>
      </c>
      <c r="J664" t="s">
        <v>2648</v>
      </c>
      <c r="K664" t="s">
        <v>48</v>
      </c>
      <c r="L664">
        <v>374</v>
      </c>
      <c r="M664">
        <v>2019</v>
      </c>
      <c r="N664">
        <v>2019</v>
      </c>
      <c r="P664" s="1">
        <v>45424</v>
      </c>
      <c r="Q664" t="s">
        <v>30</v>
      </c>
      <c r="R664" t="s">
        <v>2649</v>
      </c>
      <c r="S664" t="s">
        <v>30</v>
      </c>
      <c r="W664">
        <v>0</v>
      </c>
      <c r="X664">
        <v>0</v>
      </c>
      <c r="Y664" t="s">
        <v>38</v>
      </c>
    </row>
    <row r="665" spans="1:25" x14ac:dyDescent="0.35">
      <c r="A665">
        <v>56978115</v>
      </c>
      <c r="B665" t="s">
        <v>2650</v>
      </c>
      <c r="C665" t="s">
        <v>2651</v>
      </c>
      <c r="D665" t="s">
        <v>2652</v>
      </c>
      <c r="F665" t="str">
        <f>"1250800552"</f>
        <v>1250800552</v>
      </c>
      <c r="G665" t="str">
        <f>"9781250800558"</f>
        <v>9781250800558</v>
      </c>
      <c r="H665">
        <v>0</v>
      </c>
      <c r="I665">
        <v>4.13</v>
      </c>
      <c r="J665" t="s">
        <v>242</v>
      </c>
      <c r="K665" t="s">
        <v>48</v>
      </c>
      <c r="L665">
        <v>321</v>
      </c>
      <c r="M665">
        <v>2022</v>
      </c>
      <c r="N665">
        <v>2022</v>
      </c>
      <c r="P665" s="1">
        <v>45424</v>
      </c>
      <c r="Q665" t="s">
        <v>30</v>
      </c>
      <c r="R665" t="s">
        <v>2653</v>
      </c>
      <c r="S665" t="s">
        <v>30</v>
      </c>
      <c r="W665">
        <v>0</v>
      </c>
      <c r="X665">
        <v>0</v>
      </c>
      <c r="Y665" t="s">
        <v>38</v>
      </c>
    </row>
    <row r="666" spans="1:25" x14ac:dyDescent="0.35">
      <c r="A666">
        <v>56461570</v>
      </c>
      <c r="B666" t="s">
        <v>2654</v>
      </c>
      <c r="C666" t="s">
        <v>2655</v>
      </c>
      <c r="D666" t="s">
        <v>2656</v>
      </c>
      <c r="F666" t="str">
        <f>"0385547218"</f>
        <v>0385547218</v>
      </c>
      <c r="G666" t="str">
        <f>"9780385547215"</f>
        <v>9780385547215</v>
      </c>
      <c r="H666">
        <v>0</v>
      </c>
      <c r="I666">
        <v>4.17</v>
      </c>
      <c r="J666" t="s">
        <v>637</v>
      </c>
      <c r="K666" t="s">
        <v>48</v>
      </c>
      <c r="L666">
        <v>320</v>
      </c>
      <c r="M666">
        <v>2021</v>
      </c>
      <c r="N666">
        <v>2021</v>
      </c>
      <c r="P666" s="1">
        <v>45424</v>
      </c>
      <c r="Q666" t="s">
        <v>30</v>
      </c>
      <c r="R666" t="s">
        <v>2657</v>
      </c>
      <c r="S666" t="s">
        <v>30</v>
      </c>
      <c r="W666">
        <v>0</v>
      </c>
      <c r="X666">
        <v>0</v>
      </c>
      <c r="Y666" t="s">
        <v>38</v>
      </c>
    </row>
    <row r="667" spans="1:25" x14ac:dyDescent="0.35">
      <c r="A667">
        <v>157979441</v>
      </c>
      <c r="B667" t="s">
        <v>2658</v>
      </c>
      <c r="C667" t="s">
        <v>2659</v>
      </c>
      <c r="D667" t="s">
        <v>2660</v>
      </c>
      <c r="F667" t="str">
        <f>"0593549260"</f>
        <v>0593549260</v>
      </c>
      <c r="G667" t="str">
        <f>"9780593549261"</f>
        <v>9780593549261</v>
      </c>
      <c r="H667">
        <v>0</v>
      </c>
      <c r="I667">
        <v>3.62</v>
      </c>
      <c r="J667" t="s">
        <v>350</v>
      </c>
      <c r="K667" t="s">
        <v>48</v>
      </c>
      <c r="L667">
        <v>384</v>
      </c>
      <c r="M667">
        <v>2024</v>
      </c>
      <c r="N667">
        <v>2024</v>
      </c>
      <c r="P667" s="1">
        <v>45424</v>
      </c>
      <c r="Q667" t="s">
        <v>30</v>
      </c>
      <c r="R667" t="s">
        <v>2661</v>
      </c>
      <c r="S667" t="s">
        <v>30</v>
      </c>
      <c r="W667">
        <v>0</v>
      </c>
      <c r="X667">
        <v>0</v>
      </c>
      <c r="Y667" t="s">
        <v>173</v>
      </c>
    </row>
    <row r="668" spans="1:25" x14ac:dyDescent="0.35">
      <c r="A668">
        <v>58652649</v>
      </c>
      <c r="B668" t="s">
        <v>2662</v>
      </c>
      <c r="C668" t="s">
        <v>2663</v>
      </c>
      <c r="D668" t="s">
        <v>2664</v>
      </c>
      <c r="F668" t="str">
        <f>"0593328337"</f>
        <v>0593328337</v>
      </c>
      <c r="G668" t="str">
        <f>"9780593328330"</f>
        <v>9780593328330</v>
      </c>
      <c r="H668">
        <v>0</v>
      </c>
      <c r="I668">
        <v>3.62</v>
      </c>
      <c r="J668" t="s">
        <v>1060</v>
      </c>
      <c r="K668" t="s">
        <v>48</v>
      </c>
      <c r="L668">
        <v>309</v>
      </c>
      <c r="M668">
        <v>2022</v>
      </c>
      <c r="N668">
        <v>2022</v>
      </c>
      <c r="P668" s="1">
        <v>45424</v>
      </c>
      <c r="Q668" t="s">
        <v>30</v>
      </c>
      <c r="R668" t="s">
        <v>2665</v>
      </c>
      <c r="S668" t="s">
        <v>30</v>
      </c>
      <c r="W668">
        <v>0</v>
      </c>
      <c r="X668">
        <v>0</v>
      </c>
      <c r="Y668" t="s">
        <v>38</v>
      </c>
    </row>
    <row r="669" spans="1:25" x14ac:dyDescent="0.35">
      <c r="A669">
        <v>55004093</v>
      </c>
      <c r="B669" t="s">
        <v>2666</v>
      </c>
      <c r="C669" t="s">
        <v>2667</v>
      </c>
      <c r="D669" t="s">
        <v>2668</v>
      </c>
      <c r="F669" t="str">
        <f>"0062910698"</f>
        <v>0062910698</v>
      </c>
      <c r="G669" t="str">
        <f>"9780062910691"</f>
        <v>9780062910691</v>
      </c>
      <c r="H669">
        <v>0</v>
      </c>
      <c r="I669">
        <v>3.63</v>
      </c>
      <c r="J669" t="s">
        <v>1666</v>
      </c>
      <c r="K669" t="s">
        <v>48</v>
      </c>
      <c r="L669">
        <v>392</v>
      </c>
      <c r="M669">
        <v>2022</v>
      </c>
      <c r="N669">
        <v>2022</v>
      </c>
      <c r="P669" s="1">
        <v>45424</v>
      </c>
      <c r="Q669" t="s">
        <v>30</v>
      </c>
      <c r="R669" t="s">
        <v>2669</v>
      </c>
      <c r="S669" t="s">
        <v>30</v>
      </c>
      <c r="W669">
        <v>0</v>
      </c>
      <c r="X669">
        <v>0</v>
      </c>
      <c r="Y669" t="s">
        <v>38</v>
      </c>
    </row>
    <row r="670" spans="1:25" x14ac:dyDescent="0.35">
      <c r="A670">
        <v>78296909</v>
      </c>
      <c r="B670" t="s">
        <v>2670</v>
      </c>
      <c r="C670" t="s">
        <v>2671</v>
      </c>
      <c r="D670" t="s">
        <v>2672</v>
      </c>
      <c r="F670" t="str">
        <f>"0063031469"</f>
        <v>0063031469</v>
      </c>
      <c r="G670" t="str">
        <f>"9780063031463"</f>
        <v>9780063031463</v>
      </c>
      <c r="H670">
        <v>0</v>
      </c>
      <c r="I670">
        <v>3.76</v>
      </c>
      <c r="J670" t="s">
        <v>1666</v>
      </c>
      <c r="K670" t="s">
        <v>48</v>
      </c>
      <c r="L670">
        <v>288</v>
      </c>
      <c r="M670">
        <v>2023</v>
      </c>
      <c r="N670">
        <v>2023</v>
      </c>
      <c r="P670" s="1">
        <v>45424</v>
      </c>
      <c r="Q670" t="s">
        <v>30</v>
      </c>
      <c r="R670" t="s">
        <v>2673</v>
      </c>
      <c r="S670" t="s">
        <v>30</v>
      </c>
      <c r="W670">
        <v>0</v>
      </c>
      <c r="X670">
        <v>0</v>
      </c>
      <c r="Y670" t="s">
        <v>38</v>
      </c>
    </row>
    <row r="671" spans="1:25" x14ac:dyDescent="0.35">
      <c r="A671">
        <v>198276006</v>
      </c>
      <c r="B671" t="s">
        <v>2674</v>
      </c>
      <c r="C671" t="s">
        <v>2675</v>
      </c>
      <c r="D671" t="s">
        <v>2676</v>
      </c>
      <c r="F671" t="str">
        <f>"0802162932"</f>
        <v>0802162932</v>
      </c>
      <c r="G671" t="str">
        <f>"9780802162939"</f>
        <v>9780802162939</v>
      </c>
      <c r="H671">
        <v>0</v>
      </c>
      <c r="I671">
        <v>4.01</v>
      </c>
      <c r="J671" t="s">
        <v>2522</v>
      </c>
      <c r="K671" t="s">
        <v>48</v>
      </c>
      <c r="L671">
        <v>336</v>
      </c>
      <c r="M671">
        <v>2024</v>
      </c>
      <c r="N671">
        <v>2024</v>
      </c>
      <c r="P671" s="1">
        <v>45424</v>
      </c>
      <c r="Q671" t="s">
        <v>30</v>
      </c>
      <c r="R671" t="s">
        <v>2677</v>
      </c>
      <c r="S671" t="s">
        <v>30</v>
      </c>
      <c r="W671">
        <v>0</v>
      </c>
      <c r="X671">
        <v>0</v>
      </c>
      <c r="Y671" t="s">
        <v>38</v>
      </c>
    </row>
    <row r="672" spans="1:25" x14ac:dyDescent="0.35">
      <c r="A672">
        <v>59608964</v>
      </c>
      <c r="B672" t="s">
        <v>2678</v>
      </c>
      <c r="C672" t="s">
        <v>1405</v>
      </c>
      <c r="D672" t="s">
        <v>1406</v>
      </c>
      <c r="F672" t="str">
        <f>"0785264000"</f>
        <v>0785264000</v>
      </c>
      <c r="G672" t="str">
        <f>"9780785264002"</f>
        <v>9780785264002</v>
      </c>
      <c r="H672">
        <v>0</v>
      </c>
      <c r="I672">
        <v>4.0199999999999996</v>
      </c>
      <c r="J672" t="s">
        <v>1175</v>
      </c>
      <c r="K672" t="s">
        <v>48</v>
      </c>
      <c r="L672">
        <v>453</v>
      </c>
      <c r="M672">
        <v>2022</v>
      </c>
      <c r="N672">
        <v>2022</v>
      </c>
      <c r="P672" s="1">
        <v>45424</v>
      </c>
      <c r="Q672" t="s">
        <v>30</v>
      </c>
      <c r="R672" t="s">
        <v>2679</v>
      </c>
      <c r="S672" t="s">
        <v>30</v>
      </c>
      <c r="W672">
        <v>0</v>
      </c>
      <c r="X672">
        <v>0</v>
      </c>
      <c r="Y672" t="s">
        <v>38</v>
      </c>
    </row>
    <row r="673" spans="1:25" x14ac:dyDescent="0.35">
      <c r="A673">
        <v>6319</v>
      </c>
      <c r="B673" t="s">
        <v>2680</v>
      </c>
      <c r="C673" t="s">
        <v>2681</v>
      </c>
      <c r="D673" t="s">
        <v>2682</v>
      </c>
      <c r="E673" t="s">
        <v>2683</v>
      </c>
      <c r="F673" t="str">
        <f>"0141311371"</f>
        <v>0141311371</v>
      </c>
      <c r="G673" t="str">
        <f>"9780141311371"</f>
        <v>9780141311371</v>
      </c>
      <c r="H673">
        <v>0</v>
      </c>
      <c r="I673">
        <v>4.2300000000000004</v>
      </c>
      <c r="J673" t="s">
        <v>69</v>
      </c>
      <c r="K673" t="s">
        <v>29</v>
      </c>
      <c r="L673">
        <v>199</v>
      </c>
      <c r="M673">
        <v>2001</v>
      </c>
      <c r="N673">
        <v>1982</v>
      </c>
      <c r="P673" s="1">
        <v>45424</v>
      </c>
      <c r="S673" t="s">
        <v>51</v>
      </c>
      <c r="W673">
        <v>1</v>
      </c>
      <c r="X673">
        <v>0</v>
      </c>
      <c r="Y673" t="s">
        <v>38</v>
      </c>
    </row>
    <row r="674" spans="1:25" x14ac:dyDescent="0.35">
      <c r="A674">
        <v>191139</v>
      </c>
      <c r="B674" t="s">
        <v>2684</v>
      </c>
      <c r="C674" t="s">
        <v>2685</v>
      </c>
      <c r="D674" t="s">
        <v>2686</v>
      </c>
      <c r="F674" t="str">
        <f>"0679805273"</f>
        <v>0679805273</v>
      </c>
      <c r="G674" t="str">
        <f>"9780679805274"</f>
        <v>9780679805274</v>
      </c>
      <c r="H674">
        <v>0</v>
      </c>
      <c r="I674">
        <v>4.37</v>
      </c>
      <c r="J674" t="s">
        <v>2687</v>
      </c>
      <c r="K674" t="s">
        <v>48</v>
      </c>
      <c r="L674">
        <v>44</v>
      </c>
      <c r="M674">
        <v>1990</v>
      </c>
      <c r="N674">
        <v>1990</v>
      </c>
      <c r="P674" s="1">
        <v>45424</v>
      </c>
      <c r="S674" t="s">
        <v>51</v>
      </c>
      <c r="W674">
        <v>1</v>
      </c>
      <c r="X674">
        <v>0</v>
      </c>
      <c r="Y674" t="s">
        <v>38</v>
      </c>
    </row>
    <row r="675" spans="1:25" x14ac:dyDescent="0.35">
      <c r="A675">
        <v>537296</v>
      </c>
      <c r="B675" t="s">
        <v>2688</v>
      </c>
      <c r="C675" t="s">
        <v>2689</v>
      </c>
      <c r="D675" t="s">
        <v>2690</v>
      </c>
      <c r="F675" t="str">
        <f>""</f>
        <v/>
      </c>
      <c r="G675" t="str">
        <f>""</f>
        <v/>
      </c>
      <c r="H675">
        <v>0</v>
      </c>
      <c r="I675">
        <v>4.25</v>
      </c>
      <c r="J675" t="s">
        <v>292</v>
      </c>
      <c r="K675" t="s">
        <v>29</v>
      </c>
      <c r="L675">
        <v>64</v>
      </c>
      <c r="M675">
        <v>2003</v>
      </c>
      <c r="N675">
        <v>1970</v>
      </c>
      <c r="P675" s="1">
        <v>45400</v>
      </c>
      <c r="S675" t="s">
        <v>51</v>
      </c>
      <c r="W675">
        <v>1</v>
      </c>
      <c r="X675">
        <v>0</v>
      </c>
      <c r="Y675" t="s">
        <v>38</v>
      </c>
    </row>
    <row r="676" spans="1:25" x14ac:dyDescent="0.35">
      <c r="A676">
        <v>293595</v>
      </c>
      <c r="B676" t="s">
        <v>2691</v>
      </c>
      <c r="C676" t="s">
        <v>2692</v>
      </c>
      <c r="D676" t="s">
        <v>2693</v>
      </c>
      <c r="E676" t="s">
        <v>2694</v>
      </c>
      <c r="F676" t="str">
        <f>"068983568X"</f>
        <v>068983568X</v>
      </c>
      <c r="G676" t="str">
        <f>"9780689835681"</f>
        <v>9780689835681</v>
      </c>
      <c r="H676">
        <v>0</v>
      </c>
      <c r="I676">
        <v>4.26</v>
      </c>
      <c r="J676" t="s">
        <v>2695</v>
      </c>
      <c r="K676" t="s">
        <v>29</v>
      </c>
      <c r="L676">
        <v>32</v>
      </c>
      <c r="M676">
        <v>2000</v>
      </c>
      <c r="N676">
        <v>1989</v>
      </c>
      <c r="P676" s="1">
        <v>45424</v>
      </c>
      <c r="S676" t="s">
        <v>51</v>
      </c>
      <c r="W676">
        <v>1</v>
      </c>
      <c r="X676">
        <v>0</v>
      </c>
      <c r="Y676" t="s">
        <v>38</v>
      </c>
    </row>
    <row r="677" spans="1:25" x14ac:dyDescent="0.35">
      <c r="A677">
        <v>310259</v>
      </c>
      <c r="B677" t="s">
        <v>2696</v>
      </c>
      <c r="C677" t="s">
        <v>2697</v>
      </c>
      <c r="D677" t="s">
        <v>2698</v>
      </c>
      <c r="E677" t="s">
        <v>2699</v>
      </c>
      <c r="F677" t="str">
        <f>"0920668372"</f>
        <v>0920668372</v>
      </c>
      <c r="G677" t="str">
        <f>"9780920668375"</f>
        <v>9780920668375</v>
      </c>
      <c r="H677">
        <v>0</v>
      </c>
      <c r="I677">
        <v>4.38</v>
      </c>
      <c r="J677" t="s">
        <v>2700</v>
      </c>
      <c r="K677" t="s">
        <v>29</v>
      </c>
      <c r="L677">
        <v>32</v>
      </c>
      <c r="M677">
        <v>1995</v>
      </c>
      <c r="N677">
        <v>1986</v>
      </c>
      <c r="P677" s="1">
        <v>45424</v>
      </c>
      <c r="S677" t="s">
        <v>51</v>
      </c>
      <c r="W677">
        <v>1</v>
      </c>
      <c r="X677">
        <v>0</v>
      </c>
      <c r="Y677" t="s">
        <v>38</v>
      </c>
    </row>
    <row r="678" spans="1:25" x14ac:dyDescent="0.35">
      <c r="A678">
        <v>24178</v>
      </c>
      <c r="B678" t="s">
        <v>2701</v>
      </c>
      <c r="C678" t="s">
        <v>2702</v>
      </c>
      <c r="D678" t="s">
        <v>2703</v>
      </c>
      <c r="E678" t="s">
        <v>2704</v>
      </c>
      <c r="F678" t="str">
        <f>"0064410935"</f>
        <v>0064410935</v>
      </c>
      <c r="G678" t="str">
        <f>"9780064410939"</f>
        <v>9780064410939</v>
      </c>
      <c r="H678">
        <v>0</v>
      </c>
      <c r="I678">
        <v>4.2</v>
      </c>
      <c r="J678" t="s">
        <v>2705</v>
      </c>
      <c r="K678" t="s">
        <v>29</v>
      </c>
      <c r="L678">
        <v>184</v>
      </c>
      <c r="M678">
        <v>2001</v>
      </c>
      <c r="N678">
        <v>1952</v>
      </c>
      <c r="P678" s="1">
        <v>45424</v>
      </c>
      <c r="S678" t="s">
        <v>51</v>
      </c>
      <c r="W678">
        <v>1</v>
      </c>
      <c r="X678">
        <v>0</v>
      </c>
      <c r="Y678" t="s">
        <v>38</v>
      </c>
    </row>
    <row r="679" spans="1:25" x14ac:dyDescent="0.35">
      <c r="A679">
        <v>23772</v>
      </c>
      <c r="B679" t="s">
        <v>2706</v>
      </c>
      <c r="C679" t="s">
        <v>2685</v>
      </c>
      <c r="D679" t="s">
        <v>2686</v>
      </c>
      <c r="F679" t="str">
        <f>"0394800168"</f>
        <v>0394800168</v>
      </c>
      <c r="G679" t="str">
        <f>"9780394800165"</f>
        <v>9780394800165</v>
      </c>
      <c r="H679">
        <v>0</v>
      </c>
      <c r="I679">
        <v>4.3099999999999996</v>
      </c>
      <c r="J679" t="s">
        <v>2687</v>
      </c>
      <c r="K679" t="s">
        <v>48</v>
      </c>
      <c r="L679">
        <v>64</v>
      </c>
      <c r="M679">
        <v>1988</v>
      </c>
      <c r="N679">
        <v>1960</v>
      </c>
      <c r="P679" s="1">
        <v>45424</v>
      </c>
      <c r="S679" t="s">
        <v>51</v>
      </c>
      <c r="W679">
        <v>1</v>
      </c>
      <c r="X679">
        <v>0</v>
      </c>
      <c r="Y679" t="s">
        <v>38</v>
      </c>
    </row>
    <row r="680" spans="1:25" x14ac:dyDescent="0.35">
      <c r="A680">
        <v>4948</v>
      </c>
      <c r="B680" t="s">
        <v>2707</v>
      </c>
      <c r="C680" t="s">
        <v>2708</v>
      </c>
      <c r="D680" t="s">
        <v>2709</v>
      </c>
      <c r="F680" t="str">
        <f>"0241003008"</f>
        <v>0241003008</v>
      </c>
      <c r="G680" t="str">
        <f>"9780241003008"</f>
        <v>9780241003008</v>
      </c>
      <c r="H680">
        <v>0</v>
      </c>
      <c r="I680">
        <v>4.34</v>
      </c>
      <c r="J680" t="s">
        <v>69</v>
      </c>
      <c r="K680" t="s">
        <v>2710</v>
      </c>
      <c r="L680">
        <v>26</v>
      </c>
      <c r="M680">
        <v>1994</v>
      </c>
      <c r="N680">
        <v>1969</v>
      </c>
      <c r="P680" s="1">
        <v>45424</v>
      </c>
      <c r="S680" t="s">
        <v>51</v>
      </c>
      <c r="W680">
        <v>1</v>
      </c>
      <c r="X680">
        <v>0</v>
      </c>
      <c r="Y680" t="s">
        <v>38</v>
      </c>
    </row>
    <row r="681" spans="1:25" x14ac:dyDescent="0.35">
      <c r="A681">
        <v>19543</v>
      </c>
      <c r="B681" t="s">
        <v>2711</v>
      </c>
      <c r="C681" t="s">
        <v>2712</v>
      </c>
      <c r="D681" t="s">
        <v>2713</v>
      </c>
      <c r="F681" t="str">
        <f>"0099408392"</f>
        <v>0099408392</v>
      </c>
      <c r="G681" t="str">
        <f>"9780099408390"</f>
        <v>9780099408390</v>
      </c>
      <c r="H681">
        <v>5</v>
      </c>
      <c r="I681">
        <v>4.25</v>
      </c>
      <c r="J681" t="s">
        <v>2714</v>
      </c>
      <c r="K681" t="s">
        <v>29</v>
      </c>
      <c r="L681">
        <v>38</v>
      </c>
      <c r="M681">
        <v>2000</v>
      </c>
      <c r="N681">
        <v>1963</v>
      </c>
      <c r="P681" s="1">
        <v>45415</v>
      </c>
      <c r="S681" t="s">
        <v>51</v>
      </c>
      <c r="W681">
        <v>1</v>
      </c>
      <c r="X681">
        <v>0</v>
      </c>
      <c r="Y681" t="s">
        <v>38</v>
      </c>
    </row>
    <row r="682" spans="1:25" x14ac:dyDescent="0.35">
      <c r="A682">
        <v>228258</v>
      </c>
      <c r="B682" t="s">
        <v>2715</v>
      </c>
      <c r="C682" t="s">
        <v>225</v>
      </c>
      <c r="D682" t="s">
        <v>226</v>
      </c>
      <c r="E682" t="s">
        <v>54</v>
      </c>
      <c r="F682" t="str">
        <f>"0842329218"</f>
        <v>0842329218</v>
      </c>
      <c r="G682" t="str">
        <f>"9780842329217"</f>
        <v>9780842329217</v>
      </c>
      <c r="H682">
        <v>5</v>
      </c>
      <c r="I682">
        <v>3.98</v>
      </c>
      <c r="J682" t="s">
        <v>227</v>
      </c>
      <c r="K682" t="s">
        <v>29</v>
      </c>
      <c r="L682">
        <v>452</v>
      </c>
      <c r="M682">
        <v>1996</v>
      </c>
      <c r="N682">
        <v>1996</v>
      </c>
      <c r="P682" s="1">
        <v>45368</v>
      </c>
      <c r="S682" t="s">
        <v>51</v>
      </c>
      <c r="W682">
        <v>1</v>
      </c>
      <c r="X682">
        <v>0</v>
      </c>
      <c r="Y682" t="s">
        <v>38</v>
      </c>
    </row>
    <row r="683" spans="1:25" x14ac:dyDescent="0.35">
      <c r="A683">
        <v>491757</v>
      </c>
      <c r="B683" t="s">
        <v>2716</v>
      </c>
      <c r="C683" t="s">
        <v>2717</v>
      </c>
      <c r="D683" t="s">
        <v>2718</v>
      </c>
      <c r="F683" t="str">
        <f>"1572930985"</f>
        <v>1572930985</v>
      </c>
      <c r="G683" t="str">
        <f>"9781572930988"</f>
        <v>9781572930988</v>
      </c>
      <c r="H683">
        <v>5</v>
      </c>
      <c r="I683">
        <v>3.75</v>
      </c>
      <c r="J683" t="s">
        <v>2719</v>
      </c>
      <c r="K683" t="s">
        <v>29</v>
      </c>
      <c r="L683">
        <v>240</v>
      </c>
      <c r="M683">
        <v>2002</v>
      </c>
      <c r="N683">
        <v>2002</v>
      </c>
      <c r="O683" s="1">
        <v>45333</v>
      </c>
      <c r="P683" s="1">
        <v>45325</v>
      </c>
      <c r="S683" t="s">
        <v>51</v>
      </c>
      <c r="T683" t="s">
        <v>2720</v>
      </c>
      <c r="W683">
        <v>1</v>
      </c>
      <c r="X683">
        <v>0</v>
      </c>
      <c r="Y683" t="s">
        <v>122</v>
      </c>
    </row>
    <row r="684" spans="1:25" x14ac:dyDescent="0.35">
      <c r="A684">
        <v>8565236</v>
      </c>
      <c r="B684" t="s">
        <v>2721</v>
      </c>
      <c r="C684" t="s">
        <v>2722</v>
      </c>
      <c r="D684" t="s">
        <v>2723</v>
      </c>
      <c r="E684" t="s">
        <v>2724</v>
      </c>
      <c r="F684" t="str">
        <f>"1616261161"</f>
        <v>1616261161</v>
      </c>
      <c r="G684" t="str">
        <f>"9781616261160"</f>
        <v>9781616261160</v>
      </c>
      <c r="H684">
        <v>4</v>
      </c>
      <c r="I684">
        <v>3.81</v>
      </c>
      <c r="J684" t="s">
        <v>2725</v>
      </c>
      <c r="K684" t="s">
        <v>29</v>
      </c>
      <c r="L684">
        <v>352</v>
      </c>
      <c r="M684">
        <v>2011</v>
      </c>
      <c r="N684">
        <v>2011</v>
      </c>
      <c r="O684" s="1">
        <v>45358</v>
      </c>
      <c r="P684" s="1">
        <v>45348</v>
      </c>
      <c r="S684" t="s">
        <v>51</v>
      </c>
      <c r="T684" t="s">
        <v>2726</v>
      </c>
      <c r="W684">
        <v>1</v>
      </c>
      <c r="X684">
        <v>0</v>
      </c>
      <c r="Y684" t="s">
        <v>38</v>
      </c>
    </row>
    <row r="685" spans="1:25" x14ac:dyDescent="0.35">
      <c r="A685">
        <v>56329249</v>
      </c>
      <c r="B685" t="s">
        <v>2727</v>
      </c>
      <c r="C685" t="s">
        <v>2485</v>
      </c>
      <c r="D685" t="s">
        <v>2486</v>
      </c>
      <c r="F685" t="str">
        <f>""</f>
        <v/>
      </c>
      <c r="G685" t="str">
        <f>""</f>
        <v/>
      </c>
      <c r="H685">
        <v>4</v>
      </c>
      <c r="I685">
        <v>4.16</v>
      </c>
      <c r="K685" t="s">
        <v>85</v>
      </c>
      <c r="L685">
        <v>247</v>
      </c>
      <c r="M685">
        <v>2021</v>
      </c>
      <c r="N685">
        <v>2021</v>
      </c>
      <c r="O685" s="1">
        <v>45323</v>
      </c>
      <c r="P685" s="1">
        <v>45319</v>
      </c>
      <c r="S685" t="s">
        <v>51</v>
      </c>
      <c r="T685" t="s">
        <v>2728</v>
      </c>
      <c r="W685">
        <v>1</v>
      </c>
      <c r="X685">
        <v>0</v>
      </c>
      <c r="Y685" t="s">
        <v>203</v>
      </c>
    </row>
    <row r="686" spans="1:25" x14ac:dyDescent="0.35">
      <c r="A686">
        <v>40874325</v>
      </c>
      <c r="B686" t="s">
        <v>2729</v>
      </c>
      <c r="C686" t="s">
        <v>2730</v>
      </c>
      <c r="D686" t="s">
        <v>2731</v>
      </c>
      <c r="F686" t="str">
        <f>""</f>
        <v/>
      </c>
      <c r="G686" t="str">
        <f>""</f>
        <v/>
      </c>
      <c r="H686">
        <v>5</v>
      </c>
      <c r="I686">
        <v>3.83</v>
      </c>
      <c r="J686" t="s">
        <v>2732</v>
      </c>
      <c r="K686" t="s">
        <v>85</v>
      </c>
      <c r="L686">
        <v>294</v>
      </c>
      <c r="M686">
        <v>2008</v>
      </c>
      <c r="N686">
        <v>2007</v>
      </c>
      <c r="O686" s="1">
        <v>45318</v>
      </c>
      <c r="P686" s="1">
        <v>45318</v>
      </c>
      <c r="S686" t="s">
        <v>51</v>
      </c>
      <c r="T686" t="s">
        <v>2733</v>
      </c>
      <c r="W686">
        <v>1</v>
      </c>
      <c r="X686">
        <v>0</v>
      </c>
      <c r="Y686" t="s">
        <v>38</v>
      </c>
    </row>
    <row r="687" spans="1:25" x14ac:dyDescent="0.35">
      <c r="A687">
        <v>2159225</v>
      </c>
      <c r="B687" t="s">
        <v>2734</v>
      </c>
      <c r="C687" t="s">
        <v>285</v>
      </c>
      <c r="D687" t="s">
        <v>286</v>
      </c>
      <c r="E687" t="s">
        <v>2735</v>
      </c>
      <c r="F687" t="str">
        <f>"0316057800"</f>
        <v>0316057800</v>
      </c>
      <c r="G687" t="str">
        <f>"9780316057806"</f>
        <v>9780316057806</v>
      </c>
      <c r="H687">
        <v>4</v>
      </c>
      <c r="I687">
        <v>4.21</v>
      </c>
      <c r="J687" t="s">
        <v>522</v>
      </c>
      <c r="K687" t="s">
        <v>48</v>
      </c>
      <c r="L687">
        <v>440</v>
      </c>
      <c r="M687">
        <v>2008</v>
      </c>
      <c r="N687">
        <v>2008</v>
      </c>
      <c r="O687" s="1">
        <v>45410</v>
      </c>
      <c r="P687" s="1">
        <v>45406</v>
      </c>
      <c r="S687" t="s">
        <v>51</v>
      </c>
      <c r="T687" t="s">
        <v>2736</v>
      </c>
      <c r="U687" t="b">
        <v>1</v>
      </c>
      <c r="W687">
        <v>1</v>
      </c>
      <c r="X687">
        <v>0</v>
      </c>
      <c r="Y687" t="s">
        <v>38</v>
      </c>
    </row>
    <row r="688" spans="1:25" x14ac:dyDescent="0.35">
      <c r="A688">
        <v>54287594</v>
      </c>
      <c r="B688" t="s">
        <v>2737</v>
      </c>
      <c r="C688" t="s">
        <v>2738</v>
      </c>
      <c r="D688" t="s">
        <v>2739</v>
      </c>
      <c r="F688" t="str">
        <f>"0310109086"</f>
        <v>0310109086</v>
      </c>
      <c r="G688" t="str">
        <f>"9780310109082"</f>
        <v>9780310109082</v>
      </c>
      <c r="H688">
        <v>5</v>
      </c>
      <c r="I688">
        <v>4.53</v>
      </c>
      <c r="J688" t="s">
        <v>2740</v>
      </c>
      <c r="K688" t="s">
        <v>29</v>
      </c>
      <c r="L688">
        <v>224</v>
      </c>
      <c r="M688">
        <v>2021</v>
      </c>
      <c r="N688">
        <v>2021</v>
      </c>
      <c r="O688" s="1">
        <v>45297</v>
      </c>
      <c r="P688" s="1">
        <v>45316</v>
      </c>
      <c r="S688" t="s">
        <v>51</v>
      </c>
      <c r="W688">
        <v>1</v>
      </c>
      <c r="X688">
        <v>0</v>
      </c>
      <c r="Y688" t="s">
        <v>122</v>
      </c>
    </row>
    <row r="689" spans="1:25" x14ac:dyDescent="0.35">
      <c r="A689">
        <v>15826004</v>
      </c>
      <c r="B689" t="s">
        <v>2741</v>
      </c>
      <c r="C689" t="s">
        <v>247</v>
      </c>
      <c r="D689" t="s">
        <v>248</v>
      </c>
      <c r="E689" t="s">
        <v>2742</v>
      </c>
      <c r="F689" t="str">
        <f>"1476716692"</f>
        <v>1476716692</v>
      </c>
      <c r="G689" t="str">
        <f>"9781476716695"</f>
        <v>9781476716695</v>
      </c>
      <c r="H689">
        <v>4</v>
      </c>
      <c r="I689">
        <v>3.85</v>
      </c>
      <c r="J689" t="s">
        <v>249</v>
      </c>
      <c r="K689" t="s">
        <v>48</v>
      </c>
      <c r="L689">
        <v>304</v>
      </c>
      <c r="M689">
        <v>2012</v>
      </c>
      <c r="N689">
        <v>2012</v>
      </c>
      <c r="O689" s="1">
        <v>45335</v>
      </c>
      <c r="P689" s="1">
        <v>45333</v>
      </c>
      <c r="S689" t="s">
        <v>51</v>
      </c>
      <c r="T689" t="s">
        <v>2743</v>
      </c>
      <c r="W689">
        <v>1</v>
      </c>
      <c r="X689">
        <v>0</v>
      </c>
      <c r="Y689" t="s">
        <v>38</v>
      </c>
    </row>
    <row r="690" spans="1:25" x14ac:dyDescent="0.35">
      <c r="A690">
        <v>61219118</v>
      </c>
      <c r="B690" t="s">
        <v>2744</v>
      </c>
      <c r="C690" t="s">
        <v>2745</v>
      </c>
      <c r="D690" t="s">
        <v>2746</v>
      </c>
      <c r="F690" t="str">
        <f>""</f>
        <v/>
      </c>
      <c r="G690" t="str">
        <f>""</f>
        <v/>
      </c>
      <c r="H690">
        <v>0</v>
      </c>
      <c r="I690">
        <v>3.85</v>
      </c>
      <c r="J690" t="s">
        <v>2747</v>
      </c>
      <c r="K690" t="s">
        <v>48</v>
      </c>
      <c r="L690">
        <v>400</v>
      </c>
      <c r="M690">
        <v>2024</v>
      </c>
      <c r="N690">
        <v>2024</v>
      </c>
      <c r="P690" s="1">
        <v>45422</v>
      </c>
      <c r="Q690" t="s">
        <v>30</v>
      </c>
      <c r="R690" t="s">
        <v>2748</v>
      </c>
      <c r="S690" t="s">
        <v>30</v>
      </c>
      <c r="W690">
        <v>0</v>
      </c>
      <c r="X690">
        <v>0</v>
      </c>
      <c r="Y690" t="s">
        <v>38</v>
      </c>
    </row>
    <row r="691" spans="1:25" x14ac:dyDescent="0.35">
      <c r="A691">
        <v>44244323</v>
      </c>
      <c r="B691" t="s">
        <v>2749</v>
      </c>
      <c r="C691" t="s">
        <v>2162</v>
      </c>
      <c r="D691" t="s">
        <v>2163</v>
      </c>
      <c r="F691" t="str">
        <f>"1526610078"</f>
        <v>1526610078</v>
      </c>
      <c r="G691" t="str">
        <f>"9781526610072"</f>
        <v>9781526610072</v>
      </c>
      <c r="H691">
        <v>0</v>
      </c>
      <c r="I691">
        <v>4.1100000000000003</v>
      </c>
      <c r="J691" t="s">
        <v>2750</v>
      </c>
      <c r="K691" t="s">
        <v>48</v>
      </c>
      <c r="L691">
        <v>76</v>
      </c>
      <c r="M691">
        <v>2019</v>
      </c>
      <c r="N691">
        <v>2019</v>
      </c>
      <c r="P691" s="1">
        <v>45422</v>
      </c>
      <c r="Q691" t="s">
        <v>30</v>
      </c>
      <c r="R691" t="s">
        <v>2751</v>
      </c>
      <c r="S691" t="s">
        <v>30</v>
      </c>
      <c r="W691">
        <v>0</v>
      </c>
      <c r="X691">
        <v>0</v>
      </c>
      <c r="Y691" t="s">
        <v>504</v>
      </c>
    </row>
    <row r="692" spans="1:25" x14ac:dyDescent="0.35">
      <c r="A692">
        <v>43822081</v>
      </c>
      <c r="B692" t="s">
        <v>2752</v>
      </c>
      <c r="C692" t="s">
        <v>2162</v>
      </c>
      <c r="D692" t="s">
        <v>2163</v>
      </c>
      <c r="F692" t="str">
        <f>"148141948X"</f>
        <v>148141948X</v>
      </c>
      <c r="G692" t="str">
        <f>"9781481419482"</f>
        <v>9781481419482</v>
      </c>
      <c r="H692">
        <v>0</v>
      </c>
      <c r="I692">
        <v>4.09</v>
      </c>
      <c r="J692" t="s">
        <v>2164</v>
      </c>
      <c r="K692" t="s">
        <v>48</v>
      </c>
      <c r="L692">
        <v>272</v>
      </c>
      <c r="M692">
        <v>2019</v>
      </c>
      <c r="N692">
        <v>2019</v>
      </c>
      <c r="P692" s="1">
        <v>45422</v>
      </c>
      <c r="Q692" t="s">
        <v>30</v>
      </c>
      <c r="R692" t="s">
        <v>2753</v>
      </c>
      <c r="S692" t="s">
        <v>30</v>
      </c>
      <c r="W692">
        <v>0</v>
      </c>
      <c r="X692">
        <v>0</v>
      </c>
      <c r="Y692" t="s">
        <v>38</v>
      </c>
    </row>
    <row r="693" spans="1:25" x14ac:dyDescent="0.35">
      <c r="A693">
        <v>134979103</v>
      </c>
      <c r="B693" t="s">
        <v>2754</v>
      </c>
      <c r="C693" t="s">
        <v>2162</v>
      </c>
      <c r="D693" t="s">
        <v>2163</v>
      </c>
      <c r="F693" t="str">
        <f>"1408897415"</f>
        <v>1408897415</v>
      </c>
      <c r="G693" t="str">
        <f>"9781408897416"</f>
        <v>9781408897416</v>
      </c>
      <c r="H693">
        <v>0</v>
      </c>
      <c r="I693">
        <v>4.1500000000000004</v>
      </c>
      <c r="J693" t="s">
        <v>1317</v>
      </c>
      <c r="K693" t="s">
        <v>48</v>
      </c>
      <c r="L693">
        <v>368</v>
      </c>
      <c r="M693">
        <v>2023</v>
      </c>
      <c r="N693">
        <v>2023</v>
      </c>
      <c r="P693" s="1">
        <v>45422</v>
      </c>
      <c r="Q693" t="s">
        <v>30</v>
      </c>
      <c r="R693" t="s">
        <v>2755</v>
      </c>
      <c r="S693" t="s">
        <v>30</v>
      </c>
      <c r="W693">
        <v>0</v>
      </c>
      <c r="X693">
        <v>0</v>
      </c>
      <c r="Y693" t="s">
        <v>38</v>
      </c>
    </row>
    <row r="694" spans="1:25" x14ac:dyDescent="0.35">
      <c r="A694">
        <v>34228372</v>
      </c>
      <c r="B694" t="s">
        <v>2756</v>
      </c>
      <c r="C694" t="s">
        <v>2162</v>
      </c>
      <c r="D694" t="s">
        <v>2163</v>
      </c>
      <c r="F694" t="str">
        <f>"1481419455"</f>
        <v>1481419455</v>
      </c>
      <c r="G694" t="str">
        <f>"9781481419451"</f>
        <v>9781481419451</v>
      </c>
      <c r="H694">
        <v>0</v>
      </c>
      <c r="I694">
        <v>4.17</v>
      </c>
      <c r="J694" t="s">
        <v>2164</v>
      </c>
      <c r="K694" t="s">
        <v>48</v>
      </c>
      <c r="L694">
        <v>336</v>
      </c>
      <c r="M694">
        <v>2017</v>
      </c>
      <c r="N694">
        <v>2017</v>
      </c>
      <c r="P694" s="1">
        <v>45422</v>
      </c>
      <c r="Q694" t="s">
        <v>30</v>
      </c>
      <c r="R694" t="s">
        <v>2757</v>
      </c>
      <c r="S694" t="s">
        <v>30</v>
      </c>
      <c r="W694">
        <v>0</v>
      </c>
      <c r="X694">
        <v>0</v>
      </c>
      <c r="Y694" t="s">
        <v>38</v>
      </c>
    </row>
    <row r="695" spans="1:25" x14ac:dyDescent="0.35">
      <c r="A695">
        <v>24689357</v>
      </c>
      <c r="B695" t="s">
        <v>2758</v>
      </c>
      <c r="C695" t="s">
        <v>2759</v>
      </c>
      <c r="D695" t="s">
        <v>2760</v>
      </c>
      <c r="F695" t="str">
        <f>""</f>
        <v/>
      </c>
      <c r="G695" t="str">
        <f>""</f>
        <v/>
      </c>
      <c r="H695">
        <v>0</v>
      </c>
      <c r="I695">
        <v>4.1399999999999997</v>
      </c>
      <c r="J695" t="s">
        <v>1175</v>
      </c>
      <c r="K695" t="s">
        <v>375</v>
      </c>
      <c r="L695">
        <v>379</v>
      </c>
      <c r="M695">
        <v>2015</v>
      </c>
      <c r="N695">
        <v>2007</v>
      </c>
      <c r="P695" s="1">
        <v>45422</v>
      </c>
      <c r="Q695" t="s">
        <v>30</v>
      </c>
      <c r="R695" t="s">
        <v>2761</v>
      </c>
      <c r="S695" t="s">
        <v>30</v>
      </c>
      <c r="W695">
        <v>0</v>
      </c>
      <c r="X695">
        <v>0</v>
      </c>
      <c r="Y695" t="s">
        <v>38</v>
      </c>
    </row>
    <row r="696" spans="1:25" x14ac:dyDescent="0.35">
      <c r="A696">
        <v>199798905</v>
      </c>
      <c r="B696" t="s">
        <v>2762</v>
      </c>
      <c r="C696" t="s">
        <v>2581</v>
      </c>
      <c r="D696" t="s">
        <v>2582</v>
      </c>
      <c r="F696" t="str">
        <f>"166800898X"</f>
        <v>166800898X</v>
      </c>
      <c r="G696" t="str">
        <f>"9781668008980"</f>
        <v>9781668008980</v>
      </c>
      <c r="H696">
        <v>0</v>
      </c>
      <c r="I696">
        <v>4</v>
      </c>
      <c r="J696" t="s">
        <v>798</v>
      </c>
      <c r="K696" t="s">
        <v>48</v>
      </c>
      <c r="L696">
        <v>318</v>
      </c>
      <c r="M696">
        <v>2024</v>
      </c>
      <c r="N696">
        <v>2024</v>
      </c>
      <c r="P696" s="1">
        <v>45421</v>
      </c>
      <c r="Q696" t="s">
        <v>30</v>
      </c>
      <c r="R696" t="s">
        <v>2763</v>
      </c>
      <c r="S696" t="s">
        <v>30</v>
      </c>
      <c r="W696">
        <v>0</v>
      </c>
      <c r="X696">
        <v>0</v>
      </c>
      <c r="Y696" t="s">
        <v>38</v>
      </c>
    </row>
    <row r="697" spans="1:25" x14ac:dyDescent="0.35">
      <c r="A697">
        <v>22747928</v>
      </c>
      <c r="B697" t="s">
        <v>2764</v>
      </c>
      <c r="C697" t="s">
        <v>2765</v>
      </c>
      <c r="D697" t="s">
        <v>2766</v>
      </c>
      <c r="F697" t="str">
        <f>"080414138X"</f>
        <v>080414138X</v>
      </c>
      <c r="G697" t="str">
        <f>"9780804141383"</f>
        <v>9780804141383</v>
      </c>
      <c r="H697">
        <v>0</v>
      </c>
      <c r="I697">
        <v>4.03</v>
      </c>
      <c r="J697" t="s">
        <v>2767</v>
      </c>
      <c r="K697" t="s">
        <v>48</v>
      </c>
      <c r="L697">
        <v>240</v>
      </c>
      <c r="M697">
        <v>2015</v>
      </c>
      <c r="P697" s="1">
        <v>45421</v>
      </c>
      <c r="Q697" t="s">
        <v>30</v>
      </c>
      <c r="R697" t="s">
        <v>2768</v>
      </c>
      <c r="S697" t="s">
        <v>30</v>
      </c>
      <c r="W697">
        <v>0</v>
      </c>
      <c r="X697">
        <v>0</v>
      </c>
      <c r="Y697" t="s">
        <v>38</v>
      </c>
    </row>
    <row r="698" spans="1:25" x14ac:dyDescent="0.35">
      <c r="A698">
        <v>182484307</v>
      </c>
      <c r="B698" t="s">
        <v>2769</v>
      </c>
      <c r="C698" t="s">
        <v>2770</v>
      </c>
      <c r="D698" t="s">
        <v>2771</v>
      </c>
      <c r="F698" t="str">
        <f>"0593470095"</f>
        <v>0593470095</v>
      </c>
      <c r="G698" t="str">
        <f>"9780593470091"</f>
        <v>9780593470091</v>
      </c>
      <c r="H698">
        <v>0</v>
      </c>
      <c r="I698">
        <v>3.82</v>
      </c>
      <c r="J698" t="s">
        <v>637</v>
      </c>
      <c r="K698" t="s">
        <v>48</v>
      </c>
      <c r="L698">
        <v>362</v>
      </c>
      <c r="M698">
        <v>2024</v>
      </c>
      <c r="N698">
        <v>2024</v>
      </c>
      <c r="P698" s="1">
        <v>45418</v>
      </c>
      <c r="Q698" t="s">
        <v>30</v>
      </c>
      <c r="R698" t="s">
        <v>2772</v>
      </c>
      <c r="S698" t="s">
        <v>30</v>
      </c>
      <c r="W698">
        <v>0</v>
      </c>
      <c r="X698">
        <v>0</v>
      </c>
      <c r="Y698" t="s">
        <v>38</v>
      </c>
    </row>
    <row r="699" spans="1:25" x14ac:dyDescent="0.35">
      <c r="A699">
        <v>207764760</v>
      </c>
      <c r="B699" t="s">
        <v>2773</v>
      </c>
      <c r="C699" t="s">
        <v>2774</v>
      </c>
      <c r="D699" t="s">
        <v>2775</v>
      </c>
      <c r="F699" t="str">
        <f>"1963188012"</f>
        <v>1963188012</v>
      </c>
      <c r="G699" t="str">
        <f>"9781963188011"</f>
        <v>9781963188011</v>
      </c>
      <c r="H699">
        <v>0</v>
      </c>
      <c r="I699">
        <v>4.2300000000000004</v>
      </c>
      <c r="K699" t="s">
        <v>85</v>
      </c>
      <c r="L699">
        <v>262</v>
      </c>
      <c r="M699">
        <v>2024</v>
      </c>
      <c r="P699" s="1">
        <v>45418</v>
      </c>
      <c r="Q699" t="s">
        <v>30</v>
      </c>
      <c r="R699" t="s">
        <v>2776</v>
      </c>
      <c r="S699" t="s">
        <v>30</v>
      </c>
      <c r="W699">
        <v>0</v>
      </c>
      <c r="X699">
        <v>0</v>
      </c>
      <c r="Y699" t="s">
        <v>542</v>
      </c>
    </row>
    <row r="700" spans="1:25" x14ac:dyDescent="0.35">
      <c r="A700">
        <v>40121378</v>
      </c>
      <c r="B700" t="s">
        <v>2777</v>
      </c>
      <c r="C700" t="s">
        <v>2778</v>
      </c>
      <c r="D700" t="s">
        <v>2779</v>
      </c>
      <c r="F700" t="str">
        <f>""</f>
        <v/>
      </c>
      <c r="G700" t="str">
        <f>""</f>
        <v/>
      </c>
      <c r="H700">
        <v>0</v>
      </c>
      <c r="I700">
        <v>4.34</v>
      </c>
      <c r="J700" t="s">
        <v>2780</v>
      </c>
      <c r="K700" t="s">
        <v>85</v>
      </c>
      <c r="L700">
        <v>319</v>
      </c>
      <c r="M700">
        <v>2018</v>
      </c>
      <c r="N700">
        <v>2018</v>
      </c>
      <c r="P700" s="1">
        <v>45418</v>
      </c>
      <c r="Q700" t="s">
        <v>30</v>
      </c>
      <c r="R700" t="s">
        <v>2781</v>
      </c>
      <c r="S700" t="s">
        <v>30</v>
      </c>
      <c r="W700">
        <v>0</v>
      </c>
      <c r="X700">
        <v>0</v>
      </c>
      <c r="Y700" t="s">
        <v>38</v>
      </c>
    </row>
    <row r="701" spans="1:25" x14ac:dyDescent="0.35">
      <c r="A701">
        <v>6174</v>
      </c>
      <c r="B701" t="s">
        <v>2782</v>
      </c>
      <c r="C701" t="s">
        <v>2783</v>
      </c>
      <c r="D701" t="s">
        <v>2784</v>
      </c>
      <c r="E701" t="s">
        <v>2785</v>
      </c>
      <c r="F701" t="str">
        <f>"0684826801"</f>
        <v>0684826801</v>
      </c>
      <c r="G701" t="str">
        <f>"9780684826806"</f>
        <v>9780684826806</v>
      </c>
      <c r="H701">
        <v>0</v>
      </c>
      <c r="I701">
        <v>4.34</v>
      </c>
      <c r="J701" t="s">
        <v>496</v>
      </c>
      <c r="K701" t="s">
        <v>29</v>
      </c>
      <c r="L701">
        <v>187</v>
      </c>
      <c r="M701">
        <v>1996</v>
      </c>
      <c r="N701">
        <v>1947</v>
      </c>
      <c r="P701" s="1">
        <v>45415</v>
      </c>
      <c r="Q701" t="s">
        <v>30</v>
      </c>
      <c r="R701" t="s">
        <v>2786</v>
      </c>
      <c r="S701" t="s">
        <v>30</v>
      </c>
      <c r="W701">
        <v>0</v>
      </c>
      <c r="X701">
        <v>0</v>
      </c>
      <c r="Y701" t="s">
        <v>38</v>
      </c>
    </row>
    <row r="702" spans="1:25" x14ac:dyDescent="0.35">
      <c r="A702">
        <v>767171</v>
      </c>
      <c r="B702" t="s">
        <v>2787</v>
      </c>
      <c r="C702" t="s">
        <v>2788</v>
      </c>
      <c r="D702" t="s">
        <v>2789</v>
      </c>
      <c r="F702" t="str">
        <f>"0671728687"</f>
        <v>0671728687</v>
      </c>
      <c r="G702" t="str">
        <f>"9780671728687"</f>
        <v>9780671728687</v>
      </c>
      <c r="H702">
        <v>0</v>
      </c>
      <c r="I702">
        <v>4.22</v>
      </c>
      <c r="J702" t="s">
        <v>496</v>
      </c>
      <c r="K702" t="s">
        <v>228</v>
      </c>
      <c r="L702">
        <v>1147</v>
      </c>
      <c r="M702">
        <v>1990</v>
      </c>
      <c r="N702">
        <v>1960</v>
      </c>
      <c r="P702" s="1">
        <v>45415</v>
      </c>
      <c r="Q702" t="s">
        <v>30</v>
      </c>
      <c r="R702" t="s">
        <v>2790</v>
      </c>
      <c r="S702" t="s">
        <v>30</v>
      </c>
      <c r="W702">
        <v>0</v>
      </c>
      <c r="X702">
        <v>0</v>
      </c>
      <c r="Y702" t="s">
        <v>32</v>
      </c>
    </row>
    <row r="703" spans="1:25" x14ac:dyDescent="0.35">
      <c r="A703">
        <v>6493208</v>
      </c>
      <c r="B703" t="s">
        <v>2791</v>
      </c>
      <c r="C703" t="s">
        <v>2792</v>
      </c>
      <c r="D703" t="s">
        <v>2793</v>
      </c>
      <c r="F703" t="str">
        <f>"1400052173"</f>
        <v>1400052173</v>
      </c>
      <c r="G703" t="str">
        <f>"9781400052172"</f>
        <v>9781400052172</v>
      </c>
      <c r="H703">
        <v>0</v>
      </c>
      <c r="I703">
        <v>4.12</v>
      </c>
      <c r="J703" t="s">
        <v>2794</v>
      </c>
      <c r="K703" t="s">
        <v>48</v>
      </c>
      <c r="L703">
        <v>370</v>
      </c>
      <c r="M703">
        <v>2010</v>
      </c>
      <c r="N703">
        <v>2010</v>
      </c>
      <c r="P703" s="1">
        <v>45415</v>
      </c>
      <c r="Q703" t="s">
        <v>30</v>
      </c>
      <c r="R703" t="s">
        <v>2795</v>
      </c>
      <c r="S703" t="s">
        <v>30</v>
      </c>
      <c r="W703">
        <v>0</v>
      </c>
      <c r="X703">
        <v>0</v>
      </c>
      <c r="Y703" t="s">
        <v>38</v>
      </c>
    </row>
    <row r="704" spans="1:25" x14ac:dyDescent="0.35">
      <c r="A704">
        <v>15997</v>
      </c>
      <c r="B704" t="s">
        <v>2796</v>
      </c>
      <c r="C704" t="s">
        <v>2797</v>
      </c>
      <c r="D704" t="s">
        <v>2798</v>
      </c>
      <c r="F704" t="str">
        <f>"0140424393"</f>
        <v>0140424393</v>
      </c>
      <c r="G704" t="str">
        <f>"9780140424393"</f>
        <v>9780140424393</v>
      </c>
      <c r="H704">
        <v>0</v>
      </c>
      <c r="I704">
        <v>3.85</v>
      </c>
      <c r="J704" t="s">
        <v>1390</v>
      </c>
      <c r="K704" t="s">
        <v>29</v>
      </c>
      <c r="L704">
        <v>512</v>
      </c>
      <c r="M704">
        <v>2003</v>
      </c>
      <c r="N704">
        <v>1667</v>
      </c>
      <c r="P704" s="1">
        <v>45415</v>
      </c>
      <c r="Q704" t="s">
        <v>30</v>
      </c>
      <c r="R704" t="s">
        <v>2799</v>
      </c>
      <c r="S704" t="s">
        <v>30</v>
      </c>
      <c r="W704">
        <v>0</v>
      </c>
      <c r="X704">
        <v>0</v>
      </c>
      <c r="Y704" t="s">
        <v>38</v>
      </c>
    </row>
    <row r="705" spans="1:25" x14ac:dyDescent="0.35">
      <c r="A705">
        <v>36072</v>
      </c>
      <c r="B705" t="s">
        <v>2800</v>
      </c>
      <c r="C705" t="s">
        <v>2801</v>
      </c>
      <c r="D705" t="s">
        <v>2802</v>
      </c>
      <c r="E705" t="s">
        <v>2803</v>
      </c>
      <c r="F705" t="str">
        <f>"0743269519"</f>
        <v>0743269519</v>
      </c>
      <c r="G705" t="str">
        <f>"9780743269513"</f>
        <v>9780743269513</v>
      </c>
      <c r="H705">
        <v>0</v>
      </c>
      <c r="I705">
        <v>4.16</v>
      </c>
      <c r="J705" t="s">
        <v>2804</v>
      </c>
      <c r="K705" t="s">
        <v>29</v>
      </c>
      <c r="L705">
        <v>372</v>
      </c>
      <c r="M705">
        <v>2004</v>
      </c>
      <c r="N705">
        <v>1989</v>
      </c>
      <c r="P705" s="1">
        <v>45415</v>
      </c>
      <c r="Q705" t="s">
        <v>30</v>
      </c>
      <c r="R705" t="s">
        <v>2805</v>
      </c>
      <c r="S705" t="s">
        <v>30</v>
      </c>
      <c r="W705">
        <v>0</v>
      </c>
      <c r="X705">
        <v>0</v>
      </c>
      <c r="Y705" t="s">
        <v>38</v>
      </c>
    </row>
    <row r="706" spans="1:25" x14ac:dyDescent="0.35">
      <c r="A706">
        <v>4865</v>
      </c>
      <c r="B706" t="s">
        <v>2806</v>
      </c>
      <c r="C706" t="s">
        <v>2807</v>
      </c>
      <c r="D706" t="s">
        <v>2808</v>
      </c>
      <c r="F706" t="str">
        <f>""</f>
        <v/>
      </c>
      <c r="G706" t="str">
        <f>""</f>
        <v/>
      </c>
      <c r="H706">
        <v>0</v>
      </c>
      <c r="I706">
        <v>4.22</v>
      </c>
      <c r="J706" t="s">
        <v>2809</v>
      </c>
      <c r="K706" t="s">
        <v>29</v>
      </c>
      <c r="L706">
        <v>288</v>
      </c>
      <c r="M706">
        <v>1998</v>
      </c>
      <c r="N706">
        <v>1936</v>
      </c>
      <c r="P706" s="1">
        <v>45415</v>
      </c>
      <c r="Q706" t="s">
        <v>30</v>
      </c>
      <c r="R706" t="s">
        <v>2810</v>
      </c>
      <c r="S706" t="s">
        <v>30</v>
      </c>
      <c r="W706">
        <v>0</v>
      </c>
      <c r="X706">
        <v>0</v>
      </c>
      <c r="Y706" t="s">
        <v>444</v>
      </c>
    </row>
    <row r="707" spans="1:25" x14ac:dyDescent="0.35">
      <c r="A707">
        <v>60748</v>
      </c>
      <c r="B707" t="s">
        <v>2811</v>
      </c>
      <c r="C707" t="s">
        <v>2812</v>
      </c>
      <c r="D707" t="s">
        <v>2813</v>
      </c>
      <c r="F707" t="str">
        <f>""</f>
        <v/>
      </c>
      <c r="G707" t="str">
        <f>""</f>
        <v/>
      </c>
      <c r="H707">
        <v>0</v>
      </c>
      <c r="I707">
        <v>4.13</v>
      </c>
      <c r="J707" t="s">
        <v>2814</v>
      </c>
      <c r="K707" t="s">
        <v>29</v>
      </c>
      <c r="L707">
        <v>184</v>
      </c>
      <c r="M707">
        <v>1995</v>
      </c>
      <c r="N707">
        <v>1995</v>
      </c>
      <c r="P707" s="1">
        <v>45415</v>
      </c>
      <c r="S707" t="s">
        <v>51</v>
      </c>
      <c r="W707">
        <v>1</v>
      </c>
      <c r="X707">
        <v>0</v>
      </c>
      <c r="Y707" t="s">
        <v>38</v>
      </c>
    </row>
    <row r="708" spans="1:25" x14ac:dyDescent="0.35">
      <c r="A708">
        <v>47281</v>
      </c>
      <c r="B708" t="s">
        <v>2815</v>
      </c>
      <c r="C708" t="s">
        <v>2816</v>
      </c>
      <c r="D708" t="s">
        <v>2817</v>
      </c>
      <c r="F708" t="str">
        <f>"0440227534"</f>
        <v>0440227534</v>
      </c>
      <c r="G708" t="str">
        <f>"9780440227533"</f>
        <v>9780440227533</v>
      </c>
      <c r="H708">
        <v>0</v>
      </c>
      <c r="I708">
        <v>4.1900000000000004</v>
      </c>
      <c r="J708" t="s">
        <v>169</v>
      </c>
      <c r="K708" t="s">
        <v>228</v>
      </c>
      <c r="L708">
        <v>137</v>
      </c>
      <c r="M708">
        <v>1998</v>
      </c>
      <c r="N708">
        <v>1989</v>
      </c>
      <c r="P708" s="1">
        <v>45415</v>
      </c>
      <c r="Q708" t="s">
        <v>30</v>
      </c>
      <c r="R708" t="s">
        <v>2818</v>
      </c>
      <c r="S708" t="s">
        <v>30</v>
      </c>
      <c r="W708">
        <v>0</v>
      </c>
      <c r="X708">
        <v>0</v>
      </c>
      <c r="Y708" t="s">
        <v>38</v>
      </c>
    </row>
    <row r="709" spans="1:25" x14ac:dyDescent="0.35">
      <c r="A709">
        <v>6149</v>
      </c>
      <c r="B709" t="s">
        <v>2819</v>
      </c>
      <c r="C709" t="s">
        <v>2820</v>
      </c>
      <c r="D709" t="s">
        <v>2821</v>
      </c>
      <c r="F709" t="str">
        <f>""</f>
        <v/>
      </c>
      <c r="G709" t="str">
        <f>"9781400033416"</f>
        <v>9781400033416</v>
      </c>
      <c r="H709">
        <v>0</v>
      </c>
      <c r="I709">
        <v>3.97</v>
      </c>
      <c r="J709" t="s">
        <v>1379</v>
      </c>
      <c r="K709" t="s">
        <v>29</v>
      </c>
      <c r="L709">
        <v>325</v>
      </c>
      <c r="M709">
        <v>2004</v>
      </c>
      <c r="N709">
        <v>1987</v>
      </c>
      <c r="P709" s="1">
        <v>45415</v>
      </c>
      <c r="Q709" t="s">
        <v>30</v>
      </c>
      <c r="R709" t="s">
        <v>2822</v>
      </c>
      <c r="S709" t="s">
        <v>30</v>
      </c>
      <c r="W709">
        <v>0</v>
      </c>
      <c r="X709">
        <v>0</v>
      </c>
      <c r="Y709" t="s">
        <v>38</v>
      </c>
    </row>
    <row r="710" spans="1:25" x14ac:dyDescent="0.35">
      <c r="A710">
        <v>22917</v>
      </c>
      <c r="B710" t="s">
        <v>2823</v>
      </c>
      <c r="C710" t="s">
        <v>2824</v>
      </c>
      <c r="D710" t="s">
        <v>2825</v>
      </c>
      <c r="E710" t="s">
        <v>2826</v>
      </c>
      <c r="F710" t="str">
        <f>""</f>
        <v/>
      </c>
      <c r="G710" t="str">
        <f>""</f>
        <v/>
      </c>
      <c r="H710">
        <v>0</v>
      </c>
      <c r="I710">
        <v>4.24</v>
      </c>
      <c r="J710" t="s">
        <v>2827</v>
      </c>
      <c r="K710" t="s">
        <v>29</v>
      </c>
      <c r="L710">
        <v>880</v>
      </c>
      <c r="M710">
        <v>1976</v>
      </c>
      <c r="N710">
        <v>1812</v>
      </c>
      <c r="P710" s="1">
        <v>45415</v>
      </c>
      <c r="Q710" t="s">
        <v>30</v>
      </c>
      <c r="R710" t="s">
        <v>2828</v>
      </c>
      <c r="S710" t="s">
        <v>30</v>
      </c>
      <c r="W710">
        <v>0</v>
      </c>
      <c r="X710">
        <v>0</v>
      </c>
      <c r="Y710" t="s">
        <v>38</v>
      </c>
    </row>
    <row r="711" spans="1:25" x14ac:dyDescent="0.35">
      <c r="A711">
        <v>2696</v>
      </c>
      <c r="B711" t="s">
        <v>2829</v>
      </c>
      <c r="C711" t="s">
        <v>2830</v>
      </c>
      <c r="D711" t="s">
        <v>2831</v>
      </c>
      <c r="E711" t="s">
        <v>2832</v>
      </c>
      <c r="F711" t="str">
        <f>"0140424385"</f>
        <v>0140424385</v>
      </c>
      <c r="G711" t="str">
        <f>"9780140424386"</f>
        <v>9780140424386</v>
      </c>
      <c r="H711">
        <v>0</v>
      </c>
      <c r="I711">
        <v>3.52</v>
      </c>
      <c r="J711" t="s">
        <v>274</v>
      </c>
      <c r="K711" t="s">
        <v>29</v>
      </c>
      <c r="L711">
        <v>504</v>
      </c>
      <c r="M711">
        <v>2003</v>
      </c>
      <c r="N711">
        <v>1400</v>
      </c>
      <c r="P711" s="1">
        <v>45415</v>
      </c>
      <c r="Q711" t="s">
        <v>30</v>
      </c>
      <c r="R711" t="s">
        <v>2833</v>
      </c>
      <c r="S711" t="s">
        <v>30</v>
      </c>
      <c r="W711">
        <v>0</v>
      </c>
      <c r="X711">
        <v>0</v>
      </c>
      <c r="Y711" t="s">
        <v>38</v>
      </c>
    </row>
    <row r="712" spans="1:25" x14ac:dyDescent="0.35">
      <c r="A712">
        <v>18254</v>
      </c>
      <c r="B712" t="s">
        <v>2834</v>
      </c>
      <c r="C712" t="s">
        <v>1966</v>
      </c>
      <c r="D712" t="s">
        <v>1967</v>
      </c>
      <c r="E712" t="s">
        <v>2835</v>
      </c>
      <c r="F712" t="str">
        <f>""</f>
        <v/>
      </c>
      <c r="G712" t="str">
        <f>""</f>
        <v/>
      </c>
      <c r="H712">
        <v>0</v>
      </c>
      <c r="I712">
        <v>3.88</v>
      </c>
      <c r="J712" t="s">
        <v>274</v>
      </c>
      <c r="K712" t="s">
        <v>29</v>
      </c>
      <c r="L712">
        <v>608</v>
      </c>
      <c r="M712">
        <v>2003</v>
      </c>
      <c r="N712">
        <v>1838</v>
      </c>
      <c r="P712" s="1">
        <v>45415</v>
      </c>
      <c r="Q712" t="s">
        <v>30</v>
      </c>
      <c r="R712" t="s">
        <v>2836</v>
      </c>
      <c r="S712" t="s">
        <v>30</v>
      </c>
      <c r="W712">
        <v>0</v>
      </c>
      <c r="X712">
        <v>0</v>
      </c>
      <c r="Y712" t="s">
        <v>38</v>
      </c>
    </row>
    <row r="713" spans="1:25" x14ac:dyDescent="0.35">
      <c r="A713">
        <v>144974</v>
      </c>
      <c r="B713" t="s">
        <v>2837</v>
      </c>
      <c r="C713" t="s">
        <v>2838</v>
      </c>
      <c r="D713" t="s">
        <v>2839</v>
      </c>
      <c r="E713" t="s">
        <v>2840</v>
      </c>
      <c r="F713" t="str">
        <f>"0380002558"</f>
        <v>0380002558</v>
      </c>
      <c r="G713" t="str">
        <f>"9780380002559"</f>
        <v>9780380002559</v>
      </c>
      <c r="H713">
        <v>0</v>
      </c>
      <c r="I713">
        <v>4.3099999999999996</v>
      </c>
      <c r="J713" t="s">
        <v>683</v>
      </c>
      <c r="K713" t="s">
        <v>29</v>
      </c>
      <c r="L713">
        <v>40</v>
      </c>
      <c r="M713">
        <v>1987</v>
      </c>
      <c r="N713">
        <v>1922</v>
      </c>
      <c r="P713" s="1">
        <v>45415</v>
      </c>
      <c r="Q713" t="s">
        <v>30</v>
      </c>
      <c r="R713" t="s">
        <v>2841</v>
      </c>
      <c r="S713" t="s">
        <v>30</v>
      </c>
      <c r="W713">
        <v>0</v>
      </c>
      <c r="X713">
        <v>0</v>
      </c>
      <c r="Y713" t="s">
        <v>38</v>
      </c>
    </row>
    <row r="714" spans="1:25" x14ac:dyDescent="0.35">
      <c r="A714">
        <v>320</v>
      </c>
      <c r="B714" t="s">
        <v>2842</v>
      </c>
      <c r="C714" t="s">
        <v>2843</v>
      </c>
      <c r="D714" t="s">
        <v>2844</v>
      </c>
      <c r="E714" t="s">
        <v>2845</v>
      </c>
      <c r="F714" t="str">
        <f>""</f>
        <v/>
      </c>
      <c r="G714" t="str">
        <f>""</f>
        <v/>
      </c>
      <c r="H714">
        <v>0</v>
      </c>
      <c r="I714">
        <v>4.12</v>
      </c>
      <c r="J714" t="s">
        <v>1552</v>
      </c>
      <c r="K714" t="s">
        <v>228</v>
      </c>
      <c r="L714">
        <v>417</v>
      </c>
      <c r="M714">
        <v>2003</v>
      </c>
      <c r="N714">
        <v>1967</v>
      </c>
      <c r="P714" s="1">
        <v>45415</v>
      </c>
      <c r="Q714" t="s">
        <v>30</v>
      </c>
      <c r="R714" t="s">
        <v>2846</v>
      </c>
      <c r="S714" t="s">
        <v>30</v>
      </c>
      <c r="W714">
        <v>0</v>
      </c>
      <c r="X714">
        <v>0</v>
      </c>
      <c r="Y714" t="s">
        <v>38</v>
      </c>
    </row>
    <row r="715" spans="1:25" x14ac:dyDescent="0.35">
      <c r="A715">
        <v>386162</v>
      </c>
      <c r="B715" t="s">
        <v>2847</v>
      </c>
      <c r="C715" t="s">
        <v>2848</v>
      </c>
      <c r="D715" t="s">
        <v>2849</v>
      </c>
      <c r="F715" t="str">
        <f>""</f>
        <v/>
      </c>
      <c r="G715" t="str">
        <f>""</f>
        <v/>
      </c>
      <c r="H715">
        <v>0</v>
      </c>
      <c r="I715">
        <v>4.2300000000000004</v>
      </c>
      <c r="J715" t="s">
        <v>674</v>
      </c>
      <c r="K715" t="s">
        <v>29</v>
      </c>
      <c r="L715">
        <v>193</v>
      </c>
      <c r="M715">
        <v>2007</v>
      </c>
      <c r="N715">
        <v>1979</v>
      </c>
      <c r="P715" s="1">
        <v>45415</v>
      </c>
      <c r="Q715" t="s">
        <v>30</v>
      </c>
      <c r="R715" t="s">
        <v>2850</v>
      </c>
      <c r="S715" t="s">
        <v>30</v>
      </c>
      <c r="W715">
        <v>0</v>
      </c>
      <c r="X715">
        <v>0</v>
      </c>
      <c r="Y715" t="s">
        <v>444</v>
      </c>
    </row>
    <row r="716" spans="1:25" x14ac:dyDescent="0.35">
      <c r="A716">
        <v>13214</v>
      </c>
      <c r="B716" t="s">
        <v>2851</v>
      </c>
      <c r="C716" t="s">
        <v>764</v>
      </c>
      <c r="D716" t="s">
        <v>2852</v>
      </c>
      <c r="F716" t="str">
        <f>"0553279378"</f>
        <v>0553279378</v>
      </c>
      <c r="G716" t="str">
        <f>"9780553279375"</f>
        <v>9780553279375</v>
      </c>
      <c r="H716">
        <v>0</v>
      </c>
      <c r="I716">
        <v>4.3</v>
      </c>
      <c r="J716" t="s">
        <v>1828</v>
      </c>
      <c r="K716" t="s">
        <v>29</v>
      </c>
      <c r="L716">
        <v>289</v>
      </c>
      <c r="M716">
        <v>1993</v>
      </c>
      <c r="N716">
        <v>1969</v>
      </c>
      <c r="P716" s="1">
        <v>45415</v>
      </c>
      <c r="Q716" t="s">
        <v>30</v>
      </c>
      <c r="R716" t="s">
        <v>2853</v>
      </c>
      <c r="S716" t="s">
        <v>30</v>
      </c>
      <c r="W716">
        <v>0</v>
      </c>
      <c r="X716">
        <v>0</v>
      </c>
      <c r="Y716" t="s">
        <v>311</v>
      </c>
    </row>
    <row r="717" spans="1:25" x14ac:dyDescent="0.35">
      <c r="A717">
        <v>18619684</v>
      </c>
      <c r="B717" t="s">
        <v>2854</v>
      </c>
      <c r="C717" t="s">
        <v>2855</v>
      </c>
      <c r="D717" t="s">
        <v>2856</v>
      </c>
      <c r="F717" t="str">
        <f>"1939126010"</f>
        <v>1939126010</v>
      </c>
      <c r="G717" t="str">
        <f>"9781939126016"</f>
        <v>9781939126016</v>
      </c>
      <c r="H717">
        <v>0</v>
      </c>
      <c r="I717">
        <v>4</v>
      </c>
      <c r="J717" t="s">
        <v>2857</v>
      </c>
      <c r="K717" t="s">
        <v>375</v>
      </c>
      <c r="L717">
        <v>537</v>
      </c>
      <c r="M717">
        <v>2013</v>
      </c>
      <c r="N717">
        <v>2003</v>
      </c>
      <c r="P717" s="1">
        <v>45415</v>
      </c>
      <c r="Q717" t="s">
        <v>30</v>
      </c>
      <c r="R717" t="s">
        <v>2858</v>
      </c>
      <c r="S717" t="s">
        <v>30</v>
      </c>
      <c r="W717">
        <v>0</v>
      </c>
      <c r="X717">
        <v>0</v>
      </c>
      <c r="Y717" t="s">
        <v>38</v>
      </c>
    </row>
    <row r="718" spans="1:25" x14ac:dyDescent="0.35">
      <c r="A718">
        <v>1953</v>
      </c>
      <c r="B718" t="s">
        <v>2859</v>
      </c>
      <c r="C718" t="s">
        <v>1966</v>
      </c>
      <c r="D718" t="s">
        <v>1967</v>
      </c>
      <c r="E718" t="s">
        <v>2860</v>
      </c>
      <c r="F718" t="str">
        <f>"0141439602"</f>
        <v>0141439602</v>
      </c>
      <c r="G718" t="str">
        <f>"9780141439600"</f>
        <v>9780141439600</v>
      </c>
      <c r="H718">
        <v>0</v>
      </c>
      <c r="I718">
        <v>3.87</v>
      </c>
      <c r="J718" t="s">
        <v>274</v>
      </c>
      <c r="K718" t="s">
        <v>29</v>
      </c>
      <c r="L718">
        <v>489</v>
      </c>
      <c r="M718">
        <v>2003</v>
      </c>
      <c r="N718">
        <v>1859</v>
      </c>
      <c r="P718" s="1">
        <v>45415</v>
      </c>
      <c r="Q718" t="s">
        <v>30</v>
      </c>
      <c r="R718" t="s">
        <v>2861</v>
      </c>
      <c r="S718" t="s">
        <v>30</v>
      </c>
      <c r="W718">
        <v>0</v>
      </c>
      <c r="X718">
        <v>0</v>
      </c>
      <c r="Y718" t="s">
        <v>38</v>
      </c>
    </row>
    <row r="719" spans="1:25" x14ac:dyDescent="0.35">
      <c r="A719">
        <v>18114322</v>
      </c>
      <c r="B719" t="s">
        <v>2862</v>
      </c>
      <c r="C719" t="s">
        <v>2863</v>
      </c>
      <c r="D719" t="s">
        <v>2864</v>
      </c>
      <c r="F719" t="str">
        <f>"067001690X"</f>
        <v>067001690X</v>
      </c>
      <c r="G719" t="str">
        <f>"9780670016907"</f>
        <v>9780670016907</v>
      </c>
      <c r="H719">
        <v>0</v>
      </c>
      <c r="I719">
        <v>4.0199999999999996</v>
      </c>
      <c r="J719" t="s">
        <v>235</v>
      </c>
      <c r="K719" t="s">
        <v>48</v>
      </c>
      <c r="L719">
        <v>496</v>
      </c>
      <c r="M719">
        <v>2014</v>
      </c>
      <c r="N719">
        <v>1939</v>
      </c>
      <c r="P719" s="1">
        <v>45415</v>
      </c>
      <c r="Q719" t="s">
        <v>30</v>
      </c>
      <c r="R719" t="s">
        <v>2865</v>
      </c>
      <c r="S719" t="s">
        <v>30</v>
      </c>
      <c r="W719">
        <v>0</v>
      </c>
      <c r="X719">
        <v>0</v>
      </c>
      <c r="Y719" t="s">
        <v>38</v>
      </c>
    </row>
    <row r="720" spans="1:25" x14ac:dyDescent="0.35">
      <c r="A720">
        <v>7144</v>
      </c>
      <c r="B720" t="s">
        <v>2866</v>
      </c>
      <c r="C720" t="s">
        <v>2867</v>
      </c>
      <c r="D720" t="s">
        <v>2868</v>
      </c>
      <c r="E720" t="s">
        <v>2869</v>
      </c>
      <c r="F720" t="str">
        <f>""</f>
        <v/>
      </c>
      <c r="G720" t="str">
        <f>""</f>
        <v/>
      </c>
      <c r="H720">
        <v>0</v>
      </c>
      <c r="I720">
        <v>4.28</v>
      </c>
      <c r="J720" t="s">
        <v>1975</v>
      </c>
      <c r="K720" t="s">
        <v>29</v>
      </c>
      <c r="L720">
        <v>671</v>
      </c>
      <c r="M720">
        <v>2002</v>
      </c>
      <c r="N720">
        <v>1866</v>
      </c>
      <c r="P720" s="1">
        <v>45415</v>
      </c>
      <c r="Q720" t="s">
        <v>30</v>
      </c>
      <c r="R720" t="s">
        <v>2870</v>
      </c>
      <c r="S720" t="s">
        <v>30</v>
      </c>
      <c r="W720">
        <v>0</v>
      </c>
      <c r="X720">
        <v>0</v>
      </c>
      <c r="Y720" t="s">
        <v>542</v>
      </c>
    </row>
    <row r="721" spans="1:25" x14ac:dyDescent="0.35">
      <c r="A721">
        <v>1617</v>
      </c>
      <c r="B721" t="s">
        <v>2871</v>
      </c>
      <c r="C721" t="s">
        <v>2872</v>
      </c>
      <c r="D721" t="s">
        <v>2873</v>
      </c>
      <c r="E721" t="s">
        <v>2874</v>
      </c>
      <c r="F721" t="str">
        <f>"0374500010"</f>
        <v>0374500010</v>
      </c>
      <c r="G721" t="str">
        <f>"9780374500016"</f>
        <v>9780374500016</v>
      </c>
      <c r="H721">
        <v>0</v>
      </c>
      <c r="I721">
        <v>4.38</v>
      </c>
      <c r="J721" t="s">
        <v>2875</v>
      </c>
      <c r="K721" t="s">
        <v>29</v>
      </c>
      <c r="L721">
        <v>120</v>
      </c>
      <c r="M721">
        <v>2006</v>
      </c>
      <c r="N721">
        <v>1956</v>
      </c>
      <c r="P721" s="1">
        <v>45415</v>
      </c>
      <c r="Q721" t="s">
        <v>30</v>
      </c>
      <c r="R721" t="s">
        <v>2876</v>
      </c>
      <c r="S721" t="s">
        <v>30</v>
      </c>
      <c r="W721">
        <v>0</v>
      </c>
      <c r="X721">
        <v>0</v>
      </c>
      <c r="Y721" t="s">
        <v>38</v>
      </c>
    </row>
    <row r="722" spans="1:25" x14ac:dyDescent="0.35">
      <c r="A722">
        <v>24213</v>
      </c>
      <c r="B722" t="s">
        <v>2877</v>
      </c>
      <c r="C722" t="s">
        <v>2878</v>
      </c>
      <c r="D722" t="s">
        <v>2879</v>
      </c>
      <c r="E722" t="s">
        <v>2880</v>
      </c>
      <c r="F722" t="str">
        <f>""</f>
        <v/>
      </c>
      <c r="G722" t="str">
        <f>""</f>
        <v/>
      </c>
      <c r="H722">
        <v>0</v>
      </c>
      <c r="I722">
        <v>4.0599999999999996</v>
      </c>
      <c r="J722" t="s">
        <v>2881</v>
      </c>
      <c r="K722" t="s">
        <v>29</v>
      </c>
      <c r="L722">
        <v>239</v>
      </c>
      <c r="M722">
        <v>2000</v>
      </c>
      <c r="N722">
        <v>1871</v>
      </c>
      <c r="P722" s="1">
        <v>45415</v>
      </c>
      <c r="Q722" t="s">
        <v>30</v>
      </c>
      <c r="R722" t="s">
        <v>2882</v>
      </c>
      <c r="S722" t="s">
        <v>30</v>
      </c>
      <c r="W722">
        <v>0</v>
      </c>
      <c r="X722">
        <v>0</v>
      </c>
      <c r="Y722" t="s">
        <v>38</v>
      </c>
    </row>
    <row r="723" spans="1:25" x14ac:dyDescent="0.35">
      <c r="A723">
        <v>170448</v>
      </c>
      <c r="B723" t="s">
        <v>2883</v>
      </c>
      <c r="C723" t="s">
        <v>2884</v>
      </c>
      <c r="D723" t="s">
        <v>2885</v>
      </c>
      <c r="E723" t="s">
        <v>2886</v>
      </c>
      <c r="F723" t="str">
        <f>"0451526341"</f>
        <v>0451526341</v>
      </c>
      <c r="G723" t="str">
        <f>"9780451526342"</f>
        <v>9780451526342</v>
      </c>
      <c r="H723">
        <v>0</v>
      </c>
      <c r="I723">
        <v>4</v>
      </c>
      <c r="J723" t="s">
        <v>2887</v>
      </c>
      <c r="K723" t="s">
        <v>85</v>
      </c>
      <c r="L723">
        <v>141</v>
      </c>
      <c r="M723">
        <v>1996</v>
      </c>
      <c r="N723">
        <v>1945</v>
      </c>
      <c r="P723" s="1">
        <v>45415</v>
      </c>
      <c r="Q723" t="s">
        <v>30</v>
      </c>
      <c r="R723" t="s">
        <v>2888</v>
      </c>
      <c r="S723" t="s">
        <v>30</v>
      </c>
      <c r="W723">
        <v>0</v>
      </c>
      <c r="X723">
        <v>0</v>
      </c>
      <c r="Y723" t="s">
        <v>38</v>
      </c>
    </row>
    <row r="724" spans="1:25" x14ac:dyDescent="0.35">
      <c r="A724">
        <v>48855</v>
      </c>
      <c r="B724" t="s">
        <v>2889</v>
      </c>
      <c r="C724" t="s">
        <v>2890</v>
      </c>
      <c r="D724" t="s">
        <v>2891</v>
      </c>
      <c r="E724" t="s">
        <v>2892</v>
      </c>
      <c r="F724" t="str">
        <f>""</f>
        <v/>
      </c>
      <c r="G724" t="str">
        <f>""</f>
        <v/>
      </c>
      <c r="H724">
        <v>0</v>
      </c>
      <c r="I724">
        <v>4.2</v>
      </c>
      <c r="J724" t="s">
        <v>427</v>
      </c>
      <c r="K724" t="s">
        <v>228</v>
      </c>
      <c r="L724">
        <v>283</v>
      </c>
      <c r="M724">
        <v>1993</v>
      </c>
      <c r="N724">
        <v>1947</v>
      </c>
      <c r="P724" s="1">
        <v>45415</v>
      </c>
      <c r="S724" t="s">
        <v>51</v>
      </c>
      <c r="W724">
        <v>1</v>
      </c>
      <c r="X724">
        <v>0</v>
      </c>
      <c r="Y724" t="s">
        <v>38</v>
      </c>
    </row>
    <row r="725" spans="1:25" x14ac:dyDescent="0.35">
      <c r="A725">
        <v>73089</v>
      </c>
      <c r="B725" t="s">
        <v>2893</v>
      </c>
      <c r="C725" t="s">
        <v>2894</v>
      </c>
      <c r="D725" t="s">
        <v>2895</v>
      </c>
      <c r="F725" t="str">
        <f>"0060734566"</f>
        <v>0060734566</v>
      </c>
      <c r="G725" t="str">
        <f>"9780060734565"</f>
        <v>9780060734565</v>
      </c>
      <c r="H725">
        <v>0</v>
      </c>
      <c r="I725">
        <v>4.12</v>
      </c>
      <c r="J725" t="s">
        <v>2896</v>
      </c>
      <c r="K725" t="s">
        <v>228</v>
      </c>
      <c r="L725">
        <v>388</v>
      </c>
      <c r="M725">
        <v>2006</v>
      </c>
      <c r="N725">
        <v>2005</v>
      </c>
      <c r="P725" s="1">
        <v>45415</v>
      </c>
      <c r="Q725" t="s">
        <v>30</v>
      </c>
      <c r="R725" t="s">
        <v>2897</v>
      </c>
      <c r="S725" t="s">
        <v>30</v>
      </c>
      <c r="W725">
        <v>0</v>
      </c>
      <c r="X725">
        <v>0</v>
      </c>
      <c r="Y725" t="s">
        <v>38</v>
      </c>
    </row>
    <row r="726" spans="1:25" x14ac:dyDescent="0.35">
      <c r="A726">
        <v>181350367</v>
      </c>
      <c r="B726" t="s">
        <v>2898</v>
      </c>
      <c r="C726" t="s">
        <v>2899</v>
      </c>
      <c r="D726" t="s">
        <v>2900</v>
      </c>
      <c r="F726" t="str">
        <f>"0593474015"</f>
        <v>0593474015</v>
      </c>
      <c r="G726" t="str">
        <f>"9780593474013"</f>
        <v>9780593474013</v>
      </c>
      <c r="H726">
        <v>0</v>
      </c>
      <c r="I726">
        <v>3.79</v>
      </c>
      <c r="J726" t="s">
        <v>2258</v>
      </c>
      <c r="K726" t="s">
        <v>48</v>
      </c>
      <c r="L726">
        <v>358</v>
      </c>
      <c r="M726">
        <v>2024</v>
      </c>
      <c r="N726">
        <v>2024</v>
      </c>
      <c r="P726" s="1">
        <v>45415</v>
      </c>
      <c r="Q726" t="s">
        <v>30</v>
      </c>
      <c r="R726" t="s">
        <v>2901</v>
      </c>
      <c r="S726" t="s">
        <v>30</v>
      </c>
      <c r="W726">
        <v>0</v>
      </c>
      <c r="X726">
        <v>0</v>
      </c>
      <c r="Y726" t="s">
        <v>444</v>
      </c>
    </row>
    <row r="727" spans="1:25" x14ac:dyDescent="0.35">
      <c r="A727">
        <v>60784546</v>
      </c>
      <c r="B727" t="s">
        <v>2902</v>
      </c>
      <c r="C727" t="s">
        <v>2903</v>
      </c>
      <c r="D727" t="s">
        <v>2904</v>
      </c>
      <c r="F727" t="str">
        <f>"1250857430"</f>
        <v>1250857430</v>
      </c>
      <c r="G727" t="str">
        <f>"9781250857439"</f>
        <v>9781250857439</v>
      </c>
      <c r="H727">
        <v>0</v>
      </c>
      <c r="I727">
        <v>4.17</v>
      </c>
      <c r="J727" t="s">
        <v>1013</v>
      </c>
      <c r="K727" t="s">
        <v>48</v>
      </c>
      <c r="L727">
        <v>357</v>
      </c>
      <c r="M727">
        <v>2023</v>
      </c>
      <c r="N727">
        <v>2023</v>
      </c>
      <c r="P727" s="1">
        <v>45415</v>
      </c>
      <c r="Q727" t="s">
        <v>30</v>
      </c>
      <c r="R727" t="s">
        <v>2905</v>
      </c>
      <c r="S727" t="s">
        <v>30</v>
      </c>
      <c r="W727">
        <v>0</v>
      </c>
      <c r="X727">
        <v>0</v>
      </c>
      <c r="Y727" t="s">
        <v>38</v>
      </c>
    </row>
    <row r="728" spans="1:25" x14ac:dyDescent="0.35">
      <c r="A728">
        <v>62334530</v>
      </c>
      <c r="B728" t="s">
        <v>2906</v>
      </c>
      <c r="C728" t="s">
        <v>2907</v>
      </c>
      <c r="D728" t="s">
        <v>2908</v>
      </c>
      <c r="F728" t="str">
        <f>"1982179007"</f>
        <v>1982179007</v>
      </c>
      <c r="G728" t="str">
        <f>"9781982179007"</f>
        <v>9781982179007</v>
      </c>
      <c r="H728">
        <v>0</v>
      </c>
      <c r="I728">
        <v>4.0999999999999996</v>
      </c>
      <c r="J728" t="s">
        <v>798</v>
      </c>
      <c r="K728" t="s">
        <v>48</v>
      </c>
      <c r="L728">
        <v>390</v>
      </c>
      <c r="M728">
        <v>2023</v>
      </c>
      <c r="N728">
        <v>2023</v>
      </c>
      <c r="P728" s="1">
        <v>45415</v>
      </c>
      <c r="Q728" t="s">
        <v>30</v>
      </c>
      <c r="R728" t="s">
        <v>2909</v>
      </c>
      <c r="S728" t="s">
        <v>30</v>
      </c>
      <c r="W728">
        <v>0</v>
      </c>
      <c r="X728">
        <v>0</v>
      </c>
      <c r="Y728" t="s">
        <v>38</v>
      </c>
    </row>
    <row r="729" spans="1:25" x14ac:dyDescent="0.35">
      <c r="A729">
        <v>194802722</v>
      </c>
      <c r="B729" t="s">
        <v>2910</v>
      </c>
      <c r="C729" t="s">
        <v>1031</v>
      </c>
      <c r="D729" t="s">
        <v>1032</v>
      </c>
      <c r="F729" t="str">
        <f>""</f>
        <v/>
      </c>
      <c r="G729" t="str">
        <f>""</f>
        <v/>
      </c>
      <c r="H729">
        <v>0</v>
      </c>
      <c r="I729">
        <v>4.22</v>
      </c>
      <c r="J729" t="s">
        <v>350</v>
      </c>
      <c r="K729" t="s">
        <v>85</v>
      </c>
      <c r="L729">
        <v>400</v>
      </c>
      <c r="M729">
        <v>2024</v>
      </c>
      <c r="N729">
        <v>2024</v>
      </c>
      <c r="P729" s="1">
        <v>45415</v>
      </c>
      <c r="Q729" t="s">
        <v>30</v>
      </c>
      <c r="R729" t="s">
        <v>2911</v>
      </c>
      <c r="S729" t="s">
        <v>30</v>
      </c>
      <c r="W729">
        <v>0</v>
      </c>
      <c r="X729">
        <v>0</v>
      </c>
      <c r="Y729" t="s">
        <v>38</v>
      </c>
    </row>
    <row r="730" spans="1:25" x14ac:dyDescent="0.35">
      <c r="A730">
        <v>52133517</v>
      </c>
      <c r="B730" t="s">
        <v>2912</v>
      </c>
      <c r="C730" t="s">
        <v>305</v>
      </c>
      <c r="D730" t="s">
        <v>306</v>
      </c>
      <c r="F730" t="str">
        <f>""</f>
        <v/>
      </c>
      <c r="G730" t="str">
        <f>""</f>
        <v/>
      </c>
      <c r="H730">
        <v>0</v>
      </c>
      <c r="I730">
        <v>0</v>
      </c>
      <c r="J730" t="s">
        <v>2913</v>
      </c>
      <c r="K730" t="s">
        <v>85</v>
      </c>
      <c r="L730">
        <v>1596</v>
      </c>
      <c r="M730">
        <v>2019</v>
      </c>
      <c r="P730" s="1">
        <v>45415</v>
      </c>
      <c r="Q730" t="s">
        <v>30</v>
      </c>
      <c r="R730" t="s">
        <v>2914</v>
      </c>
      <c r="S730" t="s">
        <v>30</v>
      </c>
      <c r="W730">
        <v>0</v>
      </c>
      <c r="X730">
        <v>0</v>
      </c>
      <c r="Y730" t="s">
        <v>32</v>
      </c>
    </row>
    <row r="731" spans="1:25" x14ac:dyDescent="0.35">
      <c r="A731">
        <v>4339691</v>
      </c>
      <c r="B731" t="s">
        <v>2915</v>
      </c>
      <c r="C731" t="s">
        <v>305</v>
      </c>
      <c r="D731" t="s">
        <v>306</v>
      </c>
      <c r="F731" t="str">
        <f>"0938626418"</f>
        <v>0938626418</v>
      </c>
      <c r="G731" t="str">
        <f>"9780938626411"</f>
        <v>9780938626411</v>
      </c>
      <c r="H731">
        <v>0</v>
      </c>
      <c r="I731">
        <v>4.2</v>
      </c>
      <c r="J731" t="s">
        <v>2916</v>
      </c>
      <c r="K731" t="s">
        <v>29</v>
      </c>
      <c r="L731">
        <v>224</v>
      </c>
      <c r="M731">
        <v>1986</v>
      </c>
      <c r="N731">
        <v>1986</v>
      </c>
      <c r="P731" s="1">
        <v>45415</v>
      </c>
      <c r="Q731" t="s">
        <v>30</v>
      </c>
      <c r="R731" t="s">
        <v>2917</v>
      </c>
      <c r="S731" t="s">
        <v>30</v>
      </c>
      <c r="W731">
        <v>0</v>
      </c>
      <c r="X731">
        <v>0</v>
      </c>
      <c r="Y731" t="s">
        <v>38</v>
      </c>
    </row>
    <row r="732" spans="1:25" x14ac:dyDescent="0.35">
      <c r="A732">
        <v>56769575</v>
      </c>
      <c r="B732" t="s">
        <v>2918</v>
      </c>
      <c r="C732" t="s">
        <v>2919</v>
      </c>
      <c r="D732" t="s">
        <v>2920</v>
      </c>
      <c r="F732" t="str">
        <f>"0393881725"</f>
        <v>0393881725</v>
      </c>
      <c r="G732" t="str">
        <f>"9780393881721"</f>
        <v>9780393881721</v>
      </c>
      <c r="H732">
        <v>0</v>
      </c>
      <c r="I732">
        <v>4.07</v>
      </c>
      <c r="J732" t="s">
        <v>1332</v>
      </c>
      <c r="K732" t="s">
        <v>29</v>
      </c>
      <c r="L732">
        <v>320</v>
      </c>
      <c r="M732">
        <v>2021</v>
      </c>
      <c r="N732">
        <v>2003</v>
      </c>
      <c r="P732" s="1">
        <v>45414</v>
      </c>
      <c r="Q732" t="s">
        <v>30</v>
      </c>
      <c r="R732" t="s">
        <v>2921</v>
      </c>
      <c r="S732" t="s">
        <v>30</v>
      </c>
      <c r="W732">
        <v>0</v>
      </c>
      <c r="X732">
        <v>0</v>
      </c>
      <c r="Y732" t="s">
        <v>38</v>
      </c>
    </row>
    <row r="733" spans="1:25" x14ac:dyDescent="0.35">
      <c r="A733">
        <v>193388249</v>
      </c>
      <c r="B733" t="s">
        <v>2922</v>
      </c>
      <c r="C733" t="s">
        <v>2923</v>
      </c>
      <c r="D733" t="s">
        <v>2924</v>
      </c>
      <c r="F733" t="str">
        <f>"0593470834"</f>
        <v>0593470834</v>
      </c>
      <c r="G733" t="str">
        <f>"9780593470831"</f>
        <v>9780593470831</v>
      </c>
      <c r="H733">
        <v>0</v>
      </c>
      <c r="I733">
        <v>4.1399999999999997</v>
      </c>
      <c r="J733" t="s">
        <v>1379</v>
      </c>
      <c r="K733" t="s">
        <v>29</v>
      </c>
      <c r="L733">
        <v>338</v>
      </c>
      <c r="M733">
        <v>2023</v>
      </c>
      <c r="N733">
        <v>2017</v>
      </c>
      <c r="P733" s="1">
        <v>45414</v>
      </c>
      <c r="Q733" t="s">
        <v>30</v>
      </c>
      <c r="R733" t="s">
        <v>2925</v>
      </c>
      <c r="S733" t="s">
        <v>30</v>
      </c>
      <c r="W733">
        <v>0</v>
      </c>
      <c r="X733">
        <v>0</v>
      </c>
      <c r="Y733" t="s">
        <v>38</v>
      </c>
    </row>
    <row r="734" spans="1:25" x14ac:dyDescent="0.35">
      <c r="A734">
        <v>61272702</v>
      </c>
      <c r="B734" t="s">
        <v>2926</v>
      </c>
      <c r="C734" t="s">
        <v>2927</v>
      </c>
      <c r="D734" t="s">
        <v>2928</v>
      </c>
      <c r="F734" t="str">
        <f>"1501117297"</f>
        <v>1501117297</v>
      </c>
      <c r="G734" t="str">
        <f>"9781501117299"</f>
        <v>9781501117299</v>
      </c>
      <c r="H734">
        <v>0</v>
      </c>
      <c r="I734">
        <v>3.82</v>
      </c>
      <c r="J734" t="s">
        <v>765</v>
      </c>
      <c r="K734" t="s">
        <v>48</v>
      </c>
      <c r="L734">
        <v>368</v>
      </c>
      <c r="M734">
        <v>2023</v>
      </c>
      <c r="N734">
        <v>2023</v>
      </c>
      <c r="P734" s="1">
        <v>45414</v>
      </c>
      <c r="Q734" t="s">
        <v>30</v>
      </c>
      <c r="R734" t="s">
        <v>2929</v>
      </c>
      <c r="S734" t="s">
        <v>30</v>
      </c>
      <c r="W734">
        <v>0</v>
      </c>
      <c r="X734">
        <v>0</v>
      </c>
      <c r="Y734" t="s">
        <v>38</v>
      </c>
    </row>
    <row r="735" spans="1:25" x14ac:dyDescent="0.35">
      <c r="A735">
        <v>853510</v>
      </c>
      <c r="B735" t="s">
        <v>2930</v>
      </c>
      <c r="C735" t="s">
        <v>2931</v>
      </c>
      <c r="D735" t="s">
        <v>2932</v>
      </c>
      <c r="F735" t="str">
        <f>"0007119313"</f>
        <v>0007119313</v>
      </c>
      <c r="G735" t="str">
        <f>"9780007119318"</f>
        <v>9780007119318</v>
      </c>
      <c r="H735">
        <v>0</v>
      </c>
      <c r="I735">
        <v>4.2</v>
      </c>
      <c r="J735" t="s">
        <v>292</v>
      </c>
      <c r="K735" t="s">
        <v>29</v>
      </c>
      <c r="L735">
        <v>274</v>
      </c>
      <c r="M735">
        <v>2007</v>
      </c>
      <c r="N735">
        <v>1934</v>
      </c>
      <c r="P735" s="1">
        <v>45414</v>
      </c>
      <c r="Q735" t="s">
        <v>30</v>
      </c>
      <c r="R735" t="s">
        <v>2933</v>
      </c>
      <c r="S735" t="s">
        <v>30</v>
      </c>
      <c r="W735">
        <v>0</v>
      </c>
      <c r="X735">
        <v>0</v>
      </c>
      <c r="Y735" t="s">
        <v>38</v>
      </c>
    </row>
    <row r="736" spans="1:25" x14ac:dyDescent="0.35">
      <c r="A736">
        <v>123430981</v>
      </c>
      <c r="B736" t="s">
        <v>2934</v>
      </c>
      <c r="C736" t="s">
        <v>2935</v>
      </c>
      <c r="D736" t="s">
        <v>2936</v>
      </c>
      <c r="F736" t="str">
        <f>"1728293987"</f>
        <v>1728293987</v>
      </c>
      <c r="G736" t="str">
        <f>"9781728293981"</f>
        <v>9781728293981</v>
      </c>
      <c r="H736">
        <v>0</v>
      </c>
      <c r="I736">
        <v>3.51</v>
      </c>
      <c r="J736" t="s">
        <v>435</v>
      </c>
      <c r="K736" t="s">
        <v>29</v>
      </c>
      <c r="L736">
        <v>448</v>
      </c>
      <c r="M736">
        <v>2024</v>
      </c>
      <c r="N736">
        <v>2024</v>
      </c>
      <c r="P736" s="1">
        <v>45414</v>
      </c>
      <c r="Q736" t="s">
        <v>30</v>
      </c>
      <c r="R736" t="s">
        <v>2937</v>
      </c>
      <c r="S736" t="s">
        <v>30</v>
      </c>
      <c r="W736">
        <v>0</v>
      </c>
      <c r="X736">
        <v>0</v>
      </c>
      <c r="Y736" t="s">
        <v>38</v>
      </c>
    </row>
    <row r="737" spans="1:25" x14ac:dyDescent="0.35">
      <c r="A737">
        <v>13511668</v>
      </c>
      <c r="B737" t="s">
        <v>2938</v>
      </c>
      <c r="C737" t="s">
        <v>417</v>
      </c>
      <c r="D737" t="s">
        <v>418</v>
      </c>
      <c r="F737" t="str">
        <f>"0764210181"</f>
        <v>0764210181</v>
      </c>
      <c r="G737" t="str">
        <f>"9780764210181"</f>
        <v>9780764210181</v>
      </c>
      <c r="H737">
        <v>0</v>
      </c>
      <c r="I737">
        <v>4.04</v>
      </c>
      <c r="J737" t="s">
        <v>36</v>
      </c>
      <c r="K737" t="s">
        <v>29</v>
      </c>
      <c r="L737">
        <v>320</v>
      </c>
      <c r="M737">
        <v>2012</v>
      </c>
      <c r="N737">
        <v>2012</v>
      </c>
      <c r="P737" s="1">
        <v>45414</v>
      </c>
      <c r="Q737" t="s">
        <v>30</v>
      </c>
      <c r="R737" t="s">
        <v>2939</v>
      </c>
      <c r="S737" t="s">
        <v>30</v>
      </c>
      <c r="W737">
        <v>0</v>
      </c>
      <c r="X737">
        <v>0</v>
      </c>
      <c r="Y737" t="s">
        <v>38</v>
      </c>
    </row>
    <row r="738" spans="1:25" x14ac:dyDescent="0.35">
      <c r="A738">
        <v>24856069</v>
      </c>
      <c r="B738" t="s">
        <v>2940</v>
      </c>
      <c r="C738" t="s">
        <v>2941</v>
      </c>
      <c r="D738" t="s">
        <v>2942</v>
      </c>
      <c r="F738" t="str">
        <f>"0764214322"</f>
        <v>0764214322</v>
      </c>
      <c r="G738" t="str">
        <f>"9780764214325"</f>
        <v>9780764214325</v>
      </c>
      <c r="H738">
        <v>0</v>
      </c>
      <c r="I738">
        <v>4.0999999999999996</v>
      </c>
      <c r="J738" t="s">
        <v>419</v>
      </c>
      <c r="K738" t="s">
        <v>29</v>
      </c>
      <c r="L738">
        <v>365</v>
      </c>
      <c r="M738">
        <v>2015</v>
      </c>
      <c r="N738">
        <v>2015</v>
      </c>
      <c r="P738" s="1">
        <v>45414</v>
      </c>
      <c r="Q738" t="s">
        <v>30</v>
      </c>
      <c r="R738" t="s">
        <v>2943</v>
      </c>
      <c r="S738" t="s">
        <v>30</v>
      </c>
      <c r="W738">
        <v>0</v>
      </c>
      <c r="X738">
        <v>0</v>
      </c>
      <c r="Y738" t="s">
        <v>38</v>
      </c>
    </row>
    <row r="739" spans="1:25" x14ac:dyDescent="0.35">
      <c r="A739">
        <v>30531524</v>
      </c>
      <c r="B739" t="s">
        <v>2944</v>
      </c>
      <c r="C739" t="s">
        <v>2945</v>
      </c>
      <c r="D739" t="s">
        <v>2946</v>
      </c>
      <c r="F739" t="str">
        <f>"0062385704"</f>
        <v>0062385704</v>
      </c>
      <c r="G739" t="str">
        <f>"9780062385703"</f>
        <v>9780062385703</v>
      </c>
      <c r="H739">
        <v>0</v>
      </c>
      <c r="I739">
        <v>4.38</v>
      </c>
      <c r="J739" t="s">
        <v>2947</v>
      </c>
      <c r="K739" t="s">
        <v>85</v>
      </c>
      <c r="L739">
        <v>320</v>
      </c>
      <c r="M739">
        <v>2017</v>
      </c>
      <c r="N739">
        <v>2017</v>
      </c>
      <c r="P739" s="1">
        <v>45413</v>
      </c>
      <c r="Q739" t="s">
        <v>30</v>
      </c>
      <c r="R739" t="s">
        <v>2948</v>
      </c>
      <c r="S739" t="s">
        <v>30</v>
      </c>
      <c r="W739">
        <v>0</v>
      </c>
      <c r="X739">
        <v>0</v>
      </c>
      <c r="Y739" t="s">
        <v>38</v>
      </c>
    </row>
    <row r="740" spans="1:25" x14ac:dyDescent="0.35">
      <c r="A740">
        <v>26046482</v>
      </c>
      <c r="B740" t="s">
        <v>2949</v>
      </c>
      <c r="C740" t="s">
        <v>2950</v>
      </c>
      <c r="D740" t="s">
        <v>2951</v>
      </c>
      <c r="F740" t="str">
        <f>""</f>
        <v/>
      </c>
      <c r="G740" t="str">
        <f>""</f>
        <v/>
      </c>
      <c r="H740">
        <v>0</v>
      </c>
      <c r="I740">
        <v>3.84</v>
      </c>
      <c r="J740" t="s">
        <v>2952</v>
      </c>
      <c r="K740" t="s">
        <v>48</v>
      </c>
      <c r="L740">
        <v>450</v>
      </c>
      <c r="M740">
        <v>2017</v>
      </c>
      <c r="N740">
        <v>2017</v>
      </c>
      <c r="P740" s="1">
        <v>45413</v>
      </c>
      <c r="Q740" t="s">
        <v>30</v>
      </c>
      <c r="R740" t="s">
        <v>2953</v>
      </c>
      <c r="S740" t="s">
        <v>30</v>
      </c>
      <c r="W740">
        <v>0</v>
      </c>
      <c r="X740">
        <v>0</v>
      </c>
      <c r="Y740" t="s">
        <v>38</v>
      </c>
    </row>
    <row r="741" spans="1:25" x14ac:dyDescent="0.35">
      <c r="A741">
        <v>31702735</v>
      </c>
      <c r="B741" t="s">
        <v>2954</v>
      </c>
      <c r="C741" t="s">
        <v>1477</v>
      </c>
      <c r="D741" t="s">
        <v>1478</v>
      </c>
      <c r="F741" t="str">
        <f>"0765385562"</f>
        <v>0765385562</v>
      </c>
      <c r="G741" t="str">
        <f>"9780765385567"</f>
        <v>9780765385567</v>
      </c>
      <c r="H741">
        <v>0</v>
      </c>
      <c r="I741">
        <v>4.4000000000000004</v>
      </c>
      <c r="J741" t="s">
        <v>2955</v>
      </c>
      <c r="K741" t="s">
        <v>48</v>
      </c>
      <c r="L741">
        <v>256</v>
      </c>
      <c r="M741">
        <v>2017</v>
      </c>
      <c r="N741">
        <v>2017</v>
      </c>
      <c r="P741" s="1">
        <v>45413</v>
      </c>
      <c r="Q741" t="s">
        <v>30</v>
      </c>
      <c r="R741" t="s">
        <v>2956</v>
      </c>
      <c r="S741" t="s">
        <v>30</v>
      </c>
      <c r="W741">
        <v>0</v>
      </c>
      <c r="X741">
        <v>0</v>
      </c>
      <c r="Y741" t="s">
        <v>38</v>
      </c>
    </row>
    <row r="742" spans="1:25" x14ac:dyDescent="0.35">
      <c r="A742">
        <v>33972789</v>
      </c>
      <c r="B742" t="s">
        <v>2957</v>
      </c>
      <c r="C742" t="s">
        <v>2958</v>
      </c>
      <c r="D742" t="s">
        <v>2959</v>
      </c>
      <c r="F742" t="str">
        <f>"0553538209"</f>
        <v>0553538209</v>
      </c>
      <c r="G742" t="str">
        <f>"9780553538205"</f>
        <v>9780553538205</v>
      </c>
      <c r="H742">
        <v>0</v>
      </c>
      <c r="I742">
        <v>4.03</v>
      </c>
      <c r="J742" t="s">
        <v>2687</v>
      </c>
      <c r="K742" t="s">
        <v>85</v>
      </c>
      <c r="L742">
        <v>213</v>
      </c>
      <c r="M742">
        <v>2017</v>
      </c>
      <c r="N742">
        <v>2017</v>
      </c>
      <c r="P742" s="1">
        <v>45413</v>
      </c>
      <c r="Q742" t="s">
        <v>30</v>
      </c>
      <c r="R742" t="s">
        <v>2960</v>
      </c>
      <c r="S742" t="s">
        <v>30</v>
      </c>
      <c r="W742">
        <v>0</v>
      </c>
      <c r="X742">
        <v>0</v>
      </c>
      <c r="Y742" t="s">
        <v>38</v>
      </c>
    </row>
    <row r="743" spans="1:25" x14ac:dyDescent="0.35">
      <c r="A743">
        <v>33118312</v>
      </c>
      <c r="B743" t="s">
        <v>2961</v>
      </c>
      <c r="C743" t="s">
        <v>1477</v>
      </c>
      <c r="D743" t="s">
        <v>1478</v>
      </c>
      <c r="F743" t="str">
        <f>"0545880874"</f>
        <v>0545880874</v>
      </c>
      <c r="G743" t="str">
        <f>"9780545880879"</f>
        <v>9780545880879</v>
      </c>
      <c r="H743">
        <v>0</v>
      </c>
      <c r="I743">
        <v>4.38</v>
      </c>
      <c r="J743" t="s">
        <v>2962</v>
      </c>
      <c r="K743" t="s">
        <v>85</v>
      </c>
      <c r="L743">
        <v>352</v>
      </c>
      <c r="M743">
        <v>2017</v>
      </c>
      <c r="N743">
        <v>2017</v>
      </c>
      <c r="P743" s="1">
        <v>45413</v>
      </c>
      <c r="Q743" t="s">
        <v>30</v>
      </c>
      <c r="R743" t="s">
        <v>2963</v>
      </c>
      <c r="S743" t="s">
        <v>30</v>
      </c>
      <c r="W743">
        <v>0</v>
      </c>
      <c r="X743">
        <v>0</v>
      </c>
      <c r="Y743" t="s">
        <v>38</v>
      </c>
    </row>
    <row r="744" spans="1:25" x14ac:dyDescent="0.35">
      <c r="A744">
        <v>27395333</v>
      </c>
      <c r="B744" t="s">
        <v>2964</v>
      </c>
      <c r="C744" t="s">
        <v>2594</v>
      </c>
      <c r="D744" t="s">
        <v>2595</v>
      </c>
      <c r="F744" t="str">
        <f>"1481477048"</f>
        <v>1481477048</v>
      </c>
      <c r="G744" t="str">
        <f>"9781481477048"</f>
        <v>9781481477048</v>
      </c>
      <c r="H744">
        <v>0</v>
      </c>
      <c r="I744">
        <v>3.9</v>
      </c>
      <c r="J744" t="s">
        <v>2965</v>
      </c>
      <c r="K744" t="s">
        <v>48</v>
      </c>
      <c r="L744">
        <v>304</v>
      </c>
      <c r="M744">
        <v>2017</v>
      </c>
      <c r="N744">
        <v>2017</v>
      </c>
      <c r="P744" s="1">
        <v>45413</v>
      </c>
      <c r="Q744" t="s">
        <v>30</v>
      </c>
      <c r="R744" t="s">
        <v>2966</v>
      </c>
      <c r="S744" t="s">
        <v>30</v>
      </c>
      <c r="W744">
        <v>0</v>
      </c>
      <c r="X744">
        <v>0</v>
      </c>
      <c r="Y744" t="s">
        <v>38</v>
      </c>
    </row>
    <row r="745" spans="1:25" x14ac:dyDescent="0.35">
      <c r="A745">
        <v>53034141</v>
      </c>
      <c r="B745" t="s">
        <v>2967</v>
      </c>
      <c r="C745" t="s">
        <v>2968</v>
      </c>
      <c r="D745" t="s">
        <v>2969</v>
      </c>
      <c r="E745" t="s">
        <v>2970</v>
      </c>
      <c r="F745" t="str">
        <f>"1616209763"</f>
        <v>1616209763</v>
      </c>
      <c r="G745" t="str">
        <f>"9781616209766"</f>
        <v>9781616209766</v>
      </c>
      <c r="H745">
        <v>0</v>
      </c>
      <c r="I745">
        <v>4.07</v>
      </c>
      <c r="J745" t="s">
        <v>1795</v>
      </c>
      <c r="K745" t="s">
        <v>48</v>
      </c>
      <c r="L745">
        <v>160</v>
      </c>
      <c r="M745">
        <v>2020</v>
      </c>
      <c r="N745">
        <v>2020</v>
      </c>
      <c r="P745" s="1">
        <v>45413</v>
      </c>
      <c r="Q745" t="s">
        <v>30</v>
      </c>
      <c r="R745" t="s">
        <v>2971</v>
      </c>
      <c r="S745" t="s">
        <v>30</v>
      </c>
      <c r="W745">
        <v>0</v>
      </c>
      <c r="X745">
        <v>0</v>
      </c>
      <c r="Y745" t="s">
        <v>38</v>
      </c>
    </row>
    <row r="746" spans="1:25" x14ac:dyDescent="0.35">
      <c r="A746">
        <v>42427479</v>
      </c>
      <c r="B746" t="s">
        <v>2972</v>
      </c>
      <c r="C746" t="s">
        <v>2973</v>
      </c>
      <c r="D746" t="s">
        <v>2974</v>
      </c>
      <c r="F746" t="str">
        <f>"0008229902"</f>
        <v>0008229902</v>
      </c>
      <c r="G746" t="str">
        <f>"9780008229900"</f>
        <v>9780008229900</v>
      </c>
      <c r="H746">
        <v>0</v>
      </c>
      <c r="I746">
        <v>4.1399999999999997</v>
      </c>
      <c r="J746" t="s">
        <v>2975</v>
      </c>
      <c r="K746" t="s">
        <v>48</v>
      </c>
      <c r="L746">
        <v>400</v>
      </c>
      <c r="M746">
        <v>2019</v>
      </c>
      <c r="N746">
        <v>2019</v>
      </c>
      <c r="P746" s="1">
        <v>45413</v>
      </c>
      <c r="Q746" t="s">
        <v>30</v>
      </c>
      <c r="R746" t="s">
        <v>2976</v>
      </c>
      <c r="S746" t="s">
        <v>30</v>
      </c>
      <c r="W746">
        <v>0</v>
      </c>
      <c r="X746">
        <v>0</v>
      </c>
      <c r="Y746" t="s">
        <v>38</v>
      </c>
    </row>
    <row r="747" spans="1:25" x14ac:dyDescent="0.35">
      <c r="A747">
        <v>25944803</v>
      </c>
      <c r="B747" t="s">
        <v>2977</v>
      </c>
      <c r="C747" t="s">
        <v>2978</v>
      </c>
      <c r="D747" t="s">
        <v>2979</v>
      </c>
      <c r="F747" t="str">
        <f>"1627791167"</f>
        <v>1627791167</v>
      </c>
      <c r="G747" t="str">
        <f>"9781627791168"</f>
        <v>9781627791168</v>
      </c>
      <c r="H747">
        <v>0</v>
      </c>
      <c r="I747">
        <v>4.2300000000000004</v>
      </c>
      <c r="J747" t="s">
        <v>150</v>
      </c>
      <c r="K747" t="s">
        <v>48</v>
      </c>
      <c r="L747">
        <v>353</v>
      </c>
      <c r="M747">
        <v>2017</v>
      </c>
      <c r="N747">
        <v>2017</v>
      </c>
      <c r="P747" s="1">
        <v>45413</v>
      </c>
      <c r="Q747" t="s">
        <v>30</v>
      </c>
      <c r="R747" t="s">
        <v>2980</v>
      </c>
      <c r="S747" t="s">
        <v>30</v>
      </c>
      <c r="W747">
        <v>0</v>
      </c>
      <c r="X747">
        <v>0</v>
      </c>
      <c r="Y747" t="s">
        <v>38</v>
      </c>
    </row>
    <row r="748" spans="1:25" x14ac:dyDescent="0.35">
      <c r="A748">
        <v>36294983</v>
      </c>
      <c r="B748" t="s">
        <v>2981</v>
      </c>
      <c r="C748" t="s">
        <v>2978</v>
      </c>
      <c r="D748" t="s">
        <v>2979</v>
      </c>
      <c r="E748" t="s">
        <v>2982</v>
      </c>
      <c r="F748" t="str">
        <f>"162779963X"</f>
        <v>162779963X</v>
      </c>
      <c r="G748" t="str">
        <f>"9781627799638"</f>
        <v>9781627799638</v>
      </c>
      <c r="H748">
        <v>0</v>
      </c>
      <c r="I748">
        <v>4.29</v>
      </c>
      <c r="J748" t="s">
        <v>2983</v>
      </c>
      <c r="K748" t="s">
        <v>48</v>
      </c>
      <c r="L748">
        <v>264</v>
      </c>
      <c r="M748">
        <v>2018</v>
      </c>
      <c r="N748">
        <v>2018</v>
      </c>
      <c r="P748" s="1">
        <v>45413</v>
      </c>
      <c r="Q748" t="s">
        <v>30</v>
      </c>
      <c r="R748" t="s">
        <v>2984</v>
      </c>
      <c r="S748" t="s">
        <v>30</v>
      </c>
      <c r="W748">
        <v>0</v>
      </c>
      <c r="X748">
        <v>0</v>
      </c>
      <c r="Y748" t="s">
        <v>38</v>
      </c>
    </row>
    <row r="749" spans="1:25" x14ac:dyDescent="0.35">
      <c r="A749">
        <v>189187484</v>
      </c>
      <c r="B749" t="s">
        <v>2985</v>
      </c>
      <c r="C749" t="s">
        <v>2986</v>
      </c>
      <c r="D749" t="s">
        <v>2987</v>
      </c>
      <c r="F749" t="str">
        <f>"1649033648"</f>
        <v>1649033648</v>
      </c>
      <c r="G749" t="str">
        <f>"9781649033642"</f>
        <v>9781649033642</v>
      </c>
      <c r="H749">
        <v>0</v>
      </c>
      <c r="I749">
        <v>3.84</v>
      </c>
      <c r="J749" t="s">
        <v>2988</v>
      </c>
      <c r="K749" t="s">
        <v>48</v>
      </c>
      <c r="L749">
        <v>274</v>
      </c>
      <c r="M749">
        <v>2024</v>
      </c>
      <c r="N749">
        <v>2024</v>
      </c>
      <c r="P749" s="1">
        <v>45413</v>
      </c>
      <c r="Q749" t="s">
        <v>30</v>
      </c>
      <c r="R749" t="s">
        <v>2989</v>
      </c>
      <c r="S749" t="s">
        <v>30</v>
      </c>
      <c r="W749">
        <v>0</v>
      </c>
      <c r="X749">
        <v>0</v>
      </c>
      <c r="Y749" t="s">
        <v>38</v>
      </c>
    </row>
    <row r="750" spans="1:25" x14ac:dyDescent="0.35">
      <c r="A750">
        <v>176443920</v>
      </c>
      <c r="B750" t="s">
        <v>2990</v>
      </c>
      <c r="C750" t="s">
        <v>2991</v>
      </c>
      <c r="D750" t="s">
        <v>2992</v>
      </c>
      <c r="F750" t="str">
        <f>"1982178493"</f>
        <v>1982178493</v>
      </c>
      <c r="G750" t="str">
        <f>"9781982178499"</f>
        <v>9781982178499</v>
      </c>
      <c r="H750">
        <v>0</v>
      </c>
      <c r="I750">
        <v>3.77</v>
      </c>
      <c r="J750" t="s">
        <v>2993</v>
      </c>
      <c r="K750" t="s">
        <v>48</v>
      </c>
      <c r="L750">
        <v>416</v>
      </c>
      <c r="M750">
        <v>2024</v>
      </c>
      <c r="N750">
        <v>2024</v>
      </c>
      <c r="P750" s="1">
        <v>45413</v>
      </c>
      <c r="Q750" t="s">
        <v>30</v>
      </c>
      <c r="R750" t="s">
        <v>2994</v>
      </c>
      <c r="S750" t="s">
        <v>30</v>
      </c>
      <c r="W750">
        <v>0</v>
      </c>
      <c r="X750">
        <v>0</v>
      </c>
      <c r="Y750" t="s">
        <v>311</v>
      </c>
    </row>
    <row r="751" spans="1:25" x14ac:dyDescent="0.35">
      <c r="A751">
        <v>39020</v>
      </c>
      <c r="B751" t="s">
        <v>2995</v>
      </c>
      <c r="C751" t="s">
        <v>2996</v>
      </c>
      <c r="D751" t="s">
        <v>2997</v>
      </c>
      <c r="F751" t="str">
        <f>"1400032059"</f>
        <v>1400032059</v>
      </c>
      <c r="G751" t="str">
        <f>"9781400032051"</f>
        <v>9781400032051</v>
      </c>
      <c r="H751">
        <v>0</v>
      </c>
      <c r="I751">
        <v>4.05</v>
      </c>
      <c r="J751" t="s">
        <v>1379</v>
      </c>
      <c r="K751" t="s">
        <v>29</v>
      </c>
      <c r="L751">
        <v>563</v>
      </c>
      <c r="M751">
        <v>2011</v>
      </c>
      <c r="N751">
        <v>2005</v>
      </c>
      <c r="P751" s="1">
        <v>45413</v>
      </c>
      <c r="Q751" t="s">
        <v>30</v>
      </c>
      <c r="R751" t="s">
        <v>2998</v>
      </c>
      <c r="S751" t="s">
        <v>30</v>
      </c>
      <c r="W751">
        <v>0</v>
      </c>
      <c r="X751">
        <v>0</v>
      </c>
      <c r="Y751" t="s">
        <v>38</v>
      </c>
    </row>
    <row r="752" spans="1:25" x14ac:dyDescent="0.35">
      <c r="A752">
        <v>12176421</v>
      </c>
      <c r="B752" t="s">
        <v>2999</v>
      </c>
      <c r="C752" t="s">
        <v>2807</v>
      </c>
      <c r="D752" t="s">
        <v>2808</v>
      </c>
      <c r="F752" t="str">
        <f>"1451629168"</f>
        <v>1451629168</v>
      </c>
      <c r="G752" t="str">
        <f>"9781451629163"</f>
        <v>9781451629163</v>
      </c>
      <c r="H752">
        <v>0</v>
      </c>
      <c r="I752">
        <v>3.93</v>
      </c>
      <c r="J752" t="s">
        <v>496</v>
      </c>
      <c r="K752" t="s">
        <v>85</v>
      </c>
      <c r="L752">
        <v>251</v>
      </c>
      <c r="M752">
        <v>2011</v>
      </c>
      <c r="N752">
        <v>2011</v>
      </c>
      <c r="P752" s="1">
        <v>45411</v>
      </c>
      <c r="Q752" t="s">
        <v>30</v>
      </c>
      <c r="R752" t="s">
        <v>3000</v>
      </c>
      <c r="S752" t="s">
        <v>30</v>
      </c>
      <c r="W752">
        <v>1</v>
      </c>
      <c r="X752">
        <v>0</v>
      </c>
      <c r="Y752" t="s">
        <v>444</v>
      </c>
    </row>
    <row r="753" spans="1:25" x14ac:dyDescent="0.35">
      <c r="A753">
        <v>55539565</v>
      </c>
      <c r="B753" t="s">
        <v>3001</v>
      </c>
      <c r="C753" t="s">
        <v>3002</v>
      </c>
      <c r="D753" t="s">
        <v>3003</v>
      </c>
      <c r="F753" t="str">
        <f>"1984878107"</f>
        <v>1984878107</v>
      </c>
      <c r="G753" t="str">
        <f>"9781984878106"</f>
        <v>9781984878106</v>
      </c>
      <c r="H753">
        <v>0</v>
      </c>
      <c r="I753">
        <v>4.1399999999999997</v>
      </c>
      <c r="J753" t="s">
        <v>3004</v>
      </c>
      <c r="K753" t="s">
        <v>48</v>
      </c>
      <c r="L753">
        <v>307</v>
      </c>
      <c r="M753">
        <v>2021</v>
      </c>
      <c r="N753">
        <v>2021</v>
      </c>
      <c r="P753" s="1">
        <v>45410</v>
      </c>
      <c r="Q753" t="s">
        <v>30</v>
      </c>
      <c r="R753" t="s">
        <v>3005</v>
      </c>
      <c r="S753" t="s">
        <v>30</v>
      </c>
      <c r="W753">
        <v>0</v>
      </c>
      <c r="X753">
        <v>0</v>
      </c>
      <c r="Y753" t="s">
        <v>38</v>
      </c>
    </row>
    <row r="754" spans="1:25" x14ac:dyDescent="0.35">
      <c r="A754">
        <v>62695377</v>
      </c>
      <c r="B754" t="s">
        <v>3006</v>
      </c>
      <c r="C754" t="s">
        <v>3007</v>
      </c>
      <c r="D754" t="s">
        <v>3008</v>
      </c>
      <c r="F754" t="str">
        <f>"0593528719"</f>
        <v>0593528719</v>
      </c>
      <c r="G754" t="str">
        <f>"9780593528716"</f>
        <v>9780593528716</v>
      </c>
      <c r="H754">
        <v>0</v>
      </c>
      <c r="I754">
        <v>3.91</v>
      </c>
      <c r="J754" t="s">
        <v>3009</v>
      </c>
      <c r="K754" t="s">
        <v>48</v>
      </c>
      <c r="L754">
        <v>352</v>
      </c>
      <c r="M754">
        <v>2023</v>
      </c>
      <c r="N754">
        <v>2023</v>
      </c>
      <c r="P754" s="1">
        <v>45410</v>
      </c>
      <c r="Q754" t="s">
        <v>30</v>
      </c>
      <c r="R754" t="s">
        <v>3010</v>
      </c>
      <c r="S754" t="s">
        <v>30</v>
      </c>
      <c r="W754">
        <v>0</v>
      </c>
      <c r="X754">
        <v>0</v>
      </c>
      <c r="Y754" t="s">
        <v>38</v>
      </c>
    </row>
    <row r="755" spans="1:25" x14ac:dyDescent="0.35">
      <c r="A755">
        <v>171833509</v>
      </c>
      <c r="B755" t="s">
        <v>3011</v>
      </c>
      <c r="C755" t="s">
        <v>3012</v>
      </c>
      <c r="D755" t="s">
        <v>3013</v>
      </c>
      <c r="F755" t="str">
        <f>"1496745078"</f>
        <v>1496745078</v>
      </c>
      <c r="G755" t="str">
        <f>"9781496745071"</f>
        <v>9781496745071</v>
      </c>
      <c r="H755">
        <v>0</v>
      </c>
      <c r="I755">
        <v>3.62</v>
      </c>
      <c r="J755" t="s">
        <v>3014</v>
      </c>
      <c r="K755" t="s">
        <v>29</v>
      </c>
      <c r="L755">
        <v>320</v>
      </c>
      <c r="M755">
        <v>2024</v>
      </c>
      <c r="N755">
        <v>2024</v>
      </c>
      <c r="P755" s="1">
        <v>45410</v>
      </c>
      <c r="Q755" t="s">
        <v>30</v>
      </c>
      <c r="R755" t="s">
        <v>3015</v>
      </c>
      <c r="S755" t="s">
        <v>30</v>
      </c>
      <c r="W755">
        <v>0</v>
      </c>
      <c r="X755">
        <v>0</v>
      </c>
      <c r="Y755" t="s">
        <v>38</v>
      </c>
    </row>
    <row r="756" spans="1:25" x14ac:dyDescent="0.35">
      <c r="A756">
        <v>31226744</v>
      </c>
      <c r="B756" t="s">
        <v>3016</v>
      </c>
      <c r="C756" t="s">
        <v>3017</v>
      </c>
      <c r="D756" t="s">
        <v>3018</v>
      </c>
      <c r="F756" t="str">
        <f>"0553536060"</f>
        <v>0553536060</v>
      </c>
      <c r="G756" t="str">
        <f>"9780553536065"</f>
        <v>9780553536065</v>
      </c>
      <c r="H756">
        <v>0</v>
      </c>
      <c r="I756">
        <v>4.21</v>
      </c>
      <c r="J756" t="s">
        <v>2687</v>
      </c>
      <c r="K756" t="s">
        <v>48</v>
      </c>
      <c r="L756">
        <v>288</v>
      </c>
      <c r="M756">
        <v>2017</v>
      </c>
      <c r="N756">
        <v>2017</v>
      </c>
      <c r="P756" s="1">
        <v>45410</v>
      </c>
      <c r="Q756" t="s">
        <v>30</v>
      </c>
      <c r="R756" t="s">
        <v>3019</v>
      </c>
      <c r="S756" t="s">
        <v>30</v>
      </c>
      <c r="W756">
        <v>0</v>
      </c>
      <c r="X756">
        <v>0</v>
      </c>
      <c r="Y756" t="s">
        <v>38</v>
      </c>
    </row>
    <row r="757" spans="1:25" x14ac:dyDescent="0.35">
      <c r="A757">
        <v>57334447</v>
      </c>
      <c r="B757" t="s">
        <v>3020</v>
      </c>
      <c r="C757" t="s">
        <v>3021</v>
      </c>
      <c r="D757" t="s">
        <v>3022</v>
      </c>
      <c r="F757" t="str">
        <f>""</f>
        <v/>
      </c>
      <c r="G757" t="str">
        <f>"9780593200667"</f>
        <v>9780593200667</v>
      </c>
      <c r="H757">
        <v>0</v>
      </c>
      <c r="I757">
        <v>3.62</v>
      </c>
      <c r="J757" t="s">
        <v>3023</v>
      </c>
      <c r="K757" t="s">
        <v>29</v>
      </c>
      <c r="L757">
        <v>322</v>
      </c>
      <c r="M757">
        <v>2023</v>
      </c>
      <c r="N757">
        <v>2023</v>
      </c>
      <c r="P757" s="1">
        <v>45410</v>
      </c>
      <c r="Q757" t="s">
        <v>30</v>
      </c>
      <c r="R757" t="s">
        <v>3024</v>
      </c>
      <c r="S757" t="s">
        <v>30</v>
      </c>
      <c r="W757">
        <v>0</v>
      </c>
      <c r="X757">
        <v>0</v>
      </c>
      <c r="Y757" t="s">
        <v>38</v>
      </c>
    </row>
    <row r="758" spans="1:25" x14ac:dyDescent="0.35">
      <c r="A758">
        <v>63018956</v>
      </c>
      <c r="B758" t="s">
        <v>3025</v>
      </c>
      <c r="C758" t="s">
        <v>3026</v>
      </c>
      <c r="D758" t="s">
        <v>3027</v>
      </c>
      <c r="F758" t="str">
        <f>"0593492005"</f>
        <v>0593492005</v>
      </c>
      <c r="G758" t="str">
        <f>"9780593492000"</f>
        <v>9780593492000</v>
      </c>
      <c r="H758">
        <v>0</v>
      </c>
      <c r="I758">
        <v>3.81</v>
      </c>
      <c r="J758" t="s">
        <v>274</v>
      </c>
      <c r="K758" t="s">
        <v>29</v>
      </c>
      <c r="L758">
        <v>359</v>
      </c>
      <c r="M758">
        <v>2023</v>
      </c>
      <c r="N758">
        <v>2023</v>
      </c>
      <c r="P758" s="1">
        <v>45410</v>
      </c>
      <c r="Q758" t="s">
        <v>30</v>
      </c>
      <c r="R758" t="s">
        <v>3028</v>
      </c>
      <c r="S758" t="s">
        <v>30</v>
      </c>
      <c r="W758">
        <v>0</v>
      </c>
      <c r="X758">
        <v>0</v>
      </c>
      <c r="Y758" t="s">
        <v>444</v>
      </c>
    </row>
    <row r="759" spans="1:25" x14ac:dyDescent="0.35">
      <c r="A759">
        <v>60568492</v>
      </c>
      <c r="B759" t="s">
        <v>3029</v>
      </c>
      <c r="C759" t="s">
        <v>439</v>
      </c>
      <c r="D759" t="s">
        <v>440</v>
      </c>
      <c r="F759" t="str">
        <f>"1538725576"</f>
        <v>1538725576</v>
      </c>
      <c r="G759" t="str">
        <f>"9781538725573"</f>
        <v>9781538725573</v>
      </c>
      <c r="H759">
        <v>0</v>
      </c>
      <c r="I759">
        <v>3.8</v>
      </c>
      <c r="J759" t="s">
        <v>441</v>
      </c>
      <c r="K759" t="s">
        <v>29</v>
      </c>
      <c r="L759">
        <v>352</v>
      </c>
      <c r="M759">
        <v>2023</v>
      </c>
      <c r="N759">
        <v>2023</v>
      </c>
      <c r="P759" s="1">
        <v>45410</v>
      </c>
      <c r="Q759" t="s">
        <v>30</v>
      </c>
      <c r="R759" t="s">
        <v>3030</v>
      </c>
      <c r="S759" t="s">
        <v>30</v>
      </c>
      <c r="W759">
        <v>0</v>
      </c>
      <c r="X759">
        <v>0</v>
      </c>
      <c r="Y759" t="s">
        <v>444</v>
      </c>
    </row>
    <row r="760" spans="1:25" x14ac:dyDescent="0.35">
      <c r="A760">
        <v>35133922</v>
      </c>
      <c r="B760" t="s">
        <v>3031</v>
      </c>
      <c r="C760" t="s">
        <v>3032</v>
      </c>
      <c r="D760" t="s">
        <v>3033</v>
      </c>
      <c r="F760" t="str">
        <f>"0399590501"</f>
        <v>0399590501</v>
      </c>
      <c r="G760" t="str">
        <f>"9780399590504"</f>
        <v>9780399590504</v>
      </c>
      <c r="H760">
        <v>0</v>
      </c>
      <c r="I760">
        <v>4.47</v>
      </c>
      <c r="J760" t="s">
        <v>974</v>
      </c>
      <c r="K760" t="s">
        <v>48</v>
      </c>
      <c r="L760">
        <v>352</v>
      </c>
      <c r="M760">
        <v>2018</v>
      </c>
      <c r="N760">
        <v>2018</v>
      </c>
      <c r="P760" s="1">
        <v>45409</v>
      </c>
      <c r="Q760" t="s">
        <v>30</v>
      </c>
      <c r="R760" t="s">
        <v>3034</v>
      </c>
      <c r="S760" t="s">
        <v>30</v>
      </c>
      <c r="W760">
        <v>0</v>
      </c>
      <c r="X760">
        <v>0</v>
      </c>
      <c r="Y760" t="s">
        <v>38</v>
      </c>
    </row>
    <row r="761" spans="1:25" x14ac:dyDescent="0.35">
      <c r="A761">
        <v>195820869</v>
      </c>
      <c r="B761" t="s">
        <v>3035</v>
      </c>
      <c r="C761" t="s">
        <v>2288</v>
      </c>
      <c r="D761" t="s">
        <v>2289</v>
      </c>
      <c r="F761" t="str">
        <f>"153875701X"</f>
        <v>153875701X</v>
      </c>
      <c r="G761" t="str">
        <f>"9781538757017"</f>
        <v>9781538757017</v>
      </c>
      <c r="H761">
        <v>0</v>
      </c>
      <c r="I761">
        <v>4.28</v>
      </c>
      <c r="J761" t="s">
        <v>441</v>
      </c>
      <c r="K761" t="s">
        <v>29</v>
      </c>
      <c r="L761">
        <v>512</v>
      </c>
      <c r="M761">
        <v>2024</v>
      </c>
      <c r="N761">
        <v>2024</v>
      </c>
      <c r="P761" s="1">
        <v>45408</v>
      </c>
      <c r="Q761" t="s">
        <v>30</v>
      </c>
      <c r="R761" t="s">
        <v>3036</v>
      </c>
      <c r="S761" t="s">
        <v>30</v>
      </c>
      <c r="W761">
        <v>0</v>
      </c>
      <c r="X761">
        <v>0</v>
      </c>
      <c r="Y761" t="s">
        <v>32</v>
      </c>
    </row>
    <row r="762" spans="1:25" x14ac:dyDescent="0.35">
      <c r="A762">
        <v>62645211</v>
      </c>
      <c r="B762" t="s">
        <v>3037</v>
      </c>
      <c r="C762" t="s">
        <v>3038</v>
      </c>
      <c r="D762" t="s">
        <v>3039</v>
      </c>
      <c r="F762" t="str">
        <f>"0063281090"</f>
        <v>0063281090</v>
      </c>
      <c r="G762" t="str">
        <f>"9780063281097"</f>
        <v>9780063281097</v>
      </c>
      <c r="H762">
        <v>0</v>
      </c>
      <c r="I762">
        <v>4.04</v>
      </c>
      <c r="J762" t="s">
        <v>703</v>
      </c>
      <c r="K762" t="s">
        <v>48</v>
      </c>
      <c r="L762">
        <v>304</v>
      </c>
      <c r="M762">
        <v>2023</v>
      </c>
      <c r="N762">
        <v>2023</v>
      </c>
      <c r="P762" s="1">
        <v>45408</v>
      </c>
      <c r="Q762" t="s">
        <v>30</v>
      </c>
      <c r="R762" t="s">
        <v>3040</v>
      </c>
      <c r="S762" t="s">
        <v>30</v>
      </c>
      <c r="W762">
        <v>0</v>
      </c>
      <c r="X762">
        <v>0</v>
      </c>
      <c r="Y762" t="s">
        <v>38</v>
      </c>
    </row>
    <row r="763" spans="1:25" x14ac:dyDescent="0.35">
      <c r="A763">
        <v>61124638</v>
      </c>
      <c r="B763" t="s">
        <v>3041</v>
      </c>
      <c r="C763" t="s">
        <v>3042</v>
      </c>
      <c r="D763" t="s">
        <v>3043</v>
      </c>
      <c r="F763" t="str">
        <f>""</f>
        <v/>
      </c>
      <c r="G763" t="str">
        <f>""</f>
        <v/>
      </c>
      <c r="H763">
        <v>0</v>
      </c>
      <c r="I763">
        <v>4.1500000000000004</v>
      </c>
      <c r="J763" t="s">
        <v>3044</v>
      </c>
      <c r="K763" t="s">
        <v>48</v>
      </c>
      <c r="L763">
        <v>241</v>
      </c>
      <c r="M763">
        <v>2022</v>
      </c>
      <c r="N763">
        <v>2022</v>
      </c>
      <c r="P763" s="1">
        <v>45408</v>
      </c>
      <c r="Q763" t="s">
        <v>30</v>
      </c>
      <c r="R763" t="s">
        <v>3045</v>
      </c>
      <c r="S763" t="s">
        <v>30</v>
      </c>
      <c r="W763">
        <v>0</v>
      </c>
      <c r="X763">
        <v>0</v>
      </c>
      <c r="Y763" t="s">
        <v>32</v>
      </c>
    </row>
    <row r="764" spans="1:25" x14ac:dyDescent="0.35">
      <c r="A764">
        <v>17343</v>
      </c>
      <c r="B764" t="s">
        <v>3046</v>
      </c>
      <c r="C764" t="s">
        <v>1344</v>
      </c>
      <c r="D764" t="s">
        <v>1345</v>
      </c>
      <c r="F764" t="str">
        <f>""</f>
        <v/>
      </c>
      <c r="G764" t="str">
        <f>""</f>
        <v/>
      </c>
      <c r="H764">
        <v>0</v>
      </c>
      <c r="I764">
        <v>4.1900000000000004</v>
      </c>
      <c r="J764" t="s">
        <v>3047</v>
      </c>
      <c r="K764" t="s">
        <v>29</v>
      </c>
      <c r="L764">
        <v>313</v>
      </c>
      <c r="M764">
        <v>2006</v>
      </c>
      <c r="N764">
        <v>1956</v>
      </c>
      <c r="P764" s="1">
        <v>45406</v>
      </c>
      <c r="Q764" t="s">
        <v>30</v>
      </c>
      <c r="R764" t="s">
        <v>3048</v>
      </c>
      <c r="S764" t="s">
        <v>30</v>
      </c>
      <c r="W764">
        <v>0</v>
      </c>
      <c r="X764">
        <v>0</v>
      </c>
      <c r="Y764" t="s">
        <v>38</v>
      </c>
    </row>
    <row r="765" spans="1:25" x14ac:dyDescent="0.35">
      <c r="A765">
        <v>60580871</v>
      </c>
      <c r="B765" t="s">
        <v>3049</v>
      </c>
      <c r="C765" t="s">
        <v>3050</v>
      </c>
      <c r="D765" t="s">
        <v>3051</v>
      </c>
      <c r="F765" t="str">
        <f>"0008535329"</f>
        <v>0008535329</v>
      </c>
      <c r="G765" t="str">
        <f>"9780008535322"</f>
        <v>9780008535322</v>
      </c>
      <c r="H765">
        <v>0</v>
      </c>
      <c r="I765">
        <v>3.87</v>
      </c>
      <c r="J765" t="s">
        <v>3052</v>
      </c>
      <c r="K765" t="s">
        <v>85</v>
      </c>
      <c r="L765">
        <v>385</v>
      </c>
      <c r="M765">
        <v>2022</v>
      </c>
      <c r="P765" s="1">
        <v>45406</v>
      </c>
      <c r="Q765" t="s">
        <v>30</v>
      </c>
      <c r="R765" t="s">
        <v>3053</v>
      </c>
      <c r="S765" t="s">
        <v>30</v>
      </c>
      <c r="W765">
        <v>0</v>
      </c>
      <c r="X765">
        <v>0</v>
      </c>
      <c r="Y765" t="s">
        <v>38</v>
      </c>
    </row>
    <row r="766" spans="1:25" x14ac:dyDescent="0.35">
      <c r="A766">
        <v>58408698</v>
      </c>
      <c r="B766" t="s">
        <v>3054</v>
      </c>
      <c r="C766" t="s">
        <v>3055</v>
      </c>
      <c r="D766" t="s">
        <v>3056</v>
      </c>
      <c r="F766" t="str">
        <f>"1643529528"</f>
        <v>1643529528</v>
      </c>
      <c r="G766" t="str">
        <f>"9781643529523"</f>
        <v>9781643529523</v>
      </c>
      <c r="H766">
        <v>0</v>
      </c>
      <c r="I766">
        <v>4.09</v>
      </c>
      <c r="J766" t="s">
        <v>3057</v>
      </c>
      <c r="K766" t="s">
        <v>85</v>
      </c>
      <c r="L766">
        <v>256</v>
      </c>
      <c r="M766">
        <v>2021</v>
      </c>
      <c r="N766">
        <v>2021</v>
      </c>
      <c r="P766" s="1">
        <v>45406</v>
      </c>
      <c r="Q766" t="s">
        <v>30</v>
      </c>
      <c r="R766" t="s">
        <v>3058</v>
      </c>
      <c r="S766" t="s">
        <v>30</v>
      </c>
      <c r="W766">
        <v>0</v>
      </c>
      <c r="X766">
        <v>0</v>
      </c>
      <c r="Y766" t="s">
        <v>32</v>
      </c>
    </row>
    <row r="767" spans="1:25" x14ac:dyDescent="0.35">
      <c r="A767">
        <v>89573809</v>
      </c>
      <c r="B767" t="s">
        <v>3059</v>
      </c>
      <c r="C767" t="s">
        <v>417</v>
      </c>
      <c r="D767" t="s">
        <v>418</v>
      </c>
      <c r="F767" t="str">
        <f>"0764240218"</f>
        <v>0764240218</v>
      </c>
      <c r="G767" t="str">
        <f>"9780764240218"</f>
        <v>9780764240218</v>
      </c>
      <c r="H767">
        <v>0</v>
      </c>
      <c r="I767">
        <v>4.16</v>
      </c>
      <c r="J767" t="s">
        <v>36</v>
      </c>
      <c r="K767" t="s">
        <v>29</v>
      </c>
      <c r="L767">
        <v>361</v>
      </c>
      <c r="M767">
        <v>2023</v>
      </c>
      <c r="N767">
        <v>2023</v>
      </c>
      <c r="P767" s="1">
        <v>45406</v>
      </c>
      <c r="Q767" t="s">
        <v>30</v>
      </c>
      <c r="R767" t="s">
        <v>3060</v>
      </c>
      <c r="S767" t="s">
        <v>30</v>
      </c>
      <c r="W767">
        <v>0</v>
      </c>
      <c r="X767">
        <v>0</v>
      </c>
      <c r="Y767" t="s">
        <v>38</v>
      </c>
    </row>
    <row r="768" spans="1:25" x14ac:dyDescent="0.35">
      <c r="A768">
        <v>7826101</v>
      </c>
      <c r="B768" t="s">
        <v>3061</v>
      </c>
      <c r="C768" t="s">
        <v>1417</v>
      </c>
      <c r="D768" t="s">
        <v>1418</v>
      </c>
      <c r="F768" t="str">
        <f>"0310721431"</f>
        <v>0310721431</v>
      </c>
      <c r="G768" t="str">
        <f>"9780310721437"</f>
        <v>9780310721437</v>
      </c>
      <c r="H768">
        <v>0</v>
      </c>
      <c r="I768">
        <v>3.83</v>
      </c>
      <c r="J768" t="s">
        <v>2740</v>
      </c>
      <c r="K768" t="s">
        <v>29</v>
      </c>
      <c r="L768">
        <v>272</v>
      </c>
      <c r="M768">
        <v>2010</v>
      </c>
      <c r="N768">
        <v>2010</v>
      </c>
      <c r="P768" s="1">
        <v>45406</v>
      </c>
      <c r="Q768" t="s">
        <v>30</v>
      </c>
      <c r="R768" t="s">
        <v>3062</v>
      </c>
      <c r="S768" t="s">
        <v>30</v>
      </c>
      <c r="W768">
        <v>0</v>
      </c>
      <c r="X768">
        <v>0</v>
      </c>
      <c r="Y768" t="s">
        <v>38</v>
      </c>
    </row>
    <row r="769" spans="1:25" x14ac:dyDescent="0.35">
      <c r="A769">
        <v>43838029</v>
      </c>
      <c r="B769" t="s">
        <v>3063</v>
      </c>
      <c r="C769" t="s">
        <v>417</v>
      </c>
      <c r="D769" t="s">
        <v>418</v>
      </c>
      <c r="F769" t="str">
        <f>"0764231685"</f>
        <v>0764231685</v>
      </c>
      <c r="G769" t="str">
        <f>"9780764231681"</f>
        <v>9780764231681</v>
      </c>
      <c r="H769">
        <v>0</v>
      </c>
      <c r="I769">
        <v>4.28</v>
      </c>
      <c r="J769" t="s">
        <v>36</v>
      </c>
      <c r="K769" t="s">
        <v>29</v>
      </c>
      <c r="L769">
        <v>349</v>
      </c>
      <c r="M769">
        <v>2019</v>
      </c>
      <c r="N769">
        <v>2019</v>
      </c>
      <c r="P769" s="1">
        <v>45406</v>
      </c>
      <c r="Q769" t="s">
        <v>30</v>
      </c>
      <c r="R769" t="s">
        <v>3064</v>
      </c>
      <c r="S769" t="s">
        <v>30</v>
      </c>
      <c r="W769">
        <v>0</v>
      </c>
      <c r="X769">
        <v>0</v>
      </c>
      <c r="Y769" t="s">
        <v>38</v>
      </c>
    </row>
    <row r="770" spans="1:25" x14ac:dyDescent="0.35">
      <c r="A770">
        <v>53145986</v>
      </c>
      <c r="B770" t="s">
        <v>3065</v>
      </c>
      <c r="C770" t="s">
        <v>417</v>
      </c>
      <c r="D770" t="s">
        <v>418</v>
      </c>
      <c r="F770" t="str">
        <f>"0764231693"</f>
        <v>0764231693</v>
      </c>
      <c r="G770" t="str">
        <f>"9780764231698"</f>
        <v>9780764231698</v>
      </c>
      <c r="H770">
        <v>0</v>
      </c>
      <c r="I770">
        <v>4.3099999999999996</v>
      </c>
      <c r="J770" t="s">
        <v>419</v>
      </c>
      <c r="K770" t="s">
        <v>29</v>
      </c>
      <c r="L770">
        <v>359</v>
      </c>
      <c r="M770">
        <v>2020</v>
      </c>
      <c r="N770">
        <v>2020</v>
      </c>
      <c r="P770" s="1">
        <v>45406</v>
      </c>
      <c r="Q770" t="s">
        <v>30</v>
      </c>
      <c r="R770" t="s">
        <v>3066</v>
      </c>
      <c r="S770" t="s">
        <v>30</v>
      </c>
      <c r="W770">
        <v>0</v>
      </c>
      <c r="X770">
        <v>0</v>
      </c>
      <c r="Y770" t="s">
        <v>38</v>
      </c>
    </row>
    <row r="771" spans="1:25" x14ac:dyDescent="0.35">
      <c r="A771">
        <v>57565808</v>
      </c>
      <c r="B771" t="s">
        <v>3067</v>
      </c>
      <c r="C771" t="s">
        <v>3068</v>
      </c>
      <c r="D771" t="s">
        <v>3069</v>
      </c>
      <c r="F771" t="str">
        <f>"0593496876"</f>
        <v>0593496876</v>
      </c>
      <c r="G771" t="str">
        <f>"9780593496879"</f>
        <v>9780593496879</v>
      </c>
      <c r="H771">
        <v>0</v>
      </c>
      <c r="I771">
        <v>3.74</v>
      </c>
      <c r="J771" t="s">
        <v>1039</v>
      </c>
      <c r="K771" t="s">
        <v>29</v>
      </c>
      <c r="L771">
        <v>416</v>
      </c>
      <c r="M771">
        <v>2021</v>
      </c>
      <c r="N771">
        <v>2021</v>
      </c>
      <c r="P771" s="1">
        <v>45406</v>
      </c>
      <c r="Q771" t="s">
        <v>30</v>
      </c>
      <c r="R771" t="s">
        <v>3070</v>
      </c>
      <c r="S771" t="s">
        <v>30</v>
      </c>
      <c r="W771">
        <v>0</v>
      </c>
      <c r="X771">
        <v>0</v>
      </c>
      <c r="Y771" t="s">
        <v>38</v>
      </c>
    </row>
    <row r="772" spans="1:25" x14ac:dyDescent="0.35">
      <c r="A772">
        <v>10950924</v>
      </c>
      <c r="B772" t="s">
        <v>3071</v>
      </c>
      <c r="C772" t="s">
        <v>494</v>
      </c>
      <c r="D772" t="s">
        <v>495</v>
      </c>
      <c r="F772" t="str">
        <f>"145161747X"</f>
        <v>145161747X</v>
      </c>
      <c r="G772" t="str">
        <f>"9781451617474"</f>
        <v>9781451617474</v>
      </c>
      <c r="H772">
        <v>0</v>
      </c>
      <c r="I772">
        <v>4.0599999999999996</v>
      </c>
      <c r="J772" t="s">
        <v>3072</v>
      </c>
      <c r="K772" t="s">
        <v>48</v>
      </c>
      <c r="L772">
        <v>504</v>
      </c>
      <c r="M772">
        <v>2011</v>
      </c>
      <c r="N772">
        <v>2011</v>
      </c>
      <c r="P772" s="1">
        <v>45406</v>
      </c>
      <c r="Q772" t="s">
        <v>30</v>
      </c>
      <c r="R772" t="s">
        <v>3073</v>
      </c>
      <c r="S772" t="s">
        <v>30</v>
      </c>
      <c r="W772">
        <v>0</v>
      </c>
      <c r="X772">
        <v>0</v>
      </c>
      <c r="Y772" t="s">
        <v>38</v>
      </c>
    </row>
    <row r="773" spans="1:25" x14ac:dyDescent="0.35">
      <c r="A773">
        <v>824965</v>
      </c>
      <c r="B773" t="s">
        <v>3074</v>
      </c>
      <c r="C773" t="s">
        <v>3075</v>
      </c>
      <c r="D773" t="s">
        <v>3076</v>
      </c>
      <c r="F773" t="str">
        <f>"0393314812"</f>
        <v>0393314812</v>
      </c>
      <c r="G773" t="str">
        <f>"9780393314816"</f>
        <v>9780393314816</v>
      </c>
      <c r="H773">
        <v>0</v>
      </c>
      <c r="I773">
        <v>4.18</v>
      </c>
      <c r="J773" t="s">
        <v>3077</v>
      </c>
      <c r="K773" t="s">
        <v>29</v>
      </c>
      <c r="L773">
        <v>256</v>
      </c>
      <c r="M773">
        <v>1999</v>
      </c>
      <c r="N773">
        <v>1985</v>
      </c>
      <c r="P773" s="1">
        <v>45406</v>
      </c>
      <c r="Q773" t="s">
        <v>30</v>
      </c>
      <c r="R773" t="s">
        <v>3078</v>
      </c>
      <c r="S773" t="s">
        <v>30</v>
      </c>
      <c r="W773">
        <v>0</v>
      </c>
      <c r="X773">
        <v>0</v>
      </c>
      <c r="Y773" t="s">
        <v>38</v>
      </c>
    </row>
    <row r="774" spans="1:25" x14ac:dyDescent="0.35">
      <c r="A774">
        <v>54304031</v>
      </c>
      <c r="B774" t="s">
        <v>3079</v>
      </c>
      <c r="C774" t="s">
        <v>3080</v>
      </c>
      <c r="D774" t="s">
        <v>3081</v>
      </c>
      <c r="F774" t="str">
        <f>"1982149108"</f>
        <v>1982149108</v>
      </c>
      <c r="G774" t="str">
        <f>"9781982149109"</f>
        <v>9781982149109</v>
      </c>
      <c r="H774">
        <v>0</v>
      </c>
      <c r="I774">
        <v>4.43</v>
      </c>
      <c r="J774" t="s">
        <v>3082</v>
      </c>
      <c r="K774" t="s">
        <v>48</v>
      </c>
      <c r="L774">
        <v>278</v>
      </c>
      <c r="M774">
        <v>2021</v>
      </c>
      <c r="N774">
        <v>2021</v>
      </c>
      <c r="P774" s="1">
        <v>45406</v>
      </c>
      <c r="Q774" t="s">
        <v>30</v>
      </c>
      <c r="R774" t="s">
        <v>3083</v>
      </c>
      <c r="S774" t="s">
        <v>30</v>
      </c>
      <c r="W774">
        <v>0</v>
      </c>
      <c r="X774">
        <v>0</v>
      </c>
      <c r="Y774" t="s">
        <v>38</v>
      </c>
    </row>
    <row r="775" spans="1:25" x14ac:dyDescent="0.35">
      <c r="A775">
        <v>61889614</v>
      </c>
      <c r="B775" t="s">
        <v>3084</v>
      </c>
      <c r="C775" t="s">
        <v>3085</v>
      </c>
      <c r="D775" t="s">
        <v>3086</v>
      </c>
      <c r="F775" t="str">
        <f>""</f>
        <v/>
      </c>
      <c r="G775" t="str">
        <f>"9798986466408"</f>
        <v>9798986466408</v>
      </c>
      <c r="H775">
        <v>0</v>
      </c>
      <c r="I775">
        <v>4.13</v>
      </c>
      <c r="J775" t="s">
        <v>3087</v>
      </c>
      <c r="K775" t="s">
        <v>85</v>
      </c>
      <c r="L775">
        <v>234</v>
      </c>
      <c r="M775">
        <v>2022</v>
      </c>
      <c r="P775" s="1">
        <v>45406</v>
      </c>
      <c r="Q775" t="s">
        <v>30</v>
      </c>
      <c r="R775" t="s">
        <v>3088</v>
      </c>
      <c r="S775" t="s">
        <v>30</v>
      </c>
      <c r="W775">
        <v>0</v>
      </c>
      <c r="X775">
        <v>0</v>
      </c>
      <c r="Y775" t="s">
        <v>504</v>
      </c>
    </row>
    <row r="776" spans="1:25" x14ac:dyDescent="0.35">
      <c r="A776">
        <v>11699349</v>
      </c>
      <c r="B776" t="s">
        <v>3089</v>
      </c>
      <c r="C776" t="s">
        <v>3090</v>
      </c>
      <c r="D776" t="s">
        <v>3091</v>
      </c>
      <c r="F776" t="str">
        <f>"039925644X"</f>
        <v>039925644X</v>
      </c>
      <c r="G776" t="str">
        <f>"9780399256448"</f>
        <v>9780399256448</v>
      </c>
      <c r="H776">
        <v>0</v>
      </c>
      <c r="I776">
        <v>4.26</v>
      </c>
      <c r="J776" t="s">
        <v>343</v>
      </c>
      <c r="K776" t="s">
        <v>48</v>
      </c>
      <c r="L776">
        <v>298</v>
      </c>
      <c r="M776">
        <v>2012</v>
      </c>
      <c r="N776">
        <v>2012</v>
      </c>
      <c r="P776" s="1">
        <v>45406</v>
      </c>
      <c r="Q776" t="s">
        <v>30</v>
      </c>
      <c r="R776" t="s">
        <v>3092</v>
      </c>
      <c r="S776" t="s">
        <v>30</v>
      </c>
      <c r="W776">
        <v>0</v>
      </c>
      <c r="X776">
        <v>0</v>
      </c>
      <c r="Y776" t="s">
        <v>38</v>
      </c>
    </row>
    <row r="777" spans="1:25" x14ac:dyDescent="0.35">
      <c r="A777">
        <v>29230725</v>
      </c>
      <c r="B777" t="s">
        <v>3093</v>
      </c>
      <c r="C777" t="s">
        <v>3094</v>
      </c>
      <c r="D777" t="s">
        <v>3095</v>
      </c>
      <c r="F777" t="str">
        <f>"0545934273"</f>
        <v>0545934273</v>
      </c>
      <c r="G777" t="str">
        <f>"9780545934275"</f>
        <v>9780545934275</v>
      </c>
      <c r="H777">
        <v>0</v>
      </c>
      <c r="I777">
        <v>4.18</v>
      </c>
      <c r="J777" t="s">
        <v>356</v>
      </c>
      <c r="K777" t="s">
        <v>48</v>
      </c>
      <c r="L777">
        <v>347</v>
      </c>
      <c r="M777">
        <v>2016</v>
      </c>
      <c r="N777">
        <v>2016</v>
      </c>
      <c r="P777" s="1">
        <v>45406</v>
      </c>
      <c r="Q777" t="s">
        <v>30</v>
      </c>
      <c r="R777" t="s">
        <v>3096</v>
      </c>
      <c r="S777" t="s">
        <v>30</v>
      </c>
      <c r="W777">
        <v>0</v>
      </c>
      <c r="X777">
        <v>0</v>
      </c>
      <c r="Y777" t="s">
        <v>762</v>
      </c>
    </row>
    <row r="778" spans="1:25" x14ac:dyDescent="0.35">
      <c r="A778">
        <v>45916267</v>
      </c>
      <c r="B778" t="s">
        <v>3097</v>
      </c>
      <c r="C778" t="s">
        <v>3098</v>
      </c>
      <c r="D778" t="s">
        <v>3099</v>
      </c>
      <c r="F778" t="str">
        <f>""</f>
        <v/>
      </c>
      <c r="G778" t="str">
        <f>""</f>
        <v/>
      </c>
      <c r="H778">
        <v>0</v>
      </c>
      <c r="I778">
        <v>4.3099999999999996</v>
      </c>
      <c r="J778" t="s">
        <v>568</v>
      </c>
      <c r="K778" t="s">
        <v>48</v>
      </c>
      <c r="L778">
        <v>368</v>
      </c>
      <c r="M778">
        <v>2020</v>
      </c>
      <c r="N778">
        <v>2020</v>
      </c>
      <c r="P778" s="1">
        <v>45406</v>
      </c>
      <c r="Q778" t="s">
        <v>30</v>
      </c>
      <c r="R778" t="s">
        <v>3100</v>
      </c>
      <c r="S778" t="s">
        <v>30</v>
      </c>
      <c r="W778">
        <v>0</v>
      </c>
      <c r="X778">
        <v>0</v>
      </c>
      <c r="Y778" t="s">
        <v>38</v>
      </c>
    </row>
    <row r="779" spans="1:25" x14ac:dyDescent="0.35">
      <c r="A779">
        <v>89716</v>
      </c>
      <c r="B779" t="s">
        <v>3101</v>
      </c>
      <c r="C779" t="s">
        <v>3102</v>
      </c>
      <c r="D779" t="s">
        <v>3103</v>
      </c>
      <c r="F779" t="str">
        <f>""</f>
        <v/>
      </c>
      <c r="G779" t="str">
        <f>""</f>
        <v/>
      </c>
      <c r="H779">
        <v>0</v>
      </c>
      <c r="I779">
        <v>3.85</v>
      </c>
      <c r="J779" t="s">
        <v>69</v>
      </c>
      <c r="K779" t="s">
        <v>29</v>
      </c>
      <c r="L779">
        <v>225</v>
      </c>
      <c r="M779">
        <v>2006</v>
      </c>
      <c r="N779">
        <v>2004</v>
      </c>
      <c r="P779" s="1">
        <v>45404</v>
      </c>
      <c r="Q779" t="s">
        <v>30</v>
      </c>
      <c r="R779" t="s">
        <v>3104</v>
      </c>
      <c r="S779" t="s">
        <v>30</v>
      </c>
      <c r="W779">
        <v>0</v>
      </c>
      <c r="X779">
        <v>0</v>
      </c>
      <c r="Y779" t="s">
        <v>38</v>
      </c>
    </row>
    <row r="780" spans="1:25" x14ac:dyDescent="0.35">
      <c r="A780">
        <v>59808217</v>
      </c>
      <c r="B780" t="s">
        <v>3105</v>
      </c>
      <c r="C780" t="s">
        <v>3106</v>
      </c>
      <c r="D780" t="s">
        <v>3107</v>
      </c>
      <c r="F780" t="str">
        <f>"1250787785"</f>
        <v>1250787785</v>
      </c>
      <c r="G780" t="str">
        <f>"9781250787781"</f>
        <v>9781250787781</v>
      </c>
      <c r="H780">
        <v>0</v>
      </c>
      <c r="I780">
        <v>3.92</v>
      </c>
      <c r="J780" t="s">
        <v>266</v>
      </c>
      <c r="K780" t="s">
        <v>29</v>
      </c>
      <c r="L780">
        <v>368</v>
      </c>
      <c r="M780">
        <v>2022</v>
      </c>
      <c r="N780">
        <v>2022</v>
      </c>
      <c r="P780" s="1">
        <v>45402</v>
      </c>
      <c r="Q780" t="s">
        <v>30</v>
      </c>
      <c r="R780" t="s">
        <v>3108</v>
      </c>
      <c r="S780" t="s">
        <v>30</v>
      </c>
      <c r="W780">
        <v>0</v>
      </c>
      <c r="X780">
        <v>0</v>
      </c>
      <c r="Y780" t="s">
        <v>38</v>
      </c>
    </row>
    <row r="781" spans="1:25" x14ac:dyDescent="0.35">
      <c r="A781">
        <v>60822515</v>
      </c>
      <c r="B781" t="s">
        <v>3109</v>
      </c>
      <c r="C781" t="s">
        <v>3110</v>
      </c>
      <c r="D781" t="s">
        <v>3111</v>
      </c>
      <c r="F781" t="str">
        <f>"0593198328"</f>
        <v>0593198328</v>
      </c>
      <c r="G781" t="str">
        <f>"9780593198322"</f>
        <v>9780593198322</v>
      </c>
      <c r="H781">
        <v>0</v>
      </c>
      <c r="I781">
        <v>3.65</v>
      </c>
      <c r="J781" t="s">
        <v>350</v>
      </c>
      <c r="K781" t="s">
        <v>29</v>
      </c>
      <c r="L781">
        <v>322</v>
      </c>
      <c r="M781">
        <v>2023</v>
      </c>
      <c r="N781">
        <v>2023</v>
      </c>
      <c r="P781" s="1">
        <v>45402</v>
      </c>
      <c r="Q781" t="s">
        <v>30</v>
      </c>
      <c r="R781" t="s">
        <v>3112</v>
      </c>
      <c r="S781" t="s">
        <v>30</v>
      </c>
      <c r="W781">
        <v>0</v>
      </c>
      <c r="X781">
        <v>0</v>
      </c>
      <c r="Y781" t="s">
        <v>38</v>
      </c>
    </row>
    <row r="782" spans="1:25" x14ac:dyDescent="0.35">
      <c r="A782">
        <v>58438666</v>
      </c>
      <c r="B782" t="s">
        <v>3113</v>
      </c>
      <c r="C782" t="s">
        <v>1444</v>
      </c>
      <c r="D782" t="s">
        <v>1445</v>
      </c>
      <c r="F782" t="str">
        <f>"1982190485"</f>
        <v>1982190485</v>
      </c>
      <c r="G782" t="str">
        <f>"9781982190484"</f>
        <v>9781982190484</v>
      </c>
      <c r="H782">
        <v>0</v>
      </c>
      <c r="I782">
        <v>3.67</v>
      </c>
      <c r="J782" t="s">
        <v>798</v>
      </c>
      <c r="K782" t="s">
        <v>29</v>
      </c>
      <c r="L782">
        <v>327</v>
      </c>
      <c r="M782">
        <v>2022</v>
      </c>
      <c r="N782">
        <v>2022</v>
      </c>
      <c r="P782" s="1">
        <v>45402</v>
      </c>
      <c r="Q782" t="s">
        <v>30</v>
      </c>
      <c r="R782" t="s">
        <v>3114</v>
      </c>
      <c r="S782" t="s">
        <v>30</v>
      </c>
      <c r="W782">
        <v>0</v>
      </c>
      <c r="X782">
        <v>0</v>
      </c>
      <c r="Y782" t="s">
        <v>38</v>
      </c>
    </row>
    <row r="783" spans="1:25" x14ac:dyDescent="0.35">
      <c r="A783">
        <v>56268954</v>
      </c>
      <c r="B783" t="s">
        <v>3115</v>
      </c>
      <c r="C783" t="s">
        <v>3106</v>
      </c>
      <c r="D783" t="s">
        <v>3107</v>
      </c>
      <c r="F783" t="str">
        <f>"1250787769"</f>
        <v>1250787769</v>
      </c>
      <c r="G783" t="str">
        <f>"9781250787767"</f>
        <v>9781250787767</v>
      </c>
      <c r="H783">
        <v>0</v>
      </c>
      <c r="I783">
        <v>3.56</v>
      </c>
      <c r="J783" t="s">
        <v>266</v>
      </c>
      <c r="K783" t="s">
        <v>29</v>
      </c>
      <c r="L783">
        <v>359</v>
      </c>
      <c r="M783">
        <v>2021</v>
      </c>
      <c r="N783">
        <v>2021</v>
      </c>
      <c r="P783" s="1">
        <v>45402</v>
      </c>
      <c r="Q783" t="s">
        <v>30</v>
      </c>
      <c r="R783" t="s">
        <v>3116</v>
      </c>
      <c r="S783" t="s">
        <v>30</v>
      </c>
      <c r="W783">
        <v>0</v>
      </c>
      <c r="X783">
        <v>0</v>
      </c>
      <c r="Y783" t="s">
        <v>38</v>
      </c>
    </row>
    <row r="784" spans="1:25" x14ac:dyDescent="0.35">
      <c r="A784">
        <v>6294</v>
      </c>
      <c r="B784" t="s">
        <v>3117</v>
      </c>
      <c r="C784" t="s">
        <v>2497</v>
      </c>
      <c r="D784" t="s">
        <v>2498</v>
      </c>
      <c r="F784" t="str">
        <f>"006441034X"</f>
        <v>006441034X</v>
      </c>
      <c r="G784" t="str">
        <f>"9780064410342"</f>
        <v>9780064410342</v>
      </c>
      <c r="H784">
        <v>0</v>
      </c>
      <c r="I784">
        <v>4.29</v>
      </c>
      <c r="J784" t="s">
        <v>3118</v>
      </c>
      <c r="K784" t="s">
        <v>228</v>
      </c>
      <c r="L784">
        <v>329</v>
      </c>
      <c r="M784">
        <v>2001</v>
      </c>
      <c r="N784">
        <v>1986</v>
      </c>
      <c r="P784" s="1">
        <v>45400</v>
      </c>
      <c r="Q784" t="s">
        <v>30</v>
      </c>
      <c r="R784" t="s">
        <v>3119</v>
      </c>
      <c r="S784" t="s">
        <v>30</v>
      </c>
      <c r="W784">
        <v>0</v>
      </c>
      <c r="X784">
        <v>0</v>
      </c>
      <c r="Y784" t="s">
        <v>38</v>
      </c>
    </row>
    <row r="785" spans="1:25" x14ac:dyDescent="0.35">
      <c r="A785">
        <v>407429</v>
      </c>
      <c r="B785" t="s">
        <v>3120</v>
      </c>
      <c r="C785" t="s">
        <v>3121</v>
      </c>
      <c r="D785" t="s">
        <v>3122</v>
      </c>
      <c r="E785" t="s">
        <v>3123</v>
      </c>
      <c r="F785" t="str">
        <f>"067084487X"</f>
        <v>067084487X</v>
      </c>
      <c r="G785" t="str">
        <f>"9780670844876"</f>
        <v>9780670844876</v>
      </c>
      <c r="H785">
        <v>0</v>
      </c>
      <c r="I785">
        <v>4.2</v>
      </c>
      <c r="J785" t="s">
        <v>369</v>
      </c>
      <c r="K785" t="s">
        <v>48</v>
      </c>
      <c r="L785">
        <v>52</v>
      </c>
      <c r="M785">
        <v>1992</v>
      </c>
      <c r="N785">
        <v>1992</v>
      </c>
      <c r="P785" s="1">
        <v>45400</v>
      </c>
      <c r="Q785" t="s">
        <v>30</v>
      </c>
      <c r="R785" t="s">
        <v>3124</v>
      </c>
      <c r="S785" t="s">
        <v>30</v>
      </c>
      <c r="W785">
        <v>0</v>
      </c>
      <c r="X785">
        <v>0</v>
      </c>
      <c r="Y785" t="s">
        <v>38</v>
      </c>
    </row>
    <row r="786" spans="1:25" x14ac:dyDescent="0.35">
      <c r="A786">
        <v>3636</v>
      </c>
      <c r="B786" t="s">
        <v>3125</v>
      </c>
      <c r="C786" t="s">
        <v>2816</v>
      </c>
      <c r="D786" t="s">
        <v>2817</v>
      </c>
      <c r="F786" t="str">
        <f>"0385732554"</f>
        <v>0385732554</v>
      </c>
      <c r="G786" t="str">
        <f>"9780385732550"</f>
        <v>9780385732550</v>
      </c>
      <c r="H786">
        <v>0</v>
      </c>
      <c r="I786">
        <v>4.12</v>
      </c>
      <c r="J786" t="s">
        <v>3126</v>
      </c>
      <c r="K786" t="s">
        <v>29</v>
      </c>
      <c r="L786">
        <v>208</v>
      </c>
      <c r="M786">
        <v>2006</v>
      </c>
      <c r="N786">
        <v>1993</v>
      </c>
      <c r="P786" s="1">
        <v>45400</v>
      </c>
      <c r="Q786" t="s">
        <v>30</v>
      </c>
      <c r="R786" t="s">
        <v>3127</v>
      </c>
      <c r="S786" t="s">
        <v>30</v>
      </c>
      <c r="W786">
        <v>0</v>
      </c>
      <c r="X786">
        <v>0</v>
      </c>
      <c r="Y786" t="s">
        <v>38</v>
      </c>
    </row>
    <row r="787" spans="1:25" x14ac:dyDescent="0.35">
      <c r="A787">
        <v>38709</v>
      </c>
      <c r="B787" t="s">
        <v>3128</v>
      </c>
      <c r="C787" t="s">
        <v>2540</v>
      </c>
      <c r="D787" t="s">
        <v>2541</v>
      </c>
      <c r="F787" t="str">
        <f>"0439244196"</f>
        <v>0439244196</v>
      </c>
      <c r="G787" t="str">
        <f>"9780439244190"</f>
        <v>9780439244190</v>
      </c>
      <c r="H787">
        <v>0</v>
      </c>
      <c r="I787">
        <v>4.01</v>
      </c>
      <c r="J787" t="s">
        <v>3129</v>
      </c>
      <c r="K787" t="s">
        <v>29</v>
      </c>
      <c r="L787">
        <v>272</v>
      </c>
      <c r="M787">
        <v>2000</v>
      </c>
      <c r="N787">
        <v>1998</v>
      </c>
      <c r="P787" s="1">
        <v>45400</v>
      </c>
      <c r="Q787" t="s">
        <v>30</v>
      </c>
      <c r="R787" t="s">
        <v>3130</v>
      </c>
      <c r="S787" t="s">
        <v>30</v>
      </c>
      <c r="W787">
        <v>0</v>
      </c>
      <c r="X787">
        <v>0</v>
      </c>
      <c r="Y787" t="s">
        <v>38</v>
      </c>
    </row>
    <row r="788" spans="1:25" x14ac:dyDescent="0.35">
      <c r="A788">
        <v>30119</v>
      </c>
      <c r="B788" t="s">
        <v>3131</v>
      </c>
      <c r="C788" t="s">
        <v>3132</v>
      </c>
      <c r="D788" t="s">
        <v>3133</v>
      </c>
      <c r="F788" t="str">
        <f>"0060513039"</f>
        <v>0060513039</v>
      </c>
      <c r="G788" t="str">
        <f>"9780060513030"</f>
        <v>9780060513030</v>
      </c>
      <c r="H788">
        <v>0</v>
      </c>
      <c r="I788">
        <v>4.34</v>
      </c>
      <c r="J788" t="s">
        <v>3134</v>
      </c>
      <c r="K788" t="s">
        <v>48</v>
      </c>
      <c r="L788">
        <v>176</v>
      </c>
      <c r="M788">
        <v>2002</v>
      </c>
      <c r="N788">
        <v>1974</v>
      </c>
      <c r="P788" s="1">
        <v>45400</v>
      </c>
      <c r="Q788" t="s">
        <v>30</v>
      </c>
      <c r="R788" t="s">
        <v>3135</v>
      </c>
      <c r="S788" t="s">
        <v>30</v>
      </c>
      <c r="W788">
        <v>0</v>
      </c>
      <c r="X788">
        <v>0</v>
      </c>
      <c r="Y788" t="s">
        <v>38</v>
      </c>
    </row>
    <row r="789" spans="1:25" x14ac:dyDescent="0.35">
      <c r="A789">
        <v>370493</v>
      </c>
      <c r="B789" t="s">
        <v>3136</v>
      </c>
      <c r="C789" t="s">
        <v>3132</v>
      </c>
      <c r="D789" t="s">
        <v>3133</v>
      </c>
      <c r="F789" t="str">
        <f>"0060256656"</f>
        <v>0060256656</v>
      </c>
      <c r="G789" t="str">
        <f>"9780060256654"</f>
        <v>9780060256654</v>
      </c>
      <c r="H789">
        <v>0</v>
      </c>
      <c r="I789">
        <v>4.38</v>
      </c>
      <c r="J789" t="s">
        <v>3137</v>
      </c>
      <c r="K789" t="s">
        <v>48</v>
      </c>
      <c r="L789">
        <v>64</v>
      </c>
      <c r="M789">
        <v>1964</v>
      </c>
      <c r="N789">
        <v>1964</v>
      </c>
      <c r="P789" s="1">
        <v>45400</v>
      </c>
      <c r="Q789" t="s">
        <v>30</v>
      </c>
      <c r="R789" t="s">
        <v>3138</v>
      </c>
      <c r="S789" t="s">
        <v>30</v>
      </c>
      <c r="W789">
        <v>0</v>
      </c>
      <c r="X789">
        <v>0</v>
      </c>
      <c r="Y789" t="s">
        <v>38</v>
      </c>
    </row>
    <row r="790" spans="1:25" x14ac:dyDescent="0.35">
      <c r="A790">
        <v>37570559</v>
      </c>
      <c r="B790" t="s">
        <v>3139</v>
      </c>
      <c r="C790" t="s">
        <v>3140</v>
      </c>
      <c r="D790" t="s">
        <v>3141</v>
      </c>
      <c r="F790" t="str">
        <f>"1328770028"</f>
        <v>1328770028</v>
      </c>
      <c r="G790" t="str">
        <f>"9781328770028"</f>
        <v>9781328770028</v>
      </c>
      <c r="H790">
        <v>0</v>
      </c>
      <c r="I790">
        <v>4.41</v>
      </c>
      <c r="J790" t="s">
        <v>396</v>
      </c>
      <c r="K790" t="s">
        <v>48</v>
      </c>
      <c r="L790">
        <v>336</v>
      </c>
      <c r="M790">
        <v>2018</v>
      </c>
      <c r="N790">
        <v>2018</v>
      </c>
      <c r="P790" s="1">
        <v>45400</v>
      </c>
      <c r="Q790" t="s">
        <v>30</v>
      </c>
      <c r="R790" t="s">
        <v>3142</v>
      </c>
      <c r="S790" t="s">
        <v>30</v>
      </c>
      <c r="W790">
        <v>0</v>
      </c>
      <c r="X790">
        <v>0</v>
      </c>
      <c r="Y790" t="s">
        <v>38</v>
      </c>
    </row>
    <row r="791" spans="1:25" x14ac:dyDescent="0.35">
      <c r="A791">
        <v>22718727</v>
      </c>
      <c r="B791" t="s">
        <v>3143</v>
      </c>
      <c r="C791" t="s">
        <v>2978</v>
      </c>
      <c r="D791" t="s">
        <v>2979</v>
      </c>
      <c r="F791" t="str">
        <f>"1627791159"</f>
        <v>1627791159</v>
      </c>
      <c r="G791" t="str">
        <f>"9781627791151"</f>
        <v>9781627791151</v>
      </c>
      <c r="H791">
        <v>0</v>
      </c>
      <c r="I791">
        <v>4.1500000000000004</v>
      </c>
      <c r="J791" t="s">
        <v>3144</v>
      </c>
      <c r="K791" t="s">
        <v>48</v>
      </c>
      <c r="L791">
        <v>354</v>
      </c>
      <c r="M791">
        <v>2015</v>
      </c>
      <c r="N791">
        <v>2015</v>
      </c>
      <c r="P791" s="1">
        <v>45400</v>
      </c>
      <c r="Q791" t="s">
        <v>30</v>
      </c>
      <c r="R791" t="s">
        <v>3145</v>
      </c>
      <c r="S791" t="s">
        <v>30</v>
      </c>
      <c r="W791">
        <v>0</v>
      </c>
      <c r="X791">
        <v>0</v>
      </c>
      <c r="Y791" t="s">
        <v>38</v>
      </c>
    </row>
    <row r="792" spans="1:25" x14ac:dyDescent="0.35">
      <c r="A792">
        <v>33413919</v>
      </c>
      <c r="B792" t="s">
        <v>3146</v>
      </c>
      <c r="C792" t="s">
        <v>3140</v>
      </c>
      <c r="D792" t="s">
        <v>3141</v>
      </c>
      <c r="F792" t="str">
        <f>"0544876393"</f>
        <v>0544876393</v>
      </c>
      <c r="G792" t="str">
        <f>"9780544876392"</f>
        <v>9780544876392</v>
      </c>
      <c r="H792">
        <v>0</v>
      </c>
      <c r="I792">
        <v>4.1100000000000003</v>
      </c>
      <c r="J792" t="s">
        <v>396</v>
      </c>
      <c r="K792" t="s">
        <v>48</v>
      </c>
      <c r="L792">
        <v>297</v>
      </c>
      <c r="M792">
        <v>2017</v>
      </c>
      <c r="N792">
        <v>2017</v>
      </c>
      <c r="P792" s="1">
        <v>45400</v>
      </c>
      <c r="Q792" t="s">
        <v>30</v>
      </c>
      <c r="R792" t="s">
        <v>3147</v>
      </c>
      <c r="S792" t="s">
        <v>30</v>
      </c>
      <c r="W792">
        <v>0</v>
      </c>
      <c r="X792">
        <v>0</v>
      </c>
      <c r="Y792" t="s">
        <v>38</v>
      </c>
    </row>
    <row r="793" spans="1:25" x14ac:dyDescent="0.35">
      <c r="A793">
        <v>182092951</v>
      </c>
      <c r="B793" t="s">
        <v>3148</v>
      </c>
      <c r="C793" t="s">
        <v>3149</v>
      </c>
      <c r="D793" t="s">
        <v>3150</v>
      </c>
      <c r="F793" t="str">
        <f>"0800745361"</f>
        <v>0800745361</v>
      </c>
      <c r="G793" t="str">
        <f>"9780800745363"</f>
        <v>9780800745363</v>
      </c>
      <c r="H793">
        <v>0</v>
      </c>
      <c r="I793">
        <v>4.42</v>
      </c>
      <c r="J793" t="s">
        <v>259</v>
      </c>
      <c r="K793" t="s">
        <v>29</v>
      </c>
      <c r="L793">
        <v>352</v>
      </c>
      <c r="M793">
        <v>2024</v>
      </c>
      <c r="N793">
        <v>2024</v>
      </c>
      <c r="P793" s="1">
        <v>45399</v>
      </c>
      <c r="Q793" t="s">
        <v>30</v>
      </c>
      <c r="R793" t="s">
        <v>3151</v>
      </c>
      <c r="S793" t="s">
        <v>30</v>
      </c>
      <c r="W793">
        <v>0</v>
      </c>
      <c r="X793">
        <v>0</v>
      </c>
      <c r="Y793" t="s">
        <v>38</v>
      </c>
    </row>
    <row r="794" spans="1:25" x14ac:dyDescent="0.35">
      <c r="A794">
        <v>57112886</v>
      </c>
      <c r="B794" t="s">
        <v>3152</v>
      </c>
      <c r="C794" t="s">
        <v>3153</v>
      </c>
      <c r="D794" t="s">
        <v>3154</v>
      </c>
      <c r="F794" t="str">
        <f>"1734467673"</f>
        <v>1734467673</v>
      </c>
      <c r="G794" t="str">
        <f>"9781734467673"</f>
        <v>9781734467673</v>
      </c>
      <c r="H794">
        <v>0</v>
      </c>
      <c r="I794">
        <v>4.1900000000000004</v>
      </c>
      <c r="J794" t="s">
        <v>3155</v>
      </c>
      <c r="K794" t="s">
        <v>29</v>
      </c>
      <c r="L794">
        <v>420</v>
      </c>
      <c r="M794">
        <v>2021</v>
      </c>
      <c r="N794">
        <v>2021</v>
      </c>
      <c r="P794" s="1">
        <v>45399</v>
      </c>
      <c r="Q794" t="s">
        <v>30</v>
      </c>
      <c r="R794" t="s">
        <v>3156</v>
      </c>
      <c r="S794" t="s">
        <v>30</v>
      </c>
      <c r="W794">
        <v>0</v>
      </c>
      <c r="X794">
        <v>0</v>
      </c>
      <c r="Y794" t="s">
        <v>38</v>
      </c>
    </row>
    <row r="795" spans="1:25" x14ac:dyDescent="0.35">
      <c r="A795">
        <v>204459134</v>
      </c>
      <c r="B795" t="s">
        <v>3157</v>
      </c>
      <c r="C795" t="s">
        <v>1405</v>
      </c>
      <c r="D795" t="s">
        <v>1406</v>
      </c>
      <c r="F795" t="str">
        <f>""</f>
        <v/>
      </c>
      <c r="G795" t="str">
        <f>""</f>
        <v/>
      </c>
      <c r="H795">
        <v>0</v>
      </c>
      <c r="I795">
        <v>4.3499999999999996</v>
      </c>
      <c r="K795" t="s">
        <v>1642</v>
      </c>
      <c r="N795">
        <v>2024</v>
      </c>
      <c r="P795" s="1">
        <v>45393</v>
      </c>
      <c r="Q795" t="s">
        <v>30</v>
      </c>
      <c r="R795" t="s">
        <v>3158</v>
      </c>
      <c r="S795" t="s">
        <v>30</v>
      </c>
      <c r="W795">
        <v>0</v>
      </c>
      <c r="X795">
        <v>0</v>
      </c>
      <c r="Y795" t="s">
        <v>38</v>
      </c>
    </row>
    <row r="796" spans="1:25" x14ac:dyDescent="0.35">
      <c r="A796">
        <v>59046414</v>
      </c>
      <c r="B796" t="s">
        <v>3159</v>
      </c>
      <c r="C796" t="s">
        <v>3160</v>
      </c>
      <c r="D796" t="s">
        <v>3161</v>
      </c>
      <c r="F796" t="str">
        <f>"1433579472"</f>
        <v>1433579472</v>
      </c>
      <c r="G796" t="str">
        <f>"9781433579479"</f>
        <v>9781433579479</v>
      </c>
      <c r="H796">
        <v>0</v>
      </c>
      <c r="I796">
        <v>3.94</v>
      </c>
      <c r="J796" t="s">
        <v>1503</v>
      </c>
      <c r="K796" t="s">
        <v>29</v>
      </c>
      <c r="L796">
        <v>301</v>
      </c>
      <c r="M796">
        <v>2022</v>
      </c>
      <c r="N796">
        <v>2022</v>
      </c>
      <c r="P796" s="1">
        <v>45393</v>
      </c>
      <c r="Q796" t="s">
        <v>30</v>
      </c>
      <c r="R796" t="s">
        <v>3162</v>
      </c>
      <c r="S796" t="s">
        <v>30</v>
      </c>
      <c r="W796">
        <v>0</v>
      </c>
      <c r="X796">
        <v>0</v>
      </c>
      <c r="Y796" t="s">
        <v>173</v>
      </c>
    </row>
    <row r="797" spans="1:25" x14ac:dyDescent="0.35">
      <c r="A797">
        <v>65137920</v>
      </c>
      <c r="B797" t="s">
        <v>3163</v>
      </c>
      <c r="C797" t="s">
        <v>3164</v>
      </c>
      <c r="D797" t="s">
        <v>3165</v>
      </c>
      <c r="E797" t="s">
        <v>3166</v>
      </c>
      <c r="F797" t="str">
        <f>"0008609209"</f>
        <v>0008609209</v>
      </c>
      <c r="G797" t="str">
        <f>"9780008609207"</f>
        <v>9780008609207</v>
      </c>
      <c r="H797">
        <v>0</v>
      </c>
      <c r="I797">
        <v>4.04</v>
      </c>
      <c r="J797" t="s">
        <v>3167</v>
      </c>
      <c r="K797" t="s">
        <v>85</v>
      </c>
      <c r="L797">
        <v>432</v>
      </c>
      <c r="M797">
        <v>2023</v>
      </c>
      <c r="N797">
        <v>2023</v>
      </c>
      <c r="P797" s="1">
        <v>45388</v>
      </c>
      <c r="Q797" t="s">
        <v>30</v>
      </c>
      <c r="R797" t="s">
        <v>3168</v>
      </c>
      <c r="S797" t="s">
        <v>30</v>
      </c>
      <c r="W797">
        <v>0</v>
      </c>
      <c r="X797">
        <v>0</v>
      </c>
      <c r="Y797" t="s">
        <v>38</v>
      </c>
    </row>
    <row r="798" spans="1:25" x14ac:dyDescent="0.35">
      <c r="A798">
        <v>61918816</v>
      </c>
      <c r="B798" t="s">
        <v>3169</v>
      </c>
      <c r="C798" t="s">
        <v>106</v>
      </c>
      <c r="D798" t="s">
        <v>107</v>
      </c>
      <c r="F798" t="str">
        <f>"1538704390"</f>
        <v>1538704390</v>
      </c>
      <c r="G798" t="str">
        <f>"9781538704394"</f>
        <v>9781538704394</v>
      </c>
      <c r="H798">
        <v>0</v>
      </c>
      <c r="I798">
        <v>4.3099999999999996</v>
      </c>
      <c r="J798" t="s">
        <v>441</v>
      </c>
      <c r="K798" t="s">
        <v>29</v>
      </c>
      <c r="L798">
        <v>416</v>
      </c>
      <c r="M798">
        <v>2023</v>
      </c>
      <c r="N798">
        <v>2023</v>
      </c>
      <c r="P798" s="1">
        <v>45388</v>
      </c>
      <c r="Q798" t="s">
        <v>30</v>
      </c>
      <c r="R798" t="s">
        <v>3170</v>
      </c>
      <c r="S798" t="s">
        <v>30</v>
      </c>
      <c r="W798">
        <v>0</v>
      </c>
      <c r="X798">
        <v>0</v>
      </c>
      <c r="Y798" t="s">
        <v>38</v>
      </c>
    </row>
    <row r="799" spans="1:25" x14ac:dyDescent="0.35">
      <c r="A799">
        <v>58733693</v>
      </c>
      <c r="B799" t="s">
        <v>3171</v>
      </c>
      <c r="C799" t="s">
        <v>3172</v>
      </c>
      <c r="D799" t="s">
        <v>3173</v>
      </c>
      <c r="F799" t="str">
        <f>"0063204150"</f>
        <v>0063204150</v>
      </c>
      <c r="G799" t="str">
        <f>"9780063204157"</f>
        <v>9780063204157</v>
      </c>
      <c r="H799">
        <v>0</v>
      </c>
      <c r="I799">
        <v>4.38</v>
      </c>
      <c r="J799" t="s">
        <v>1384</v>
      </c>
      <c r="K799" t="s">
        <v>48</v>
      </c>
      <c r="L799">
        <v>368</v>
      </c>
      <c r="M799">
        <v>2022</v>
      </c>
      <c r="N799">
        <v>2022</v>
      </c>
      <c r="P799" s="1">
        <v>45388</v>
      </c>
      <c r="Q799" t="s">
        <v>30</v>
      </c>
      <c r="R799" t="s">
        <v>3174</v>
      </c>
      <c r="S799" t="s">
        <v>30</v>
      </c>
      <c r="W799">
        <v>0</v>
      </c>
      <c r="X799">
        <v>0</v>
      </c>
      <c r="Y799" t="s">
        <v>38</v>
      </c>
    </row>
    <row r="800" spans="1:25" x14ac:dyDescent="0.35">
      <c r="A800">
        <v>22529349</v>
      </c>
      <c r="B800" t="s">
        <v>3175</v>
      </c>
      <c r="C800" t="s">
        <v>1315</v>
      </c>
      <c r="D800" t="s">
        <v>1316</v>
      </c>
      <c r="F800" t="str">
        <f>"1619634856"</f>
        <v>1619634856</v>
      </c>
      <c r="G800" t="str">
        <f>"9781619634855"</f>
        <v>9781619634855</v>
      </c>
      <c r="H800">
        <v>0</v>
      </c>
      <c r="I800">
        <v>4.18</v>
      </c>
      <c r="J800" t="s">
        <v>3176</v>
      </c>
      <c r="K800" t="s">
        <v>48</v>
      </c>
      <c r="L800">
        <v>326</v>
      </c>
      <c r="M800">
        <v>2015</v>
      </c>
      <c r="N800">
        <v>2015</v>
      </c>
      <c r="P800" s="1">
        <v>45388</v>
      </c>
      <c r="Q800" t="s">
        <v>30</v>
      </c>
      <c r="R800" t="s">
        <v>3177</v>
      </c>
      <c r="S800" t="s">
        <v>30</v>
      </c>
      <c r="W800">
        <v>0</v>
      </c>
      <c r="X800">
        <v>0</v>
      </c>
      <c r="Y800" t="s">
        <v>38</v>
      </c>
    </row>
    <row r="801" spans="1:25" x14ac:dyDescent="0.35">
      <c r="A801">
        <v>21853621</v>
      </c>
      <c r="B801" t="s">
        <v>3178</v>
      </c>
      <c r="C801" t="s">
        <v>1145</v>
      </c>
      <c r="D801" t="s">
        <v>1146</v>
      </c>
      <c r="F801" t="str">
        <f>"0312577222"</f>
        <v>0312577222</v>
      </c>
      <c r="G801" t="str">
        <f>"9780312577223"</f>
        <v>9780312577223</v>
      </c>
      <c r="H801">
        <v>0</v>
      </c>
      <c r="I801">
        <v>4.6399999999999997</v>
      </c>
      <c r="J801" t="s">
        <v>878</v>
      </c>
      <c r="K801" t="s">
        <v>48</v>
      </c>
      <c r="L801">
        <v>564</v>
      </c>
      <c r="M801">
        <v>2015</v>
      </c>
      <c r="N801">
        <v>2015</v>
      </c>
      <c r="P801" s="1">
        <v>45386</v>
      </c>
      <c r="Q801" t="s">
        <v>30</v>
      </c>
      <c r="R801" t="s">
        <v>3179</v>
      </c>
      <c r="S801" t="s">
        <v>30</v>
      </c>
      <c r="W801">
        <v>0</v>
      </c>
      <c r="X801">
        <v>0</v>
      </c>
      <c r="Y801" t="s">
        <v>38</v>
      </c>
    </row>
    <row r="802" spans="1:25" x14ac:dyDescent="0.35">
      <c r="A802">
        <v>254262</v>
      </c>
      <c r="B802" t="s">
        <v>3180</v>
      </c>
      <c r="C802" t="s">
        <v>3181</v>
      </c>
      <c r="D802" t="s">
        <v>3182</v>
      </c>
      <c r="F802" t="str">
        <f>"0140341587"</f>
        <v>0140341587</v>
      </c>
      <c r="G802" t="str">
        <f>"9780140341584"</f>
        <v>9780140341584</v>
      </c>
      <c r="H802">
        <v>0</v>
      </c>
      <c r="I802">
        <v>3.89</v>
      </c>
      <c r="J802" t="s">
        <v>69</v>
      </c>
      <c r="K802" t="s">
        <v>29</v>
      </c>
      <c r="L802">
        <v>192</v>
      </c>
      <c r="M802">
        <v>1989</v>
      </c>
      <c r="N802">
        <v>1950</v>
      </c>
      <c r="P802" s="1">
        <v>45379</v>
      </c>
      <c r="Q802" t="s">
        <v>30</v>
      </c>
      <c r="R802" t="s">
        <v>3183</v>
      </c>
      <c r="S802" t="s">
        <v>30</v>
      </c>
      <c r="W802">
        <v>0</v>
      </c>
      <c r="X802">
        <v>0</v>
      </c>
      <c r="Y802" t="s">
        <v>38</v>
      </c>
    </row>
    <row r="803" spans="1:25" x14ac:dyDescent="0.35">
      <c r="A803">
        <v>182094843</v>
      </c>
      <c r="B803" t="s">
        <v>3184</v>
      </c>
      <c r="C803" t="s">
        <v>3185</v>
      </c>
      <c r="D803" t="s">
        <v>3186</v>
      </c>
      <c r="F803" t="str">
        <f>"0764241710"</f>
        <v>0764241710</v>
      </c>
      <c r="G803" t="str">
        <f>"9780764241710"</f>
        <v>9780764241710</v>
      </c>
      <c r="H803">
        <v>0</v>
      </c>
      <c r="I803">
        <v>4.21</v>
      </c>
      <c r="J803" t="s">
        <v>419</v>
      </c>
      <c r="K803" t="s">
        <v>29</v>
      </c>
      <c r="L803">
        <v>334</v>
      </c>
      <c r="M803">
        <v>2024</v>
      </c>
      <c r="N803">
        <v>2024</v>
      </c>
      <c r="P803" s="1">
        <v>45379</v>
      </c>
      <c r="Q803" t="s">
        <v>30</v>
      </c>
      <c r="R803" t="s">
        <v>3187</v>
      </c>
      <c r="S803" t="s">
        <v>30</v>
      </c>
      <c r="W803">
        <v>0</v>
      </c>
      <c r="X803">
        <v>0</v>
      </c>
      <c r="Y803" t="s">
        <v>38</v>
      </c>
    </row>
    <row r="804" spans="1:25" x14ac:dyDescent="0.35">
      <c r="A804">
        <v>58735031</v>
      </c>
      <c r="B804" t="s">
        <v>3188</v>
      </c>
      <c r="C804" t="s">
        <v>2298</v>
      </c>
      <c r="D804" t="s">
        <v>2299</v>
      </c>
      <c r="F804" t="str">
        <f>"0593315715"</f>
        <v>0593315715</v>
      </c>
      <c r="G804" t="str">
        <f>"9780593315712"</f>
        <v>9780593315712</v>
      </c>
      <c r="H804">
        <v>0</v>
      </c>
      <c r="I804">
        <v>3.78</v>
      </c>
      <c r="J804" t="s">
        <v>1379</v>
      </c>
      <c r="K804" t="s">
        <v>29</v>
      </c>
      <c r="L804">
        <v>222</v>
      </c>
      <c r="M804">
        <v>2022</v>
      </c>
      <c r="N804">
        <v>2015</v>
      </c>
      <c r="P804" s="1">
        <v>45379</v>
      </c>
      <c r="Q804" t="s">
        <v>30</v>
      </c>
      <c r="R804" t="s">
        <v>3189</v>
      </c>
      <c r="S804" t="s">
        <v>30</v>
      </c>
      <c r="W804">
        <v>0</v>
      </c>
      <c r="X804">
        <v>0</v>
      </c>
      <c r="Y804" t="s">
        <v>38</v>
      </c>
    </row>
    <row r="805" spans="1:25" x14ac:dyDescent="0.35">
      <c r="A805">
        <v>55494915</v>
      </c>
      <c r="B805" t="s">
        <v>3190</v>
      </c>
      <c r="C805" t="s">
        <v>3191</v>
      </c>
      <c r="D805" t="s">
        <v>3192</v>
      </c>
      <c r="F805" t="str">
        <f>""</f>
        <v/>
      </c>
      <c r="G805" t="str">
        <f>""</f>
        <v/>
      </c>
      <c r="H805">
        <v>0</v>
      </c>
      <c r="I805">
        <v>4.3499999999999996</v>
      </c>
      <c r="J805" t="s">
        <v>3193</v>
      </c>
      <c r="K805" t="s">
        <v>85</v>
      </c>
      <c r="L805">
        <v>324</v>
      </c>
      <c r="M805">
        <v>2020</v>
      </c>
      <c r="P805" s="1">
        <v>45379</v>
      </c>
      <c r="Q805" t="s">
        <v>30</v>
      </c>
      <c r="R805" t="s">
        <v>3194</v>
      </c>
      <c r="S805" t="s">
        <v>30</v>
      </c>
      <c r="W805">
        <v>0</v>
      </c>
      <c r="X805">
        <v>0</v>
      </c>
      <c r="Y805" t="s">
        <v>38</v>
      </c>
    </row>
    <row r="806" spans="1:25" x14ac:dyDescent="0.35">
      <c r="A806">
        <v>49867023</v>
      </c>
      <c r="B806" t="s">
        <v>3195</v>
      </c>
      <c r="C806" t="s">
        <v>3196</v>
      </c>
      <c r="D806" t="s">
        <v>3197</v>
      </c>
      <c r="F806" t="str">
        <f>"183888033X"</f>
        <v>183888033X</v>
      </c>
      <c r="G806" t="str">
        <f>"9781838880330"</f>
        <v>9781838880330</v>
      </c>
      <c r="H806">
        <v>0</v>
      </c>
      <c r="I806">
        <v>4.4400000000000004</v>
      </c>
      <c r="J806" t="s">
        <v>2186</v>
      </c>
      <c r="K806" t="s">
        <v>85</v>
      </c>
      <c r="L806">
        <v>398</v>
      </c>
      <c r="M806">
        <v>2019</v>
      </c>
      <c r="N806">
        <v>2019</v>
      </c>
      <c r="P806" s="1">
        <v>45379</v>
      </c>
      <c r="Q806" t="s">
        <v>30</v>
      </c>
      <c r="R806" t="s">
        <v>3198</v>
      </c>
      <c r="S806" t="s">
        <v>30</v>
      </c>
      <c r="W806">
        <v>0</v>
      </c>
      <c r="X806">
        <v>0</v>
      </c>
      <c r="Y806" t="s">
        <v>38</v>
      </c>
    </row>
    <row r="807" spans="1:25" x14ac:dyDescent="0.35">
      <c r="A807">
        <v>40672036</v>
      </c>
      <c r="B807" t="s">
        <v>3199</v>
      </c>
      <c r="C807" t="s">
        <v>3200</v>
      </c>
      <c r="D807" t="s">
        <v>3201</v>
      </c>
      <c r="F807" t="str">
        <f>"052553654X"</f>
        <v>052553654X</v>
      </c>
      <c r="G807" t="str">
        <f>""</f>
        <v/>
      </c>
      <c r="H807">
        <v>0</v>
      </c>
      <c r="I807">
        <v>4.0599999999999996</v>
      </c>
      <c r="J807" t="s">
        <v>2642</v>
      </c>
      <c r="K807" t="s">
        <v>85</v>
      </c>
      <c r="L807">
        <v>302</v>
      </c>
      <c r="M807">
        <v>2019</v>
      </c>
      <c r="N807">
        <v>2019</v>
      </c>
      <c r="P807" s="1">
        <v>45378</v>
      </c>
      <c r="Q807" t="s">
        <v>30</v>
      </c>
      <c r="R807" t="s">
        <v>3202</v>
      </c>
      <c r="S807" t="s">
        <v>30</v>
      </c>
      <c r="W807">
        <v>0</v>
      </c>
      <c r="X807">
        <v>0</v>
      </c>
      <c r="Y807" t="s">
        <v>38</v>
      </c>
    </row>
    <row r="808" spans="1:25" x14ac:dyDescent="0.35">
      <c r="A808">
        <v>200296712</v>
      </c>
      <c r="B808" t="s">
        <v>3203</v>
      </c>
      <c r="C808" t="s">
        <v>3204</v>
      </c>
      <c r="D808" t="s">
        <v>3205</v>
      </c>
      <c r="F808" t="str">
        <f>""</f>
        <v/>
      </c>
      <c r="G808" t="str">
        <f>""</f>
        <v/>
      </c>
      <c r="H808">
        <v>0</v>
      </c>
      <c r="I808">
        <v>3.71</v>
      </c>
      <c r="K808" t="s">
        <v>85</v>
      </c>
      <c r="L808">
        <v>343</v>
      </c>
      <c r="M808">
        <v>2023</v>
      </c>
      <c r="P808" s="1">
        <v>45378</v>
      </c>
      <c r="Q808" t="s">
        <v>30</v>
      </c>
      <c r="R808" t="s">
        <v>3206</v>
      </c>
      <c r="S808" t="s">
        <v>30</v>
      </c>
      <c r="W808">
        <v>0</v>
      </c>
      <c r="X808">
        <v>0</v>
      </c>
      <c r="Y808" t="s">
        <v>203</v>
      </c>
    </row>
    <row r="809" spans="1:25" x14ac:dyDescent="0.35">
      <c r="A809">
        <v>12902884</v>
      </c>
      <c r="B809" t="s">
        <v>3207</v>
      </c>
      <c r="C809" t="s">
        <v>285</v>
      </c>
      <c r="D809" t="s">
        <v>286</v>
      </c>
      <c r="E809" t="s">
        <v>2735</v>
      </c>
      <c r="F809" t="str">
        <f>"0316176192"</f>
        <v>0316176192</v>
      </c>
      <c r="G809" t="str">
        <f>"9780316176194"</f>
        <v>9780316176194</v>
      </c>
      <c r="H809">
        <v>0</v>
      </c>
      <c r="I809">
        <v>4.37</v>
      </c>
      <c r="J809" t="s">
        <v>522</v>
      </c>
      <c r="K809" t="s">
        <v>48</v>
      </c>
      <c r="L809">
        <v>470</v>
      </c>
      <c r="M809">
        <v>2012</v>
      </c>
      <c r="N809">
        <v>2012</v>
      </c>
      <c r="P809" s="1">
        <v>45378</v>
      </c>
      <c r="Q809" t="s">
        <v>30</v>
      </c>
      <c r="R809" t="s">
        <v>3208</v>
      </c>
      <c r="S809" t="s">
        <v>30</v>
      </c>
      <c r="W809">
        <v>0</v>
      </c>
      <c r="X809">
        <v>0</v>
      </c>
      <c r="Y809" t="s">
        <v>38</v>
      </c>
    </row>
    <row r="810" spans="1:25" x14ac:dyDescent="0.35">
      <c r="A810">
        <v>56669595</v>
      </c>
      <c r="B810" t="s">
        <v>3209</v>
      </c>
      <c r="C810" t="s">
        <v>3210</v>
      </c>
      <c r="D810" t="s">
        <v>3211</v>
      </c>
      <c r="F810" t="str">
        <f>"0241464501"</f>
        <v>0241464501</v>
      </c>
      <c r="G810" t="str">
        <f>"9780241464502"</f>
        <v>9780241464502</v>
      </c>
      <c r="H810">
        <v>0</v>
      </c>
      <c r="I810">
        <v>4.1500000000000004</v>
      </c>
      <c r="J810" t="s">
        <v>3212</v>
      </c>
      <c r="K810" t="s">
        <v>48</v>
      </c>
      <c r="L810">
        <v>208</v>
      </c>
      <c r="M810">
        <v>2021</v>
      </c>
      <c r="N810">
        <v>2021</v>
      </c>
      <c r="P810" s="1">
        <v>45375</v>
      </c>
      <c r="Q810" t="s">
        <v>30</v>
      </c>
      <c r="R810" t="s">
        <v>3213</v>
      </c>
      <c r="S810" t="s">
        <v>30</v>
      </c>
      <c r="W810">
        <v>0</v>
      </c>
      <c r="X810">
        <v>0</v>
      </c>
      <c r="Y810" t="s">
        <v>38</v>
      </c>
    </row>
    <row r="811" spans="1:25" x14ac:dyDescent="0.35">
      <c r="A811">
        <v>58803339</v>
      </c>
      <c r="B811" t="s">
        <v>3214</v>
      </c>
      <c r="C811" t="s">
        <v>3215</v>
      </c>
      <c r="D811" t="s">
        <v>3216</v>
      </c>
      <c r="F811" t="str">
        <f>"1728242592"</f>
        <v>1728242592</v>
      </c>
      <c r="G811" t="str">
        <f>"9781728242590"</f>
        <v>9781728242590</v>
      </c>
      <c r="H811">
        <v>0</v>
      </c>
      <c r="I811">
        <v>4.2300000000000004</v>
      </c>
      <c r="J811" t="s">
        <v>435</v>
      </c>
      <c r="K811" t="s">
        <v>29</v>
      </c>
      <c r="L811">
        <v>336</v>
      </c>
      <c r="M811">
        <v>2022</v>
      </c>
      <c r="N811">
        <v>2022</v>
      </c>
      <c r="P811" s="1">
        <v>45375</v>
      </c>
      <c r="Q811" t="s">
        <v>30</v>
      </c>
      <c r="R811" t="s">
        <v>3217</v>
      </c>
      <c r="S811" t="s">
        <v>30</v>
      </c>
      <c r="W811">
        <v>0</v>
      </c>
      <c r="X811">
        <v>0</v>
      </c>
      <c r="Y811" t="s">
        <v>38</v>
      </c>
    </row>
    <row r="812" spans="1:25" x14ac:dyDescent="0.35">
      <c r="A812">
        <v>128029</v>
      </c>
      <c r="B812" t="s">
        <v>3218</v>
      </c>
      <c r="C812" t="s">
        <v>3219</v>
      </c>
      <c r="D812" t="s">
        <v>3220</v>
      </c>
      <c r="F812" t="str">
        <f>"1594489505"</f>
        <v>1594489505</v>
      </c>
      <c r="G812" t="str">
        <f>"9781594489501"</f>
        <v>9781594489501</v>
      </c>
      <c r="H812">
        <v>0</v>
      </c>
      <c r="I812">
        <v>4.4400000000000004</v>
      </c>
      <c r="J812" t="s">
        <v>1360</v>
      </c>
      <c r="K812" t="s">
        <v>48</v>
      </c>
      <c r="L812">
        <v>372</v>
      </c>
      <c r="M812">
        <v>2007</v>
      </c>
      <c r="N812">
        <v>2007</v>
      </c>
      <c r="P812" s="1">
        <v>45374</v>
      </c>
      <c r="Q812" t="s">
        <v>30</v>
      </c>
      <c r="R812" t="s">
        <v>3221</v>
      </c>
      <c r="S812" t="s">
        <v>30</v>
      </c>
      <c r="W812">
        <v>0</v>
      </c>
      <c r="X812">
        <v>0</v>
      </c>
      <c r="Y812" t="s">
        <v>38</v>
      </c>
    </row>
    <row r="813" spans="1:25" x14ac:dyDescent="0.35">
      <c r="A813">
        <v>34066798</v>
      </c>
      <c r="B813" t="s">
        <v>3222</v>
      </c>
      <c r="C813" t="s">
        <v>3223</v>
      </c>
      <c r="D813" t="s">
        <v>3224</v>
      </c>
      <c r="F813" t="str">
        <f>""</f>
        <v/>
      </c>
      <c r="G813" t="str">
        <f>""</f>
        <v/>
      </c>
      <c r="H813">
        <v>0</v>
      </c>
      <c r="I813">
        <v>4.33</v>
      </c>
      <c r="J813" t="s">
        <v>274</v>
      </c>
      <c r="K813" t="s">
        <v>29</v>
      </c>
      <c r="L813">
        <v>462</v>
      </c>
      <c r="M813">
        <v>2019</v>
      </c>
      <c r="N813">
        <v>2016</v>
      </c>
      <c r="P813" s="1">
        <v>45374</v>
      </c>
      <c r="Q813" t="s">
        <v>30</v>
      </c>
      <c r="R813" t="s">
        <v>3225</v>
      </c>
      <c r="S813" t="s">
        <v>30</v>
      </c>
      <c r="W813">
        <v>0</v>
      </c>
      <c r="X813">
        <v>0</v>
      </c>
      <c r="Y813" t="s">
        <v>38</v>
      </c>
    </row>
    <row r="814" spans="1:25" x14ac:dyDescent="0.35">
      <c r="A814">
        <v>30152445</v>
      </c>
      <c r="B814" t="s">
        <v>3226</v>
      </c>
      <c r="C814" t="s">
        <v>34</v>
      </c>
      <c r="D814" t="s">
        <v>35</v>
      </c>
      <c r="F814" t="str">
        <f>"0758656254"</f>
        <v>0758656254</v>
      </c>
      <c r="G814" t="str">
        <f>"9780758656254"</f>
        <v>9780758656254</v>
      </c>
      <c r="H814">
        <v>0</v>
      </c>
      <c r="I814">
        <v>4.16</v>
      </c>
      <c r="J814" t="s">
        <v>3227</v>
      </c>
      <c r="K814" t="s">
        <v>29</v>
      </c>
      <c r="L814">
        <v>364</v>
      </c>
      <c r="M814">
        <v>2016</v>
      </c>
      <c r="N814">
        <v>2016</v>
      </c>
      <c r="P814" s="1">
        <v>45374</v>
      </c>
      <c r="Q814" t="s">
        <v>30</v>
      </c>
      <c r="R814" t="s">
        <v>3228</v>
      </c>
      <c r="S814" t="s">
        <v>30</v>
      </c>
      <c r="W814">
        <v>0</v>
      </c>
      <c r="X814">
        <v>0</v>
      </c>
      <c r="Y814" t="s">
        <v>38</v>
      </c>
    </row>
    <row r="815" spans="1:25" x14ac:dyDescent="0.35">
      <c r="A815">
        <v>174146851</v>
      </c>
      <c r="B815" t="s">
        <v>3229</v>
      </c>
      <c r="C815" t="s">
        <v>3230</v>
      </c>
      <c r="D815" t="s">
        <v>3231</v>
      </c>
      <c r="F815" t="str">
        <f>"0593729390"</f>
        <v>0593729390</v>
      </c>
      <c r="G815" t="str">
        <f>"9780593729397"</f>
        <v>9780593729397</v>
      </c>
      <c r="H815">
        <v>0</v>
      </c>
      <c r="I815">
        <v>3.59</v>
      </c>
      <c r="J815" t="s">
        <v>652</v>
      </c>
      <c r="K815" t="s">
        <v>48</v>
      </c>
      <c r="L815">
        <v>304</v>
      </c>
      <c r="M815">
        <v>2024</v>
      </c>
      <c r="N815">
        <v>2024</v>
      </c>
      <c r="P815" s="1">
        <v>45373</v>
      </c>
      <c r="Q815" t="s">
        <v>30</v>
      </c>
      <c r="R815" t="s">
        <v>3232</v>
      </c>
      <c r="S815" t="s">
        <v>30</v>
      </c>
      <c r="W815">
        <v>0</v>
      </c>
      <c r="X815">
        <v>0</v>
      </c>
      <c r="Y815" t="s">
        <v>38</v>
      </c>
    </row>
    <row r="816" spans="1:25" x14ac:dyDescent="0.35">
      <c r="A816">
        <v>33643994</v>
      </c>
      <c r="B816" t="s">
        <v>3233</v>
      </c>
      <c r="C816" t="s">
        <v>3234</v>
      </c>
      <c r="D816" t="s">
        <v>3235</v>
      </c>
      <c r="F816" t="str">
        <f>"1250095964"</f>
        <v>1250095964</v>
      </c>
      <c r="G816" t="str">
        <f>"9781250095961"</f>
        <v>9781250095961</v>
      </c>
      <c r="H816">
        <v>0</v>
      </c>
      <c r="I816">
        <v>3.95</v>
      </c>
      <c r="J816" t="s">
        <v>3236</v>
      </c>
      <c r="K816" t="s">
        <v>48</v>
      </c>
      <c r="L816">
        <v>308</v>
      </c>
      <c r="M816">
        <v>2017</v>
      </c>
      <c r="N816">
        <v>2017</v>
      </c>
      <c r="P816" s="1">
        <v>45373</v>
      </c>
      <c r="Q816" t="s">
        <v>30</v>
      </c>
      <c r="R816" t="s">
        <v>3237</v>
      </c>
      <c r="S816" t="s">
        <v>30</v>
      </c>
      <c r="W816">
        <v>0</v>
      </c>
      <c r="X816">
        <v>0</v>
      </c>
      <c r="Y816" t="s">
        <v>38</v>
      </c>
    </row>
    <row r="817" spans="1:25" x14ac:dyDescent="0.35">
      <c r="A817">
        <v>49244342</v>
      </c>
      <c r="B817" t="s">
        <v>3238</v>
      </c>
      <c r="C817" t="s">
        <v>3239</v>
      </c>
      <c r="D817" t="s">
        <v>3240</v>
      </c>
      <c r="F817" t="str">
        <f>"1496715861"</f>
        <v>1496715861</v>
      </c>
      <c r="G817" t="str">
        <f>"9781496715869"</f>
        <v>9781496715869</v>
      </c>
      <c r="H817">
        <v>0</v>
      </c>
      <c r="I817">
        <v>4.24</v>
      </c>
      <c r="J817" t="s">
        <v>3241</v>
      </c>
      <c r="K817" t="s">
        <v>29</v>
      </c>
      <c r="L817">
        <v>390</v>
      </c>
      <c r="M817">
        <v>2020</v>
      </c>
      <c r="N817">
        <v>2020</v>
      </c>
      <c r="P817" s="1">
        <v>45373</v>
      </c>
      <c r="Q817" t="s">
        <v>30</v>
      </c>
      <c r="R817" t="s">
        <v>3242</v>
      </c>
      <c r="S817" t="s">
        <v>30</v>
      </c>
      <c r="W817">
        <v>0</v>
      </c>
      <c r="X817">
        <v>0</v>
      </c>
      <c r="Y817" t="s">
        <v>38</v>
      </c>
    </row>
    <row r="818" spans="1:25" x14ac:dyDescent="0.35">
      <c r="A818">
        <v>177185877</v>
      </c>
      <c r="B818" t="s">
        <v>3243</v>
      </c>
      <c r="C818" t="s">
        <v>3244</v>
      </c>
      <c r="D818" t="s">
        <v>3245</v>
      </c>
      <c r="F818" t="str">
        <f>"0593500385"</f>
        <v>0593500385</v>
      </c>
      <c r="G818" t="str">
        <f>"9780593500385"</f>
        <v>9780593500385</v>
      </c>
      <c r="H818">
        <v>0</v>
      </c>
      <c r="I818">
        <v>4.1399999999999997</v>
      </c>
      <c r="J818" t="s">
        <v>1008</v>
      </c>
      <c r="K818" t="s">
        <v>48</v>
      </c>
      <c r="L818">
        <v>368</v>
      </c>
      <c r="M818">
        <v>2024</v>
      </c>
      <c r="N818">
        <v>2024</v>
      </c>
      <c r="P818" s="1">
        <v>45368</v>
      </c>
      <c r="Q818" t="s">
        <v>30</v>
      </c>
      <c r="R818" t="s">
        <v>3246</v>
      </c>
      <c r="S818" t="s">
        <v>30</v>
      </c>
      <c r="W818">
        <v>0</v>
      </c>
      <c r="X818">
        <v>0</v>
      </c>
      <c r="Y818" t="s">
        <v>38</v>
      </c>
    </row>
    <row r="819" spans="1:25" x14ac:dyDescent="0.35">
      <c r="A819">
        <v>6837103</v>
      </c>
      <c r="B819" t="s">
        <v>3247</v>
      </c>
      <c r="C819" t="s">
        <v>2553</v>
      </c>
      <c r="D819" t="s">
        <v>2554</v>
      </c>
      <c r="F819" t="str">
        <f>"1439153663"</f>
        <v>1439153663</v>
      </c>
      <c r="G819" t="str">
        <f>"9781439153666"</f>
        <v>9781439153666</v>
      </c>
      <c r="H819">
        <v>5</v>
      </c>
      <c r="I819">
        <v>4.2300000000000004</v>
      </c>
      <c r="J819" t="s">
        <v>798</v>
      </c>
      <c r="K819" t="s">
        <v>29</v>
      </c>
      <c r="L819">
        <v>369</v>
      </c>
      <c r="M819">
        <v>2010</v>
      </c>
      <c r="N819">
        <v>2010</v>
      </c>
      <c r="O819" s="1">
        <v>45357</v>
      </c>
      <c r="P819" s="1">
        <v>45323</v>
      </c>
      <c r="S819" t="s">
        <v>51</v>
      </c>
      <c r="W819">
        <v>1</v>
      </c>
      <c r="X819">
        <v>0</v>
      </c>
      <c r="Y819" t="s">
        <v>38</v>
      </c>
    </row>
    <row r="820" spans="1:25" x14ac:dyDescent="0.35">
      <c r="A820">
        <v>40881942</v>
      </c>
      <c r="B820" t="s">
        <v>3248</v>
      </c>
      <c r="C820" t="s">
        <v>3249</v>
      </c>
      <c r="D820" t="s">
        <v>3250</v>
      </c>
      <c r="F820" t="str">
        <f>""</f>
        <v/>
      </c>
      <c r="G820" t="str">
        <f>""</f>
        <v/>
      </c>
      <c r="H820">
        <v>0</v>
      </c>
      <c r="I820">
        <v>3.94</v>
      </c>
      <c r="J820" t="s">
        <v>1175</v>
      </c>
      <c r="K820" t="s">
        <v>85</v>
      </c>
      <c r="L820">
        <v>236</v>
      </c>
      <c r="M820">
        <v>2011</v>
      </c>
      <c r="N820">
        <v>2001</v>
      </c>
      <c r="P820" s="1">
        <v>45357</v>
      </c>
      <c r="Q820" t="s">
        <v>30</v>
      </c>
      <c r="R820" t="s">
        <v>3251</v>
      </c>
      <c r="S820" t="s">
        <v>30</v>
      </c>
      <c r="W820">
        <v>0</v>
      </c>
      <c r="X820">
        <v>0</v>
      </c>
      <c r="Y820" t="s">
        <v>203</v>
      </c>
    </row>
    <row r="821" spans="1:25" x14ac:dyDescent="0.35">
      <c r="A821">
        <v>3336559</v>
      </c>
      <c r="B821" t="s">
        <v>3252</v>
      </c>
      <c r="C821" t="s">
        <v>3253</v>
      </c>
      <c r="D821" t="s">
        <v>3254</v>
      </c>
      <c r="F821" t="str">
        <f>"1599950626"</f>
        <v>1599950626</v>
      </c>
      <c r="G821" t="str">
        <f>"9781599950624"</f>
        <v>9781599950624</v>
      </c>
      <c r="H821">
        <v>0</v>
      </c>
      <c r="I821">
        <v>3.89</v>
      </c>
      <c r="J821" t="s">
        <v>3255</v>
      </c>
      <c r="K821" t="s">
        <v>48</v>
      </c>
      <c r="L821">
        <v>256</v>
      </c>
      <c r="M821">
        <v>2009</v>
      </c>
      <c r="N821">
        <v>2009</v>
      </c>
      <c r="P821" s="1">
        <v>45356</v>
      </c>
      <c r="Q821" t="s">
        <v>30</v>
      </c>
      <c r="R821" t="s">
        <v>3256</v>
      </c>
      <c r="S821" t="s">
        <v>30</v>
      </c>
      <c r="W821">
        <v>0</v>
      </c>
      <c r="X821">
        <v>0</v>
      </c>
      <c r="Y821" t="s">
        <v>311</v>
      </c>
    </row>
    <row r="822" spans="1:25" x14ac:dyDescent="0.35">
      <c r="A822">
        <v>156480764</v>
      </c>
      <c r="B822" t="s">
        <v>3257</v>
      </c>
      <c r="C822" t="s">
        <v>3258</v>
      </c>
      <c r="D822" t="s">
        <v>3259</v>
      </c>
      <c r="F822" t="str">
        <f>"1787637247"</f>
        <v>1787637247</v>
      </c>
      <c r="G822" t="str">
        <f>"9781787637245"</f>
        <v>9781787637245</v>
      </c>
      <c r="H822">
        <v>0</v>
      </c>
      <c r="I822">
        <v>4.05</v>
      </c>
      <c r="J822" t="s">
        <v>3260</v>
      </c>
      <c r="K822" t="s">
        <v>85</v>
      </c>
      <c r="L822">
        <v>408</v>
      </c>
      <c r="M822">
        <v>2024</v>
      </c>
      <c r="N822">
        <v>2024</v>
      </c>
      <c r="P822" s="1">
        <v>45351</v>
      </c>
      <c r="Q822" t="s">
        <v>30</v>
      </c>
      <c r="R822" t="s">
        <v>3261</v>
      </c>
      <c r="S822" t="s">
        <v>30</v>
      </c>
      <c r="W822">
        <v>0</v>
      </c>
      <c r="X822">
        <v>0</v>
      </c>
      <c r="Y822" t="s">
        <v>38</v>
      </c>
    </row>
    <row r="823" spans="1:25" x14ac:dyDescent="0.35">
      <c r="A823">
        <v>193781998</v>
      </c>
      <c r="B823" t="s">
        <v>3262</v>
      </c>
      <c r="C823" t="s">
        <v>3263</v>
      </c>
      <c r="D823" t="s">
        <v>3264</v>
      </c>
      <c r="F823" t="str">
        <f>"0385550618"</f>
        <v>0385550618</v>
      </c>
      <c r="G823" t="str">
        <f>"9780385550611"</f>
        <v>9780385550611</v>
      </c>
      <c r="H823">
        <v>0</v>
      </c>
      <c r="I823">
        <v>3.52</v>
      </c>
      <c r="J823" t="s">
        <v>637</v>
      </c>
      <c r="K823" t="s">
        <v>48</v>
      </c>
      <c r="L823">
        <v>352</v>
      </c>
      <c r="M823">
        <v>2024</v>
      </c>
      <c r="N823">
        <v>2024</v>
      </c>
      <c r="P823" s="1">
        <v>45351</v>
      </c>
      <c r="Q823" t="s">
        <v>30</v>
      </c>
      <c r="R823" t="s">
        <v>3265</v>
      </c>
      <c r="S823" t="s">
        <v>30</v>
      </c>
      <c r="W823">
        <v>0</v>
      </c>
      <c r="X823">
        <v>0</v>
      </c>
      <c r="Y823" t="s">
        <v>38</v>
      </c>
    </row>
    <row r="824" spans="1:25" x14ac:dyDescent="0.35">
      <c r="A824">
        <v>75293507</v>
      </c>
      <c r="B824" t="s">
        <v>3266</v>
      </c>
      <c r="C824" t="s">
        <v>3267</v>
      </c>
      <c r="D824" t="s">
        <v>3268</v>
      </c>
      <c r="E824" t="s">
        <v>3269</v>
      </c>
      <c r="F824" t="str">
        <f>"0593468465"</f>
        <v>0593468465</v>
      </c>
      <c r="G824" t="str">
        <f>"9780593468463"</f>
        <v>9780593468463</v>
      </c>
      <c r="H824">
        <v>0</v>
      </c>
      <c r="I824">
        <v>3.91</v>
      </c>
      <c r="J824" t="s">
        <v>1379</v>
      </c>
      <c r="K824" t="s">
        <v>29</v>
      </c>
      <c r="L824">
        <v>400</v>
      </c>
      <c r="M824">
        <v>2023</v>
      </c>
      <c r="N824">
        <v>2023</v>
      </c>
      <c r="P824" s="1">
        <v>45351</v>
      </c>
      <c r="Q824" t="s">
        <v>30</v>
      </c>
      <c r="R824" t="s">
        <v>3270</v>
      </c>
      <c r="S824" t="s">
        <v>30</v>
      </c>
      <c r="W824">
        <v>0</v>
      </c>
      <c r="X824">
        <v>0</v>
      </c>
      <c r="Y824" t="s">
        <v>38</v>
      </c>
    </row>
    <row r="825" spans="1:25" x14ac:dyDescent="0.35">
      <c r="A825">
        <v>174147294</v>
      </c>
      <c r="B825" t="s">
        <v>3271</v>
      </c>
      <c r="C825" t="s">
        <v>3272</v>
      </c>
      <c r="D825" t="s">
        <v>3273</v>
      </c>
      <c r="F825" t="str">
        <f>"0593318250"</f>
        <v>0593318250</v>
      </c>
      <c r="G825" t="str">
        <f>"9780593318256"</f>
        <v>9780593318256</v>
      </c>
      <c r="H825">
        <v>0</v>
      </c>
      <c r="I825">
        <v>3.85</v>
      </c>
      <c r="J825" t="s">
        <v>487</v>
      </c>
      <c r="K825" t="s">
        <v>48</v>
      </c>
      <c r="L825">
        <v>315</v>
      </c>
      <c r="M825">
        <v>2024</v>
      </c>
      <c r="N825">
        <v>2024</v>
      </c>
      <c r="P825" s="1">
        <v>45351</v>
      </c>
      <c r="Q825" t="s">
        <v>30</v>
      </c>
      <c r="R825" t="s">
        <v>3274</v>
      </c>
      <c r="S825" t="s">
        <v>30</v>
      </c>
      <c r="W825">
        <v>0</v>
      </c>
      <c r="X825">
        <v>0</v>
      </c>
      <c r="Y825" t="s">
        <v>38</v>
      </c>
    </row>
    <row r="826" spans="1:25" x14ac:dyDescent="0.35">
      <c r="A826">
        <v>6905012</v>
      </c>
      <c r="B826" t="s">
        <v>3275</v>
      </c>
      <c r="C826" t="s">
        <v>3276</v>
      </c>
      <c r="D826" t="s">
        <v>3277</v>
      </c>
      <c r="F826" t="str">
        <f>"0061922315"</f>
        <v>0061922315</v>
      </c>
      <c r="G826" t="str">
        <f>"9780061922312"</f>
        <v>9780061922312</v>
      </c>
      <c r="H826">
        <v>0</v>
      </c>
      <c r="I826">
        <v>4</v>
      </c>
      <c r="J826" t="s">
        <v>1666</v>
      </c>
      <c r="K826" t="s">
        <v>48</v>
      </c>
      <c r="L826">
        <v>339</v>
      </c>
      <c r="M826">
        <v>2010</v>
      </c>
      <c r="N826">
        <v>2010</v>
      </c>
      <c r="P826" s="1">
        <v>45351</v>
      </c>
      <c r="Q826" t="s">
        <v>30</v>
      </c>
      <c r="R826" t="s">
        <v>3278</v>
      </c>
      <c r="S826" t="s">
        <v>30</v>
      </c>
      <c r="W826">
        <v>0</v>
      </c>
      <c r="X826">
        <v>0</v>
      </c>
      <c r="Y826" t="s">
        <v>38</v>
      </c>
    </row>
    <row r="827" spans="1:25" x14ac:dyDescent="0.35">
      <c r="A827">
        <v>61140839</v>
      </c>
      <c r="B827" t="s">
        <v>3279</v>
      </c>
      <c r="C827" t="s">
        <v>1133</v>
      </c>
      <c r="D827" t="s">
        <v>1134</v>
      </c>
      <c r="F827" t="str">
        <f>"0800736389"</f>
        <v>0800736389</v>
      </c>
      <c r="G827" t="str">
        <f>"9780800736385"</f>
        <v>9780800736385</v>
      </c>
      <c r="H827">
        <v>0</v>
      </c>
      <c r="I827">
        <v>4.34</v>
      </c>
      <c r="J827" t="s">
        <v>259</v>
      </c>
      <c r="K827" t="s">
        <v>29</v>
      </c>
      <c r="L827">
        <v>343</v>
      </c>
      <c r="M827">
        <v>2023</v>
      </c>
      <c r="N827">
        <v>2023</v>
      </c>
      <c r="P827" s="1">
        <v>45351</v>
      </c>
      <c r="Q827" t="s">
        <v>30</v>
      </c>
      <c r="R827" t="s">
        <v>3280</v>
      </c>
      <c r="S827" t="s">
        <v>30</v>
      </c>
      <c r="W827">
        <v>0</v>
      </c>
      <c r="X827">
        <v>0</v>
      </c>
      <c r="Y827" t="s">
        <v>38</v>
      </c>
    </row>
    <row r="828" spans="1:25" x14ac:dyDescent="0.35">
      <c r="A828">
        <v>26114545</v>
      </c>
      <c r="B828" t="s">
        <v>3281</v>
      </c>
      <c r="C828" t="s">
        <v>3282</v>
      </c>
      <c r="D828" t="s">
        <v>3283</v>
      </c>
      <c r="F828" t="str">
        <f>"0765378000"</f>
        <v>0765378000</v>
      </c>
      <c r="G828" t="str">
        <f>"9780765378002"</f>
        <v>9780765378002</v>
      </c>
      <c r="H828">
        <v>0</v>
      </c>
      <c r="I828">
        <v>3.82</v>
      </c>
      <c r="J828" t="s">
        <v>868</v>
      </c>
      <c r="K828" t="s">
        <v>48</v>
      </c>
      <c r="L828">
        <v>432</v>
      </c>
      <c r="M828">
        <v>2016</v>
      </c>
      <c r="N828">
        <v>2016</v>
      </c>
      <c r="P828" s="1">
        <v>45351</v>
      </c>
      <c r="Q828" t="s">
        <v>30</v>
      </c>
      <c r="R828" t="s">
        <v>3284</v>
      </c>
      <c r="S828" t="s">
        <v>30</v>
      </c>
      <c r="W828">
        <v>0</v>
      </c>
      <c r="X828">
        <v>0</v>
      </c>
      <c r="Y828" t="s">
        <v>38</v>
      </c>
    </row>
    <row r="829" spans="1:25" x14ac:dyDescent="0.35">
      <c r="A829">
        <v>72291354</v>
      </c>
      <c r="B829" t="s">
        <v>3285</v>
      </c>
      <c r="C829" t="s">
        <v>3286</v>
      </c>
      <c r="D829" t="s">
        <v>3287</v>
      </c>
      <c r="F829" t="str">
        <f>"1620975394"</f>
        <v>1620975394</v>
      </c>
      <c r="G829" t="str">
        <f>"9781620975398"</f>
        <v>9781620975398</v>
      </c>
      <c r="H829">
        <v>0</v>
      </c>
      <c r="I829">
        <v>4.53</v>
      </c>
      <c r="J829" t="s">
        <v>3288</v>
      </c>
      <c r="K829" t="s">
        <v>48</v>
      </c>
      <c r="L829">
        <v>352</v>
      </c>
      <c r="M829">
        <v>2023</v>
      </c>
      <c r="N829">
        <v>2023</v>
      </c>
      <c r="P829" s="1">
        <v>45351</v>
      </c>
      <c r="Q829" t="s">
        <v>30</v>
      </c>
      <c r="R829" t="s">
        <v>3289</v>
      </c>
      <c r="S829" t="s">
        <v>30</v>
      </c>
      <c r="W829">
        <v>0</v>
      </c>
      <c r="X829">
        <v>0</v>
      </c>
      <c r="Y829" t="s">
        <v>38</v>
      </c>
    </row>
    <row r="830" spans="1:25" x14ac:dyDescent="0.35">
      <c r="A830">
        <v>40899464</v>
      </c>
      <c r="B830" t="s">
        <v>3290</v>
      </c>
      <c r="C830" t="s">
        <v>3291</v>
      </c>
      <c r="D830" t="s">
        <v>3292</v>
      </c>
      <c r="F830" t="str">
        <f>"1525831518"</f>
        <v>1525831518</v>
      </c>
      <c r="G830" t="str">
        <f>"9781525831515"</f>
        <v>9781525831515</v>
      </c>
      <c r="H830">
        <v>0</v>
      </c>
      <c r="I830">
        <v>4.54</v>
      </c>
      <c r="J830" t="s">
        <v>3293</v>
      </c>
      <c r="K830" t="s">
        <v>48</v>
      </c>
      <c r="L830">
        <v>448</v>
      </c>
      <c r="M830">
        <v>2019</v>
      </c>
      <c r="N830">
        <v>2019</v>
      </c>
      <c r="P830" s="1">
        <v>45350</v>
      </c>
      <c r="Q830" t="s">
        <v>30</v>
      </c>
      <c r="R830" t="s">
        <v>3294</v>
      </c>
      <c r="S830" t="s">
        <v>30</v>
      </c>
      <c r="W830">
        <v>0</v>
      </c>
      <c r="X830">
        <v>0</v>
      </c>
      <c r="Y830" t="s">
        <v>38</v>
      </c>
    </row>
    <row r="831" spans="1:25" x14ac:dyDescent="0.35">
      <c r="A831">
        <v>57015893</v>
      </c>
      <c r="B831" t="s">
        <v>3295</v>
      </c>
      <c r="C831" t="s">
        <v>3296</v>
      </c>
      <c r="D831" t="s">
        <v>3297</v>
      </c>
      <c r="F831" t="str">
        <f>"080073890X"</f>
        <v>080073890X</v>
      </c>
      <c r="G831" t="str">
        <f>"9780800738907"</f>
        <v>9780800738907</v>
      </c>
      <c r="H831">
        <v>0</v>
      </c>
      <c r="I831">
        <v>3.58</v>
      </c>
      <c r="J831" t="s">
        <v>259</v>
      </c>
      <c r="K831" t="s">
        <v>29</v>
      </c>
      <c r="L831">
        <v>336</v>
      </c>
      <c r="M831">
        <v>2021</v>
      </c>
      <c r="N831">
        <v>2021</v>
      </c>
      <c r="P831" s="1">
        <v>45350</v>
      </c>
      <c r="Q831" t="s">
        <v>30</v>
      </c>
      <c r="R831" t="s">
        <v>3298</v>
      </c>
      <c r="S831" t="s">
        <v>30</v>
      </c>
      <c r="W831">
        <v>0</v>
      </c>
      <c r="X831">
        <v>0</v>
      </c>
      <c r="Y831" t="s">
        <v>38</v>
      </c>
    </row>
    <row r="832" spans="1:25" x14ac:dyDescent="0.35">
      <c r="A832">
        <v>20439981</v>
      </c>
      <c r="B832" t="s">
        <v>3299</v>
      </c>
      <c r="C832" t="s">
        <v>2722</v>
      </c>
      <c r="D832" t="s">
        <v>2723</v>
      </c>
      <c r="E832" t="s">
        <v>2724</v>
      </c>
      <c r="F832" t="str">
        <f>"1628363126"</f>
        <v>1628363126</v>
      </c>
      <c r="G832" t="str">
        <f>"9781628363128"</f>
        <v>9781628363128</v>
      </c>
      <c r="H832">
        <v>0</v>
      </c>
      <c r="I832">
        <v>4.2699999999999996</v>
      </c>
      <c r="J832" t="s">
        <v>817</v>
      </c>
      <c r="K832" t="s">
        <v>85</v>
      </c>
      <c r="L832">
        <v>354</v>
      </c>
      <c r="M832">
        <v>2013</v>
      </c>
      <c r="N832">
        <v>2013</v>
      </c>
      <c r="P832" s="1">
        <v>45349</v>
      </c>
      <c r="Q832" t="s">
        <v>30</v>
      </c>
      <c r="R832" t="s">
        <v>3300</v>
      </c>
      <c r="S832" t="s">
        <v>30</v>
      </c>
      <c r="W832">
        <v>0</v>
      </c>
      <c r="X832">
        <v>0</v>
      </c>
      <c r="Y832" t="s">
        <v>32</v>
      </c>
    </row>
    <row r="833" spans="1:25" x14ac:dyDescent="0.35">
      <c r="A833">
        <v>57903903</v>
      </c>
      <c r="B833" t="s">
        <v>3301</v>
      </c>
      <c r="C833" t="s">
        <v>3302</v>
      </c>
      <c r="D833" t="s">
        <v>3303</v>
      </c>
      <c r="F833" t="str">
        <f>"1943243778"</f>
        <v>1943243778</v>
      </c>
      <c r="G833" t="str">
        <f>"9781943243778"</f>
        <v>9781943243778</v>
      </c>
      <c r="H833">
        <v>0</v>
      </c>
      <c r="I833">
        <v>4.37</v>
      </c>
      <c r="J833" t="s">
        <v>3304</v>
      </c>
      <c r="K833" t="s">
        <v>48</v>
      </c>
      <c r="L833">
        <v>253</v>
      </c>
      <c r="M833">
        <v>2021</v>
      </c>
      <c r="P833" s="1">
        <v>45349</v>
      </c>
      <c r="Q833" t="s">
        <v>30</v>
      </c>
      <c r="R833" t="s">
        <v>3305</v>
      </c>
      <c r="S833" t="s">
        <v>30</v>
      </c>
      <c r="W833">
        <v>0</v>
      </c>
      <c r="X833">
        <v>0</v>
      </c>
      <c r="Y833" t="s">
        <v>444</v>
      </c>
    </row>
    <row r="834" spans="1:25" x14ac:dyDescent="0.35">
      <c r="A834">
        <v>25845273</v>
      </c>
      <c r="B834" t="s">
        <v>3306</v>
      </c>
      <c r="C834" t="s">
        <v>1344</v>
      </c>
      <c r="D834" t="s">
        <v>1345</v>
      </c>
      <c r="F834" t="str">
        <f>""</f>
        <v/>
      </c>
      <c r="G834" t="str">
        <f>""</f>
        <v/>
      </c>
      <c r="H834">
        <v>0</v>
      </c>
      <c r="I834">
        <v>4.33</v>
      </c>
      <c r="J834" t="s">
        <v>292</v>
      </c>
      <c r="K834" t="s">
        <v>29</v>
      </c>
      <c r="L834">
        <v>146</v>
      </c>
      <c r="M834">
        <v>2015</v>
      </c>
      <c r="N834">
        <v>1946</v>
      </c>
      <c r="P834" s="1">
        <v>45349</v>
      </c>
      <c r="Q834" t="s">
        <v>30</v>
      </c>
      <c r="R834" t="s">
        <v>3307</v>
      </c>
      <c r="S834" t="s">
        <v>30</v>
      </c>
      <c r="W834">
        <v>0</v>
      </c>
      <c r="X834">
        <v>0</v>
      </c>
      <c r="Y834" t="s">
        <v>38</v>
      </c>
    </row>
    <row r="835" spans="1:25" x14ac:dyDescent="0.35">
      <c r="A835">
        <v>25825420</v>
      </c>
      <c r="B835" t="s">
        <v>3308</v>
      </c>
      <c r="C835" t="s">
        <v>1344</v>
      </c>
      <c r="D835" t="s">
        <v>1345</v>
      </c>
      <c r="F835" t="str">
        <f>""</f>
        <v/>
      </c>
      <c r="G835" t="str">
        <f>""</f>
        <v/>
      </c>
      <c r="H835">
        <v>0</v>
      </c>
      <c r="I835">
        <v>4.12</v>
      </c>
      <c r="J835" t="s">
        <v>2394</v>
      </c>
      <c r="K835" t="s">
        <v>29</v>
      </c>
      <c r="L835">
        <v>113</v>
      </c>
      <c r="M835">
        <v>2015</v>
      </c>
      <c r="N835">
        <v>1943</v>
      </c>
      <c r="P835" s="1">
        <v>45349</v>
      </c>
      <c r="Q835" t="s">
        <v>30</v>
      </c>
      <c r="R835" t="s">
        <v>3309</v>
      </c>
      <c r="S835" t="s">
        <v>30</v>
      </c>
      <c r="W835">
        <v>0</v>
      </c>
      <c r="X835">
        <v>0</v>
      </c>
      <c r="Y835" t="s">
        <v>38</v>
      </c>
    </row>
    <row r="836" spans="1:25" x14ac:dyDescent="0.35">
      <c r="A836">
        <v>444381</v>
      </c>
      <c r="B836" t="s">
        <v>3310</v>
      </c>
      <c r="C836" t="s">
        <v>3311</v>
      </c>
      <c r="D836" t="s">
        <v>3312</v>
      </c>
      <c r="E836" t="s">
        <v>3313</v>
      </c>
      <c r="F836" t="str">
        <f>"0140367462"</f>
        <v>0140367462</v>
      </c>
      <c r="G836" t="str">
        <f>"9780140367461"</f>
        <v>9780140367461</v>
      </c>
      <c r="H836">
        <v>0</v>
      </c>
      <c r="I836">
        <v>4.0199999999999996</v>
      </c>
      <c r="J836" t="s">
        <v>3314</v>
      </c>
      <c r="K836" t="s">
        <v>29</v>
      </c>
      <c r="L836">
        <v>241</v>
      </c>
      <c r="M836">
        <v>1997</v>
      </c>
      <c r="N836">
        <v>1872</v>
      </c>
      <c r="P836" s="1">
        <v>45349</v>
      </c>
      <c r="Q836" t="s">
        <v>30</v>
      </c>
      <c r="R836" t="s">
        <v>3315</v>
      </c>
      <c r="S836" t="s">
        <v>30</v>
      </c>
      <c r="W836">
        <v>0</v>
      </c>
      <c r="X836">
        <v>0</v>
      </c>
      <c r="Y836" t="s">
        <v>38</v>
      </c>
    </row>
    <row r="837" spans="1:25" x14ac:dyDescent="0.35">
      <c r="A837">
        <v>58739426</v>
      </c>
      <c r="B837" t="s">
        <v>3316</v>
      </c>
      <c r="C837" t="s">
        <v>3317</v>
      </c>
      <c r="D837" t="s">
        <v>3318</v>
      </c>
      <c r="F837" t="str">
        <f>"1646141326"</f>
        <v>1646141326</v>
      </c>
      <c r="G837" t="str">
        <f>"9781646141326"</f>
        <v>9781646141326</v>
      </c>
      <c r="H837">
        <v>0</v>
      </c>
      <c r="I837">
        <v>3.9</v>
      </c>
      <c r="J837" t="s">
        <v>568</v>
      </c>
      <c r="K837" t="s">
        <v>48</v>
      </c>
      <c r="L837">
        <v>208</v>
      </c>
      <c r="M837">
        <v>2022</v>
      </c>
      <c r="N837">
        <v>2022</v>
      </c>
      <c r="P837" s="1">
        <v>45349</v>
      </c>
      <c r="Q837" t="s">
        <v>30</v>
      </c>
      <c r="R837" t="s">
        <v>3319</v>
      </c>
      <c r="S837" t="s">
        <v>30</v>
      </c>
      <c r="W837">
        <v>0</v>
      </c>
      <c r="X837">
        <v>0</v>
      </c>
      <c r="Y837" t="s">
        <v>38</v>
      </c>
    </row>
    <row r="838" spans="1:25" x14ac:dyDescent="0.35">
      <c r="A838">
        <v>61827493</v>
      </c>
      <c r="B838" t="s">
        <v>3320</v>
      </c>
      <c r="C838" t="s">
        <v>3321</v>
      </c>
      <c r="D838" t="s">
        <v>3322</v>
      </c>
      <c r="F838" t="str">
        <f>"0702267074"</f>
        <v>0702267074</v>
      </c>
      <c r="G838" t="str">
        <f>"9780702267079"</f>
        <v>9780702267079</v>
      </c>
      <c r="H838">
        <v>0</v>
      </c>
      <c r="I838">
        <v>4.51</v>
      </c>
      <c r="J838" t="s">
        <v>162</v>
      </c>
      <c r="K838" t="s">
        <v>85</v>
      </c>
      <c r="M838">
        <v>2022</v>
      </c>
      <c r="N838">
        <v>2022</v>
      </c>
      <c r="P838" s="1">
        <v>45349</v>
      </c>
      <c r="Q838" t="s">
        <v>30</v>
      </c>
      <c r="R838" t="s">
        <v>3323</v>
      </c>
      <c r="S838" t="s">
        <v>30</v>
      </c>
      <c r="W838">
        <v>0</v>
      </c>
      <c r="X838">
        <v>0</v>
      </c>
      <c r="Y838" t="s">
        <v>38</v>
      </c>
    </row>
    <row r="839" spans="1:25" x14ac:dyDescent="0.35">
      <c r="A839">
        <v>16299</v>
      </c>
      <c r="B839" t="s">
        <v>3324</v>
      </c>
      <c r="C839" t="s">
        <v>2931</v>
      </c>
      <c r="D839" t="s">
        <v>2932</v>
      </c>
      <c r="F839" t="str">
        <f>"0312330871"</f>
        <v>0312330871</v>
      </c>
      <c r="G839" t="str">
        <f>"9780312330873"</f>
        <v>9780312330873</v>
      </c>
      <c r="H839">
        <v>0</v>
      </c>
      <c r="I839">
        <v>4.28</v>
      </c>
      <c r="J839" t="s">
        <v>1215</v>
      </c>
      <c r="K839" t="s">
        <v>29</v>
      </c>
      <c r="L839">
        <v>264</v>
      </c>
      <c r="M839">
        <v>2004</v>
      </c>
      <c r="N839">
        <v>1939</v>
      </c>
      <c r="P839" s="1">
        <v>45349</v>
      </c>
      <c r="Q839" t="s">
        <v>30</v>
      </c>
      <c r="R839" t="s">
        <v>3325</v>
      </c>
      <c r="S839" t="s">
        <v>30</v>
      </c>
      <c r="W839">
        <v>0</v>
      </c>
      <c r="X839">
        <v>0</v>
      </c>
      <c r="Y839" t="s">
        <v>38</v>
      </c>
    </row>
    <row r="840" spans="1:25" x14ac:dyDescent="0.35">
      <c r="A840">
        <v>49354511</v>
      </c>
      <c r="B840" t="s">
        <v>3326</v>
      </c>
      <c r="C840" t="s">
        <v>3327</v>
      </c>
      <c r="D840" t="s">
        <v>3328</v>
      </c>
      <c r="F840" t="str">
        <f>"1925972593"</f>
        <v>1925972593</v>
      </c>
      <c r="G840" t="str">
        <f>"9781925972597"</f>
        <v>9781925972597</v>
      </c>
      <c r="H840">
        <v>0</v>
      </c>
      <c r="I840">
        <v>4.0199999999999996</v>
      </c>
      <c r="J840" t="s">
        <v>3329</v>
      </c>
      <c r="K840" t="s">
        <v>29</v>
      </c>
      <c r="L840">
        <v>384</v>
      </c>
      <c r="M840">
        <v>2021</v>
      </c>
      <c r="N840">
        <v>2020</v>
      </c>
      <c r="P840" s="1">
        <v>45349</v>
      </c>
      <c r="Q840" t="s">
        <v>30</v>
      </c>
      <c r="R840" t="s">
        <v>3330</v>
      </c>
      <c r="S840" t="s">
        <v>30</v>
      </c>
      <c r="W840">
        <v>0</v>
      </c>
      <c r="X840">
        <v>0</v>
      </c>
      <c r="Y840" t="s">
        <v>38</v>
      </c>
    </row>
    <row r="841" spans="1:25" x14ac:dyDescent="0.35">
      <c r="A841">
        <v>20912424</v>
      </c>
      <c r="B841" t="s">
        <v>3331</v>
      </c>
      <c r="C841" t="s">
        <v>2420</v>
      </c>
      <c r="D841" t="s">
        <v>2421</v>
      </c>
      <c r="F841" t="str">
        <f>"0803740816"</f>
        <v>0803740816</v>
      </c>
      <c r="G841" t="str">
        <f>"9780803740815"</f>
        <v>9780803740815</v>
      </c>
      <c r="H841">
        <v>0</v>
      </c>
      <c r="I841">
        <v>4.49</v>
      </c>
      <c r="J841" t="s">
        <v>2281</v>
      </c>
      <c r="K841" t="s">
        <v>48</v>
      </c>
      <c r="L841">
        <v>316</v>
      </c>
      <c r="M841">
        <v>2015</v>
      </c>
      <c r="N841">
        <v>2015</v>
      </c>
      <c r="P841" s="1">
        <v>45349</v>
      </c>
      <c r="Q841" t="s">
        <v>30</v>
      </c>
      <c r="R841" t="s">
        <v>3332</v>
      </c>
      <c r="S841" t="s">
        <v>30</v>
      </c>
      <c r="W841">
        <v>0</v>
      </c>
      <c r="X841">
        <v>0</v>
      </c>
      <c r="Y841" t="s">
        <v>32</v>
      </c>
    </row>
    <row r="842" spans="1:25" x14ac:dyDescent="0.35">
      <c r="A842">
        <v>52762903</v>
      </c>
      <c r="B842" t="s">
        <v>3333</v>
      </c>
      <c r="C842" t="s">
        <v>3334</v>
      </c>
      <c r="D842" t="s">
        <v>3335</v>
      </c>
      <c r="F842" t="str">
        <f>"1982131896"</f>
        <v>1982131896</v>
      </c>
      <c r="G842" t="str">
        <f>"9781982131890"</f>
        <v>9781982131890</v>
      </c>
      <c r="H842">
        <v>0</v>
      </c>
      <c r="I842">
        <v>4.43</v>
      </c>
      <c r="J842" t="s">
        <v>2809</v>
      </c>
      <c r="K842" t="s">
        <v>48</v>
      </c>
      <c r="L842">
        <v>388</v>
      </c>
      <c r="M842">
        <v>2020</v>
      </c>
      <c r="N842">
        <v>2020</v>
      </c>
      <c r="P842" s="1">
        <v>45349</v>
      </c>
      <c r="Q842" t="s">
        <v>30</v>
      </c>
      <c r="R842" t="s">
        <v>3336</v>
      </c>
      <c r="S842" t="s">
        <v>30</v>
      </c>
      <c r="W842">
        <v>0</v>
      </c>
      <c r="X842">
        <v>0</v>
      </c>
      <c r="Y842" t="s">
        <v>38</v>
      </c>
    </row>
    <row r="843" spans="1:25" x14ac:dyDescent="0.35">
      <c r="A843">
        <v>7244</v>
      </c>
      <c r="B843" t="s">
        <v>3337</v>
      </c>
      <c r="C843" t="s">
        <v>1550</v>
      </c>
      <c r="D843" t="s">
        <v>1551</v>
      </c>
      <c r="F843" t="str">
        <f>"0060786507"</f>
        <v>0060786507</v>
      </c>
      <c r="G843" t="str">
        <f>"9780060786502"</f>
        <v>9780060786502</v>
      </c>
      <c r="H843">
        <v>0</v>
      </c>
      <c r="I843">
        <v>4.0999999999999996</v>
      </c>
      <c r="J843" t="s">
        <v>3338</v>
      </c>
      <c r="K843" t="s">
        <v>29</v>
      </c>
      <c r="L843">
        <v>546</v>
      </c>
      <c r="M843">
        <v>2005</v>
      </c>
      <c r="N843">
        <v>1998</v>
      </c>
      <c r="P843" s="1">
        <v>45349</v>
      </c>
      <c r="Q843" t="s">
        <v>30</v>
      </c>
      <c r="R843" t="s">
        <v>3339</v>
      </c>
      <c r="S843" t="s">
        <v>30</v>
      </c>
      <c r="W843">
        <v>0</v>
      </c>
      <c r="X843">
        <v>0</v>
      </c>
      <c r="Y843" t="s">
        <v>122</v>
      </c>
    </row>
    <row r="844" spans="1:25" x14ac:dyDescent="0.35">
      <c r="A844">
        <v>13158800</v>
      </c>
      <c r="B844" t="s">
        <v>3340</v>
      </c>
      <c r="C844" t="s">
        <v>3341</v>
      </c>
      <c r="D844" t="s">
        <v>3342</v>
      </c>
      <c r="F844" t="str">
        <f>"1451681739"</f>
        <v>1451681739</v>
      </c>
      <c r="G844" t="str">
        <f>"9781451681734"</f>
        <v>9781451681734</v>
      </c>
      <c r="H844">
        <v>0</v>
      </c>
      <c r="I844">
        <v>4.04</v>
      </c>
      <c r="J844" t="s">
        <v>765</v>
      </c>
      <c r="K844" t="s">
        <v>48</v>
      </c>
      <c r="L844">
        <v>362</v>
      </c>
      <c r="M844">
        <v>2012</v>
      </c>
      <c r="N844">
        <v>2012</v>
      </c>
      <c r="P844" s="1">
        <v>45349</v>
      </c>
      <c r="Q844" t="s">
        <v>30</v>
      </c>
      <c r="R844" t="s">
        <v>3343</v>
      </c>
      <c r="S844" t="s">
        <v>30</v>
      </c>
      <c r="W844">
        <v>0</v>
      </c>
      <c r="X844">
        <v>0</v>
      </c>
      <c r="Y844" t="s">
        <v>38</v>
      </c>
    </row>
    <row r="845" spans="1:25" x14ac:dyDescent="0.35">
      <c r="A845">
        <v>27071490</v>
      </c>
      <c r="B845" t="s">
        <v>3344</v>
      </c>
      <c r="C845" t="s">
        <v>3345</v>
      </c>
      <c r="D845" t="s">
        <v>3346</v>
      </c>
      <c r="F845" t="str">
        <f>""</f>
        <v/>
      </c>
      <c r="G845" t="str">
        <f>""</f>
        <v/>
      </c>
      <c r="H845">
        <v>0</v>
      </c>
      <c r="I845">
        <v>4.47</v>
      </c>
      <c r="J845" t="s">
        <v>3347</v>
      </c>
      <c r="K845" t="s">
        <v>48</v>
      </c>
      <c r="L845">
        <v>305</v>
      </c>
      <c r="M845">
        <v>2016</v>
      </c>
      <c r="N845">
        <v>2016</v>
      </c>
      <c r="P845" s="1">
        <v>45349</v>
      </c>
      <c r="Q845" t="s">
        <v>30</v>
      </c>
      <c r="R845" t="s">
        <v>3348</v>
      </c>
      <c r="S845" t="s">
        <v>30</v>
      </c>
      <c r="W845">
        <v>0</v>
      </c>
      <c r="X845">
        <v>0</v>
      </c>
      <c r="Y845" t="s">
        <v>38</v>
      </c>
    </row>
    <row r="846" spans="1:25" x14ac:dyDescent="0.35">
      <c r="A846">
        <v>30555488</v>
      </c>
      <c r="B846" t="s">
        <v>3349</v>
      </c>
      <c r="C846" t="s">
        <v>3350</v>
      </c>
      <c r="D846" t="s">
        <v>3351</v>
      </c>
      <c r="F846" t="str">
        <f>"0385542364"</f>
        <v>0385542364</v>
      </c>
      <c r="G846" t="str">
        <f>"9780385542364"</f>
        <v>9780385542364</v>
      </c>
      <c r="H846">
        <v>0</v>
      </c>
      <c r="I846">
        <v>4.0599999999999996</v>
      </c>
      <c r="J846" t="s">
        <v>637</v>
      </c>
      <c r="K846" t="s">
        <v>48</v>
      </c>
      <c r="L846">
        <v>320</v>
      </c>
      <c r="M846">
        <v>2016</v>
      </c>
      <c r="N846">
        <v>2016</v>
      </c>
      <c r="P846" s="1">
        <v>45349</v>
      </c>
      <c r="Q846" t="s">
        <v>30</v>
      </c>
      <c r="R846" t="s">
        <v>3352</v>
      </c>
      <c r="S846" t="s">
        <v>30</v>
      </c>
      <c r="W846">
        <v>0</v>
      </c>
      <c r="X846">
        <v>0</v>
      </c>
      <c r="Y846" t="s">
        <v>38</v>
      </c>
    </row>
    <row r="847" spans="1:25" x14ac:dyDescent="0.35">
      <c r="A847">
        <v>77203</v>
      </c>
      <c r="B847" t="s">
        <v>3353</v>
      </c>
      <c r="C847" t="s">
        <v>3219</v>
      </c>
      <c r="D847" t="s">
        <v>3220</v>
      </c>
      <c r="F847" t="str">
        <f>"159463193X"</f>
        <v>159463193X</v>
      </c>
      <c r="G847" t="str">
        <f>"9781594631931"</f>
        <v>9781594631931</v>
      </c>
      <c r="H847">
        <v>0</v>
      </c>
      <c r="I847">
        <v>4.3499999999999996</v>
      </c>
      <c r="J847" t="s">
        <v>1360</v>
      </c>
      <c r="K847" t="s">
        <v>29</v>
      </c>
      <c r="L847">
        <v>371</v>
      </c>
      <c r="M847">
        <v>2004</v>
      </c>
      <c r="N847">
        <v>2003</v>
      </c>
      <c r="P847" s="1">
        <v>45349</v>
      </c>
      <c r="Q847" t="s">
        <v>30</v>
      </c>
      <c r="R847" t="s">
        <v>3354</v>
      </c>
      <c r="S847" t="s">
        <v>30</v>
      </c>
      <c r="W847">
        <v>0</v>
      </c>
      <c r="X847">
        <v>0</v>
      </c>
      <c r="Y847" t="s">
        <v>38</v>
      </c>
    </row>
    <row r="848" spans="1:25" x14ac:dyDescent="0.35">
      <c r="A848">
        <v>18143977</v>
      </c>
      <c r="B848" t="s">
        <v>3355</v>
      </c>
      <c r="C848" t="s">
        <v>3356</v>
      </c>
      <c r="D848" t="s">
        <v>3357</v>
      </c>
      <c r="F848" t="str">
        <f>"1476746583"</f>
        <v>1476746583</v>
      </c>
      <c r="G848" t="str">
        <f>"9781476746586"</f>
        <v>9781476746586</v>
      </c>
      <c r="H848">
        <v>0</v>
      </c>
      <c r="I848">
        <v>4.3099999999999996</v>
      </c>
      <c r="J848" t="s">
        <v>765</v>
      </c>
      <c r="K848" t="s">
        <v>48</v>
      </c>
      <c r="L848">
        <v>544</v>
      </c>
      <c r="M848">
        <v>2014</v>
      </c>
      <c r="N848">
        <v>2014</v>
      </c>
      <c r="P848" s="1">
        <v>45349</v>
      </c>
      <c r="Q848" t="s">
        <v>30</v>
      </c>
      <c r="R848" t="s">
        <v>3358</v>
      </c>
      <c r="S848" t="s">
        <v>30</v>
      </c>
      <c r="W848">
        <v>0</v>
      </c>
      <c r="X848">
        <v>0</v>
      </c>
      <c r="Y848" t="s">
        <v>38</v>
      </c>
    </row>
    <row r="849" spans="1:25" x14ac:dyDescent="0.35">
      <c r="A849">
        <v>8562234</v>
      </c>
      <c r="B849" t="s">
        <v>3359</v>
      </c>
      <c r="C849" t="s">
        <v>3360</v>
      </c>
      <c r="D849" t="s">
        <v>3361</v>
      </c>
      <c r="F849" t="str">
        <f>""</f>
        <v/>
      </c>
      <c r="G849" t="str">
        <f>""</f>
        <v/>
      </c>
      <c r="H849">
        <v>0</v>
      </c>
      <c r="I849">
        <v>4.12</v>
      </c>
      <c r="J849" t="s">
        <v>2740</v>
      </c>
      <c r="K849" t="s">
        <v>85</v>
      </c>
      <c r="L849">
        <v>225</v>
      </c>
      <c r="M849">
        <v>2010</v>
      </c>
      <c r="N849">
        <v>2010</v>
      </c>
      <c r="P849" s="1">
        <v>45342</v>
      </c>
      <c r="Q849" t="s">
        <v>30</v>
      </c>
      <c r="R849" t="s">
        <v>3362</v>
      </c>
      <c r="S849" t="s">
        <v>30</v>
      </c>
      <c r="W849">
        <v>0</v>
      </c>
      <c r="X849">
        <v>0</v>
      </c>
      <c r="Y849" t="s">
        <v>122</v>
      </c>
    </row>
    <row r="850" spans="1:25" x14ac:dyDescent="0.35">
      <c r="A850">
        <v>32148570</v>
      </c>
      <c r="B850" t="s">
        <v>3363</v>
      </c>
      <c r="C850" t="s">
        <v>3364</v>
      </c>
      <c r="D850" t="s">
        <v>3365</v>
      </c>
      <c r="F850" t="str">
        <f>"0425284689"</f>
        <v>0425284689</v>
      </c>
      <c r="G850" t="str">
        <f>"9780425284681"</f>
        <v>9780425284681</v>
      </c>
      <c r="H850">
        <v>0</v>
      </c>
      <c r="I850">
        <v>4.4000000000000004</v>
      </c>
      <c r="J850" t="s">
        <v>1008</v>
      </c>
      <c r="K850" t="s">
        <v>48</v>
      </c>
      <c r="L850">
        <v>342</v>
      </c>
      <c r="M850">
        <v>2017</v>
      </c>
      <c r="N850">
        <v>2017</v>
      </c>
      <c r="P850" s="1">
        <v>45343</v>
      </c>
      <c r="Q850" t="s">
        <v>30</v>
      </c>
      <c r="R850" t="s">
        <v>3366</v>
      </c>
      <c r="S850" t="s">
        <v>30</v>
      </c>
      <c r="W850">
        <v>0</v>
      </c>
      <c r="X850">
        <v>0</v>
      </c>
      <c r="Y850" t="s">
        <v>38</v>
      </c>
    </row>
    <row r="851" spans="1:25" x14ac:dyDescent="0.35">
      <c r="A851">
        <v>40914165</v>
      </c>
      <c r="B851" t="s">
        <v>3367</v>
      </c>
      <c r="C851" t="s">
        <v>3215</v>
      </c>
      <c r="D851" t="s">
        <v>3216</v>
      </c>
      <c r="F851" t="str">
        <f>""</f>
        <v/>
      </c>
      <c r="G851" t="str">
        <f>""</f>
        <v/>
      </c>
      <c r="H851">
        <v>0</v>
      </c>
      <c r="I851">
        <v>4.22</v>
      </c>
      <c r="J851" t="s">
        <v>435</v>
      </c>
      <c r="K851" t="s">
        <v>29</v>
      </c>
      <c r="L851">
        <v>309</v>
      </c>
      <c r="M851">
        <v>2019</v>
      </c>
      <c r="N851">
        <v>2019</v>
      </c>
      <c r="P851" s="1">
        <v>45343</v>
      </c>
      <c r="Q851" t="s">
        <v>30</v>
      </c>
      <c r="R851" t="s">
        <v>3368</v>
      </c>
      <c r="S851" t="s">
        <v>30</v>
      </c>
      <c r="W851">
        <v>0</v>
      </c>
      <c r="X851">
        <v>0</v>
      </c>
      <c r="Y851" t="s">
        <v>38</v>
      </c>
    </row>
    <row r="852" spans="1:25" x14ac:dyDescent="0.35">
      <c r="A852">
        <v>17415480</v>
      </c>
      <c r="B852" t="s">
        <v>3369</v>
      </c>
      <c r="C852" t="s">
        <v>3370</v>
      </c>
      <c r="D852" t="s">
        <v>3371</v>
      </c>
      <c r="F852" t="str">
        <f>"1442497831"</f>
        <v>1442497831</v>
      </c>
      <c r="G852" t="str">
        <f>"9781442497832"</f>
        <v>9781442497832</v>
      </c>
      <c r="H852">
        <v>0</v>
      </c>
      <c r="I852">
        <v>4.38</v>
      </c>
      <c r="J852" t="s">
        <v>545</v>
      </c>
      <c r="K852" t="s">
        <v>85</v>
      </c>
      <c r="L852">
        <v>240</v>
      </c>
      <c r="M852">
        <v>2013</v>
      </c>
      <c r="N852">
        <v>2013</v>
      </c>
      <c r="P852" s="1">
        <v>45343</v>
      </c>
      <c r="Q852" t="s">
        <v>30</v>
      </c>
      <c r="R852" t="s">
        <v>3372</v>
      </c>
      <c r="S852" t="s">
        <v>30</v>
      </c>
      <c r="W852">
        <v>0</v>
      </c>
      <c r="X852">
        <v>0</v>
      </c>
      <c r="Y852" t="s">
        <v>38</v>
      </c>
    </row>
    <row r="853" spans="1:25" x14ac:dyDescent="0.35">
      <c r="A853">
        <v>53458395</v>
      </c>
      <c r="B853" t="s">
        <v>3373</v>
      </c>
      <c r="C853" t="s">
        <v>3374</v>
      </c>
      <c r="D853" t="s">
        <v>3375</v>
      </c>
      <c r="E853" t="s">
        <v>3376</v>
      </c>
      <c r="F853" t="str">
        <f>"0736981799"</f>
        <v>0736981799</v>
      </c>
      <c r="G853" t="str">
        <f>"9780736981798"</f>
        <v>9780736981798</v>
      </c>
      <c r="H853">
        <v>0</v>
      </c>
      <c r="I853">
        <v>4.43</v>
      </c>
      <c r="J853" t="s">
        <v>3377</v>
      </c>
      <c r="K853" t="s">
        <v>29</v>
      </c>
      <c r="L853">
        <v>288</v>
      </c>
      <c r="M853">
        <v>2020</v>
      </c>
      <c r="N853">
        <v>2020</v>
      </c>
      <c r="P853" s="1">
        <v>45342</v>
      </c>
      <c r="Q853" t="s">
        <v>30</v>
      </c>
      <c r="R853" t="s">
        <v>3378</v>
      </c>
      <c r="S853" t="s">
        <v>30</v>
      </c>
      <c r="W853">
        <v>0</v>
      </c>
      <c r="X853">
        <v>0</v>
      </c>
      <c r="Y853" t="s">
        <v>122</v>
      </c>
    </row>
    <row r="854" spans="1:25" x14ac:dyDescent="0.35">
      <c r="A854">
        <v>43319615</v>
      </c>
      <c r="B854" t="s">
        <v>3379</v>
      </c>
      <c r="C854" t="s">
        <v>3380</v>
      </c>
      <c r="D854" t="s">
        <v>3381</v>
      </c>
      <c r="F854" t="str">
        <f>"133827547X"</f>
        <v>133827547X</v>
      </c>
      <c r="G854" t="str">
        <f>"9781338275476"</f>
        <v>9781338275476</v>
      </c>
      <c r="H854">
        <v>0</v>
      </c>
      <c r="I854">
        <v>4.28</v>
      </c>
      <c r="J854" t="s">
        <v>356</v>
      </c>
      <c r="K854" t="s">
        <v>48</v>
      </c>
      <c r="L854">
        <v>336</v>
      </c>
      <c r="M854">
        <v>2019</v>
      </c>
      <c r="N854">
        <v>2019</v>
      </c>
      <c r="P854" s="1">
        <v>45341</v>
      </c>
      <c r="Q854" t="s">
        <v>30</v>
      </c>
      <c r="R854" t="s">
        <v>3382</v>
      </c>
      <c r="S854" t="s">
        <v>30</v>
      </c>
      <c r="W854">
        <v>0</v>
      </c>
      <c r="X854">
        <v>0</v>
      </c>
      <c r="Y854" t="s">
        <v>38</v>
      </c>
    </row>
    <row r="855" spans="1:25" x14ac:dyDescent="0.35">
      <c r="A855">
        <v>112974911</v>
      </c>
      <c r="B855" t="s">
        <v>3383</v>
      </c>
      <c r="C855" t="s">
        <v>3384</v>
      </c>
      <c r="D855" t="s">
        <v>3385</v>
      </c>
      <c r="F855" t="str">
        <f>"0593625366"</f>
        <v>0593625366</v>
      </c>
      <c r="G855" t="str">
        <f>"9780593625361"</f>
        <v>9780593625361</v>
      </c>
      <c r="H855">
        <v>0</v>
      </c>
      <c r="I855">
        <v>3.87</v>
      </c>
      <c r="J855" t="s">
        <v>3386</v>
      </c>
      <c r="K855" t="s">
        <v>48</v>
      </c>
      <c r="L855">
        <v>384</v>
      </c>
      <c r="M855">
        <v>2023</v>
      </c>
      <c r="N855">
        <v>2023</v>
      </c>
      <c r="P855" s="1">
        <v>45341</v>
      </c>
      <c r="Q855" t="s">
        <v>30</v>
      </c>
      <c r="R855" t="s">
        <v>3387</v>
      </c>
      <c r="S855" t="s">
        <v>30</v>
      </c>
      <c r="W855">
        <v>0</v>
      </c>
      <c r="X855">
        <v>0</v>
      </c>
      <c r="Y855" t="s">
        <v>38</v>
      </c>
    </row>
    <row r="856" spans="1:25" x14ac:dyDescent="0.35">
      <c r="A856">
        <v>58275990</v>
      </c>
      <c r="B856" t="s">
        <v>3388</v>
      </c>
      <c r="C856" t="s">
        <v>3389</v>
      </c>
      <c r="D856" t="s">
        <v>3390</v>
      </c>
      <c r="F856" t="str">
        <f>"0316056618"</f>
        <v>0316056618</v>
      </c>
      <c r="G856" t="str">
        <f>"9780316056618"</f>
        <v>9780316056618</v>
      </c>
      <c r="H856">
        <v>0</v>
      </c>
      <c r="I856">
        <v>4.17</v>
      </c>
      <c r="J856" t="s">
        <v>185</v>
      </c>
      <c r="K856" t="s">
        <v>48</v>
      </c>
      <c r="L856">
        <v>416</v>
      </c>
      <c r="M856">
        <v>2022</v>
      </c>
      <c r="N856">
        <v>2022</v>
      </c>
      <c r="P856" s="1">
        <v>45341</v>
      </c>
      <c r="Q856" t="s">
        <v>30</v>
      </c>
      <c r="R856" t="s">
        <v>3391</v>
      </c>
      <c r="S856" t="s">
        <v>30</v>
      </c>
      <c r="W856">
        <v>0</v>
      </c>
      <c r="X856">
        <v>0</v>
      </c>
      <c r="Y856" t="s">
        <v>38</v>
      </c>
    </row>
    <row r="857" spans="1:25" x14ac:dyDescent="0.35">
      <c r="A857">
        <v>59449050</v>
      </c>
      <c r="B857" t="s">
        <v>3392</v>
      </c>
      <c r="C857" t="s">
        <v>3393</v>
      </c>
      <c r="D857" t="s">
        <v>3394</v>
      </c>
      <c r="F857" t="str">
        <f>"0800740270"</f>
        <v>0800740270</v>
      </c>
      <c r="G857" t="str">
        <f>"9780800740276"</f>
        <v>9780800740276</v>
      </c>
      <c r="H857">
        <v>0</v>
      </c>
      <c r="I857">
        <v>4.3600000000000003</v>
      </c>
      <c r="J857" t="s">
        <v>259</v>
      </c>
      <c r="K857" t="s">
        <v>29</v>
      </c>
      <c r="L857">
        <v>368</v>
      </c>
      <c r="M857">
        <v>2022</v>
      </c>
      <c r="N857">
        <v>2022</v>
      </c>
      <c r="P857" s="1">
        <v>45322</v>
      </c>
      <c r="Q857" t="s">
        <v>30</v>
      </c>
      <c r="R857" t="s">
        <v>3395</v>
      </c>
      <c r="S857" t="s">
        <v>30</v>
      </c>
      <c r="W857">
        <v>0</v>
      </c>
      <c r="X857">
        <v>0</v>
      </c>
      <c r="Y857" t="s">
        <v>38</v>
      </c>
    </row>
    <row r="858" spans="1:25" x14ac:dyDescent="0.35">
      <c r="A858">
        <v>16054808</v>
      </c>
      <c r="B858" t="s">
        <v>3396</v>
      </c>
      <c r="C858" t="s">
        <v>3017</v>
      </c>
      <c r="D858" t="s">
        <v>3018</v>
      </c>
      <c r="F858" t="str">
        <f>"037587089X"</f>
        <v>037587089X</v>
      </c>
      <c r="G858" t="str">
        <f>"9780375870897"</f>
        <v>9780375870897</v>
      </c>
      <c r="H858">
        <v>0</v>
      </c>
      <c r="I858">
        <v>4.12</v>
      </c>
      <c r="J858" t="s">
        <v>2687</v>
      </c>
      <c r="K858" t="s">
        <v>48</v>
      </c>
      <c r="L858">
        <v>304</v>
      </c>
      <c r="M858">
        <v>2013</v>
      </c>
      <c r="N858">
        <v>2013</v>
      </c>
      <c r="P858" s="1">
        <v>45336</v>
      </c>
      <c r="Q858" t="s">
        <v>30</v>
      </c>
      <c r="R858" t="s">
        <v>3397</v>
      </c>
      <c r="S858" t="s">
        <v>30</v>
      </c>
      <c r="W858">
        <v>0</v>
      </c>
      <c r="X858">
        <v>0</v>
      </c>
      <c r="Y858" t="s">
        <v>38</v>
      </c>
    </row>
    <row r="859" spans="1:25" x14ac:dyDescent="0.35">
      <c r="A859">
        <v>61037448</v>
      </c>
      <c r="B859" t="s">
        <v>3398</v>
      </c>
      <c r="C859" t="s">
        <v>2485</v>
      </c>
      <c r="D859" t="s">
        <v>2486</v>
      </c>
      <c r="F859" t="str">
        <f>""</f>
        <v/>
      </c>
      <c r="G859" t="str">
        <f>""</f>
        <v/>
      </c>
      <c r="H859">
        <v>0</v>
      </c>
      <c r="I859">
        <v>4.1500000000000004</v>
      </c>
      <c r="K859" t="s">
        <v>85</v>
      </c>
      <c r="L859">
        <v>294</v>
      </c>
      <c r="M859">
        <v>2022</v>
      </c>
      <c r="N859">
        <v>2022</v>
      </c>
      <c r="P859" s="1">
        <v>45328</v>
      </c>
      <c r="Q859" t="s">
        <v>30</v>
      </c>
      <c r="R859" t="s">
        <v>3399</v>
      </c>
      <c r="S859" t="s">
        <v>30</v>
      </c>
      <c r="W859">
        <v>0</v>
      </c>
      <c r="X859">
        <v>0</v>
      </c>
      <c r="Y859" t="s">
        <v>203</v>
      </c>
    </row>
    <row r="860" spans="1:25" x14ac:dyDescent="0.35">
      <c r="A860">
        <v>58578700</v>
      </c>
      <c r="B860" t="s">
        <v>3400</v>
      </c>
      <c r="C860" t="s">
        <v>3401</v>
      </c>
      <c r="D860" t="s">
        <v>3402</v>
      </c>
      <c r="F860" t="str">
        <f>"1250815908"</f>
        <v>1250815908</v>
      </c>
      <c r="G860" t="str">
        <f>"9781250815903"</f>
        <v>9781250815903</v>
      </c>
      <c r="H860">
        <v>0</v>
      </c>
      <c r="I860">
        <v>3.63</v>
      </c>
      <c r="J860" t="s">
        <v>1617</v>
      </c>
      <c r="K860" t="s">
        <v>29</v>
      </c>
      <c r="L860">
        <v>413</v>
      </c>
      <c r="M860">
        <v>2022</v>
      </c>
      <c r="N860">
        <v>2019</v>
      </c>
      <c r="P860" s="1">
        <v>45325</v>
      </c>
      <c r="Q860" t="s">
        <v>30</v>
      </c>
      <c r="R860" t="s">
        <v>3403</v>
      </c>
      <c r="S860" t="s">
        <v>30</v>
      </c>
      <c r="W860">
        <v>0</v>
      </c>
      <c r="X860">
        <v>0</v>
      </c>
      <c r="Y860" t="s">
        <v>38</v>
      </c>
    </row>
    <row r="861" spans="1:25" x14ac:dyDescent="0.35">
      <c r="A861">
        <v>59910462</v>
      </c>
      <c r="B861" t="s">
        <v>3404</v>
      </c>
      <c r="C861" t="s">
        <v>3405</v>
      </c>
      <c r="D861" t="s">
        <v>3406</v>
      </c>
      <c r="F861" t="str">
        <f>""</f>
        <v/>
      </c>
      <c r="G861" t="str">
        <f>"9798985568400"</f>
        <v>9798985568400</v>
      </c>
      <c r="H861">
        <v>0</v>
      </c>
      <c r="I861">
        <v>4.1100000000000003</v>
      </c>
      <c r="J861" t="s">
        <v>3407</v>
      </c>
      <c r="K861" t="s">
        <v>48</v>
      </c>
      <c r="L861">
        <v>430</v>
      </c>
      <c r="M861">
        <v>2022</v>
      </c>
      <c r="N861">
        <v>2022</v>
      </c>
      <c r="P861" s="1">
        <v>45322</v>
      </c>
      <c r="Q861" t="s">
        <v>30</v>
      </c>
      <c r="R861" t="s">
        <v>3408</v>
      </c>
      <c r="S861" t="s">
        <v>30</v>
      </c>
      <c r="W861">
        <v>0</v>
      </c>
      <c r="X861">
        <v>0</v>
      </c>
      <c r="Y861" t="s">
        <v>38</v>
      </c>
    </row>
    <row r="862" spans="1:25" x14ac:dyDescent="0.35">
      <c r="A862">
        <v>61411827</v>
      </c>
      <c r="B862" t="s">
        <v>3409</v>
      </c>
      <c r="C862" t="s">
        <v>1126</v>
      </c>
      <c r="D862" t="s">
        <v>1127</v>
      </c>
      <c r="F862" t="str">
        <f>"1496460685"</f>
        <v>1496460685</v>
      </c>
      <c r="G862" t="str">
        <f>"9781496460684"</f>
        <v>9781496460684</v>
      </c>
      <c r="H862">
        <v>0</v>
      </c>
      <c r="I862">
        <v>4.2699999999999996</v>
      </c>
      <c r="J862" t="s">
        <v>626</v>
      </c>
      <c r="K862" t="s">
        <v>85</v>
      </c>
      <c r="L862">
        <v>432</v>
      </c>
      <c r="M862">
        <v>2023</v>
      </c>
      <c r="N862">
        <v>2023</v>
      </c>
      <c r="P862" s="1">
        <v>45326</v>
      </c>
      <c r="Q862" t="s">
        <v>30</v>
      </c>
      <c r="R862" t="s">
        <v>3410</v>
      </c>
      <c r="S862" t="s">
        <v>30</v>
      </c>
      <c r="W862">
        <v>0</v>
      </c>
      <c r="X862">
        <v>0</v>
      </c>
      <c r="Y862" t="s">
        <v>38</v>
      </c>
    </row>
    <row r="863" spans="1:25" x14ac:dyDescent="0.35">
      <c r="A863">
        <v>17333319</v>
      </c>
      <c r="B863" t="s">
        <v>3411</v>
      </c>
      <c r="C863" t="s">
        <v>3412</v>
      </c>
      <c r="D863" t="s">
        <v>3413</v>
      </c>
      <c r="F863" t="str">
        <f>"0316243914"</f>
        <v>0316243914</v>
      </c>
      <c r="G863" t="str">
        <f>"9780316243919"</f>
        <v>9780316243919</v>
      </c>
      <c r="H863">
        <v>0</v>
      </c>
      <c r="I863">
        <v>4.03</v>
      </c>
      <c r="J863" t="s">
        <v>522</v>
      </c>
      <c r="K863" t="s">
        <v>48</v>
      </c>
      <c r="L863">
        <v>336</v>
      </c>
      <c r="M863">
        <v>2013</v>
      </c>
      <c r="N863">
        <v>2013</v>
      </c>
      <c r="P863" s="1">
        <v>45323</v>
      </c>
      <c r="Q863" t="s">
        <v>30</v>
      </c>
      <c r="R863" t="s">
        <v>3414</v>
      </c>
      <c r="S863" t="s">
        <v>30</v>
      </c>
      <c r="W863">
        <v>0</v>
      </c>
      <c r="X863">
        <v>0</v>
      </c>
      <c r="Y863" t="s">
        <v>38</v>
      </c>
    </row>
    <row r="864" spans="1:25" x14ac:dyDescent="0.35">
      <c r="A864">
        <v>53921926</v>
      </c>
      <c r="B864" t="s">
        <v>3415</v>
      </c>
      <c r="C864" t="s">
        <v>3416</v>
      </c>
      <c r="D864" t="s">
        <v>3417</v>
      </c>
      <c r="F864" t="str">
        <f>""</f>
        <v/>
      </c>
      <c r="G864" t="str">
        <f>""</f>
        <v/>
      </c>
      <c r="H864">
        <v>0</v>
      </c>
      <c r="I864">
        <v>4.04</v>
      </c>
      <c r="J864" t="s">
        <v>3418</v>
      </c>
      <c r="K864" t="s">
        <v>85</v>
      </c>
      <c r="L864">
        <v>356</v>
      </c>
      <c r="M864">
        <v>2020</v>
      </c>
      <c r="N864">
        <v>2018</v>
      </c>
      <c r="P864" s="1">
        <v>45325</v>
      </c>
      <c r="Q864" t="s">
        <v>30</v>
      </c>
      <c r="R864" t="s">
        <v>3419</v>
      </c>
      <c r="S864" t="s">
        <v>30</v>
      </c>
      <c r="W864">
        <v>0</v>
      </c>
      <c r="X864">
        <v>0</v>
      </c>
      <c r="Y864" t="s">
        <v>38</v>
      </c>
    </row>
    <row r="865" spans="1:25" x14ac:dyDescent="0.35">
      <c r="A865">
        <v>23316548</v>
      </c>
      <c r="B865" t="s">
        <v>3420</v>
      </c>
      <c r="C865" t="s">
        <v>3421</v>
      </c>
      <c r="D865" t="s">
        <v>3422</v>
      </c>
      <c r="F865" t="str">
        <f>"0393351394"</f>
        <v>0393351394</v>
      </c>
      <c r="G865" t="str">
        <f>"9780393351392"</f>
        <v>9780393351392</v>
      </c>
      <c r="H865">
        <v>0</v>
      </c>
      <c r="I865">
        <v>4.47</v>
      </c>
      <c r="J865" t="s">
        <v>1332</v>
      </c>
      <c r="K865" t="s">
        <v>29</v>
      </c>
      <c r="L865">
        <v>512</v>
      </c>
      <c r="M865">
        <v>2015</v>
      </c>
      <c r="N865">
        <v>2007</v>
      </c>
      <c r="P865" s="1">
        <v>45329</v>
      </c>
      <c r="Q865" t="s">
        <v>30</v>
      </c>
      <c r="R865" t="s">
        <v>3423</v>
      </c>
      <c r="S865" t="s">
        <v>30</v>
      </c>
      <c r="W865">
        <v>0</v>
      </c>
      <c r="X865">
        <v>0</v>
      </c>
      <c r="Y865" t="s">
        <v>38</v>
      </c>
    </row>
    <row r="866" spans="1:25" x14ac:dyDescent="0.35">
      <c r="A866">
        <v>58511056</v>
      </c>
      <c r="B866" t="s">
        <v>3424</v>
      </c>
      <c r="C866" t="s">
        <v>3425</v>
      </c>
      <c r="D866" t="s">
        <v>3426</v>
      </c>
      <c r="F866" t="str">
        <f>"0063058480"</f>
        <v>0063058480</v>
      </c>
      <c r="G866" t="str">
        <f>"9780063058484"</f>
        <v>9780063058484</v>
      </c>
      <c r="H866">
        <v>0</v>
      </c>
      <c r="I866">
        <v>4.09</v>
      </c>
      <c r="J866" t="s">
        <v>119</v>
      </c>
      <c r="K866" t="s">
        <v>48</v>
      </c>
      <c r="L866">
        <v>448</v>
      </c>
      <c r="M866">
        <v>2022</v>
      </c>
      <c r="N866">
        <v>2022</v>
      </c>
      <c r="P866" s="1">
        <v>45325</v>
      </c>
      <c r="Q866" t="s">
        <v>30</v>
      </c>
      <c r="R866" t="s">
        <v>3427</v>
      </c>
      <c r="S866" t="s">
        <v>30</v>
      </c>
      <c r="W866">
        <v>0</v>
      </c>
      <c r="X866">
        <v>0</v>
      </c>
      <c r="Y866" t="s">
        <v>38</v>
      </c>
    </row>
    <row r="867" spans="1:25" x14ac:dyDescent="0.35">
      <c r="A867">
        <v>90247001</v>
      </c>
      <c r="B867" t="s">
        <v>3428</v>
      </c>
      <c r="C867" t="s">
        <v>3429</v>
      </c>
      <c r="D867" t="s">
        <v>3430</v>
      </c>
      <c r="F867" t="str">
        <f>""</f>
        <v/>
      </c>
      <c r="G867" t="str">
        <f>""</f>
        <v/>
      </c>
      <c r="H867">
        <v>0</v>
      </c>
      <c r="I867">
        <v>3.5</v>
      </c>
      <c r="J867" t="s">
        <v>36</v>
      </c>
      <c r="K867" t="s">
        <v>85</v>
      </c>
      <c r="L867">
        <v>256</v>
      </c>
      <c r="M867">
        <v>2023</v>
      </c>
      <c r="N867">
        <v>2023</v>
      </c>
      <c r="P867" s="1">
        <v>45322</v>
      </c>
      <c r="Q867" t="s">
        <v>30</v>
      </c>
      <c r="R867" t="s">
        <v>3431</v>
      </c>
      <c r="S867" t="s">
        <v>30</v>
      </c>
      <c r="W867">
        <v>0</v>
      </c>
      <c r="X867">
        <v>0</v>
      </c>
      <c r="Y867" t="s">
        <v>38</v>
      </c>
    </row>
    <row r="868" spans="1:25" x14ac:dyDescent="0.35">
      <c r="A868">
        <v>32051912</v>
      </c>
      <c r="B868" t="s">
        <v>3432</v>
      </c>
      <c r="C868" t="s">
        <v>2154</v>
      </c>
      <c r="D868" t="s">
        <v>2155</v>
      </c>
      <c r="F868" t="str">
        <f>"0062654195"</f>
        <v>0062654195</v>
      </c>
      <c r="G868" t="str">
        <f>"9780062654199"</f>
        <v>9780062654199</v>
      </c>
      <c r="H868">
        <v>0</v>
      </c>
      <c r="I868">
        <v>4.32</v>
      </c>
      <c r="J868" t="s">
        <v>662</v>
      </c>
      <c r="K868" t="s">
        <v>29</v>
      </c>
      <c r="L868">
        <v>503</v>
      </c>
      <c r="M868">
        <v>2017</v>
      </c>
      <c r="N868">
        <v>2017</v>
      </c>
      <c r="P868" s="1">
        <v>45323</v>
      </c>
      <c r="Q868" t="s">
        <v>30</v>
      </c>
      <c r="R868" t="s">
        <v>3433</v>
      </c>
      <c r="S868" t="s">
        <v>30</v>
      </c>
      <c r="W868">
        <v>0</v>
      </c>
      <c r="X868">
        <v>0</v>
      </c>
      <c r="Y868" t="s">
        <v>38</v>
      </c>
    </row>
    <row r="869" spans="1:25" x14ac:dyDescent="0.35">
      <c r="A869">
        <v>61439040</v>
      </c>
      <c r="B869">
        <v>1984</v>
      </c>
      <c r="C869" t="s">
        <v>2884</v>
      </c>
      <c r="D869" t="s">
        <v>2885</v>
      </c>
      <c r="E869" t="s">
        <v>3434</v>
      </c>
      <c r="F869" t="str">
        <f>"0452284236"</f>
        <v>0452284236</v>
      </c>
      <c r="G869" t="str">
        <f>"9780452284234"</f>
        <v>9780452284234</v>
      </c>
      <c r="H869">
        <v>0</v>
      </c>
      <c r="I869">
        <v>4.2</v>
      </c>
      <c r="J869" t="s">
        <v>3435</v>
      </c>
      <c r="K869" t="s">
        <v>29</v>
      </c>
      <c r="L869">
        <v>368</v>
      </c>
      <c r="M869">
        <v>2022</v>
      </c>
      <c r="N869">
        <v>1949</v>
      </c>
      <c r="P869" s="1">
        <v>45328</v>
      </c>
      <c r="Q869" t="s">
        <v>30</v>
      </c>
      <c r="R869" t="s">
        <v>3436</v>
      </c>
      <c r="S869" t="s">
        <v>30</v>
      </c>
      <c r="W869">
        <v>0</v>
      </c>
      <c r="X869">
        <v>0</v>
      </c>
      <c r="Y869" t="s">
        <v>38</v>
      </c>
    </row>
    <row r="870" spans="1:25" x14ac:dyDescent="0.35">
      <c r="A870">
        <v>10644930</v>
      </c>
      <c r="B870" s="1">
        <v>23337</v>
      </c>
      <c r="C870" t="s">
        <v>3437</v>
      </c>
      <c r="D870" t="s">
        <v>3438</v>
      </c>
      <c r="F870" t="str">
        <f>"1451627289"</f>
        <v>1451627289</v>
      </c>
      <c r="G870" t="str">
        <f>"9781451627282"</f>
        <v>9781451627282</v>
      </c>
      <c r="H870">
        <v>0</v>
      </c>
      <c r="I870">
        <v>4.34</v>
      </c>
      <c r="J870" t="s">
        <v>765</v>
      </c>
      <c r="K870" t="s">
        <v>48</v>
      </c>
      <c r="L870">
        <v>849</v>
      </c>
      <c r="M870">
        <v>2011</v>
      </c>
      <c r="N870">
        <v>2011</v>
      </c>
      <c r="P870" s="1">
        <v>45323</v>
      </c>
      <c r="Q870" t="s">
        <v>30</v>
      </c>
      <c r="R870" t="s">
        <v>3439</v>
      </c>
      <c r="S870" t="s">
        <v>30</v>
      </c>
      <c r="W870">
        <v>0</v>
      </c>
      <c r="X870">
        <v>0</v>
      </c>
      <c r="Y870" t="s">
        <v>38</v>
      </c>
    </row>
    <row r="871" spans="1:25" x14ac:dyDescent="0.35">
      <c r="A871">
        <v>53735021</v>
      </c>
      <c r="B871" t="s">
        <v>3440</v>
      </c>
      <c r="C871" t="s">
        <v>3441</v>
      </c>
      <c r="D871" t="s">
        <v>3442</v>
      </c>
      <c r="F871" t="str">
        <f>"0806540389"</f>
        <v>0806540389</v>
      </c>
      <c r="G871" t="str">
        <f>"9780806540382"</f>
        <v>9780806540382</v>
      </c>
      <c r="H871">
        <v>0</v>
      </c>
      <c r="I871">
        <v>4</v>
      </c>
      <c r="J871" t="s">
        <v>2530</v>
      </c>
      <c r="K871" t="s">
        <v>48</v>
      </c>
      <c r="L871">
        <v>298</v>
      </c>
      <c r="M871">
        <v>2021</v>
      </c>
      <c r="N871">
        <v>2021</v>
      </c>
      <c r="P871" s="1">
        <v>45336</v>
      </c>
      <c r="Q871" t="s">
        <v>30</v>
      </c>
      <c r="R871" t="s">
        <v>3443</v>
      </c>
      <c r="S871" t="s">
        <v>30</v>
      </c>
      <c r="W871">
        <v>0</v>
      </c>
      <c r="X871">
        <v>0</v>
      </c>
      <c r="Y871" t="s">
        <v>32</v>
      </c>
    </row>
    <row r="872" spans="1:25" x14ac:dyDescent="0.35">
      <c r="A872">
        <v>176443242</v>
      </c>
      <c r="B872" t="s">
        <v>3444</v>
      </c>
      <c r="C872" t="s">
        <v>1444</v>
      </c>
      <c r="D872" t="s">
        <v>1445</v>
      </c>
      <c r="F872" t="str">
        <f>"1668007924"</f>
        <v>1668007924</v>
      </c>
      <c r="G872" t="str">
        <f>"9781668007921"</f>
        <v>9781668007921</v>
      </c>
      <c r="H872">
        <v>0</v>
      </c>
      <c r="I872">
        <v>3.79</v>
      </c>
      <c r="J872" t="s">
        <v>798</v>
      </c>
      <c r="K872" t="s">
        <v>29</v>
      </c>
      <c r="L872">
        <v>336</v>
      </c>
      <c r="M872">
        <v>2024</v>
      </c>
      <c r="N872">
        <v>2024</v>
      </c>
      <c r="P872" s="1">
        <v>45336</v>
      </c>
      <c r="Q872" t="s">
        <v>30</v>
      </c>
      <c r="R872" t="s">
        <v>3445</v>
      </c>
      <c r="S872" t="s">
        <v>30</v>
      </c>
      <c r="W872">
        <v>0</v>
      </c>
      <c r="X872">
        <v>0</v>
      </c>
      <c r="Y872" t="s">
        <v>38</v>
      </c>
    </row>
    <row r="873" spans="1:25" x14ac:dyDescent="0.35">
      <c r="A873">
        <v>57933306</v>
      </c>
      <c r="B873" t="s">
        <v>3446</v>
      </c>
      <c r="C873" t="s">
        <v>3447</v>
      </c>
      <c r="D873" t="s">
        <v>3448</v>
      </c>
      <c r="F873" t="str">
        <f>"0593138511"</f>
        <v>0593138511</v>
      </c>
      <c r="G873" t="str">
        <f>"9780593138519"</f>
        <v>9780593138519</v>
      </c>
      <c r="H873">
        <v>0</v>
      </c>
      <c r="I873">
        <v>4.2300000000000004</v>
      </c>
      <c r="J873" t="s">
        <v>835</v>
      </c>
      <c r="K873" t="s">
        <v>48</v>
      </c>
      <c r="L873">
        <v>357</v>
      </c>
      <c r="M873">
        <v>2022</v>
      </c>
      <c r="N873">
        <v>2022</v>
      </c>
      <c r="P873" s="1">
        <v>45336</v>
      </c>
      <c r="Q873" t="s">
        <v>30</v>
      </c>
      <c r="R873" t="s">
        <v>3449</v>
      </c>
      <c r="S873" t="s">
        <v>30</v>
      </c>
      <c r="W873">
        <v>0</v>
      </c>
      <c r="X873">
        <v>0</v>
      </c>
      <c r="Y873" t="s">
        <v>444</v>
      </c>
    </row>
    <row r="874" spans="1:25" x14ac:dyDescent="0.35">
      <c r="A874">
        <v>43982455</v>
      </c>
      <c r="B874" t="s">
        <v>3450</v>
      </c>
      <c r="C874" t="s">
        <v>3451</v>
      </c>
      <c r="D874" t="s">
        <v>3452</v>
      </c>
      <c r="E874" t="s">
        <v>3453</v>
      </c>
      <c r="F874" t="str">
        <f>"0525653090"</f>
        <v>0525653090</v>
      </c>
      <c r="G874" t="str">
        <f>"9780525653097"</f>
        <v>9780525653097</v>
      </c>
      <c r="H874">
        <v>0</v>
      </c>
      <c r="I874">
        <v>4.5199999999999996</v>
      </c>
      <c r="J874" t="s">
        <v>155</v>
      </c>
      <c r="K874" t="s">
        <v>48</v>
      </c>
      <c r="L874">
        <v>286</v>
      </c>
      <c r="M874">
        <v>2019</v>
      </c>
      <c r="N874">
        <v>2019</v>
      </c>
      <c r="P874" s="1">
        <v>45336</v>
      </c>
      <c r="Q874" t="s">
        <v>30</v>
      </c>
      <c r="R874" t="s">
        <v>3454</v>
      </c>
      <c r="S874" t="s">
        <v>30</v>
      </c>
      <c r="W874">
        <v>0</v>
      </c>
      <c r="X874">
        <v>0</v>
      </c>
      <c r="Y874" t="s">
        <v>444</v>
      </c>
    </row>
    <row r="875" spans="1:25" x14ac:dyDescent="0.35">
      <c r="A875">
        <v>138378707</v>
      </c>
      <c r="B875" t="s">
        <v>3455</v>
      </c>
      <c r="C875" t="s">
        <v>3456</v>
      </c>
      <c r="D875" t="s">
        <v>3457</v>
      </c>
      <c r="F875" t="str">
        <f>"149674070X"</f>
        <v>149674070X</v>
      </c>
      <c r="G875" t="str">
        <f>"9781496740700"</f>
        <v>9781496740700</v>
      </c>
      <c r="H875">
        <v>0</v>
      </c>
      <c r="I875">
        <v>4.18</v>
      </c>
      <c r="J875" t="s">
        <v>808</v>
      </c>
      <c r="K875" t="s">
        <v>29</v>
      </c>
      <c r="L875">
        <v>400</v>
      </c>
      <c r="M875">
        <v>2024</v>
      </c>
      <c r="N875">
        <v>2024</v>
      </c>
      <c r="P875" s="1">
        <v>45336</v>
      </c>
      <c r="Q875" t="s">
        <v>30</v>
      </c>
      <c r="R875" t="s">
        <v>3458</v>
      </c>
      <c r="S875" t="s">
        <v>30</v>
      </c>
      <c r="W875">
        <v>0</v>
      </c>
      <c r="X875">
        <v>0</v>
      </c>
      <c r="Y875" t="s">
        <v>38</v>
      </c>
    </row>
    <row r="876" spans="1:25" x14ac:dyDescent="0.35">
      <c r="A876">
        <v>7824322</v>
      </c>
      <c r="B876" t="s">
        <v>3459</v>
      </c>
      <c r="C876" t="s">
        <v>1982</v>
      </c>
      <c r="D876" t="s">
        <v>1983</v>
      </c>
      <c r="F876" t="str">
        <f>"0399254129"</f>
        <v>0399254129</v>
      </c>
      <c r="G876" t="str">
        <f>"9780399254123"</f>
        <v>9780399254123</v>
      </c>
      <c r="H876">
        <v>0</v>
      </c>
      <c r="I876">
        <v>4.37</v>
      </c>
      <c r="J876" t="s">
        <v>2047</v>
      </c>
      <c r="K876" t="s">
        <v>48</v>
      </c>
      <c r="L876">
        <v>344</v>
      </c>
      <c r="M876">
        <v>2011</v>
      </c>
      <c r="N876">
        <v>2011</v>
      </c>
      <c r="P876" s="1">
        <v>45338</v>
      </c>
      <c r="Q876" t="s">
        <v>30</v>
      </c>
      <c r="R876" t="s">
        <v>3460</v>
      </c>
      <c r="S876" t="s">
        <v>30</v>
      </c>
      <c r="W876">
        <v>0</v>
      </c>
      <c r="X876">
        <v>0</v>
      </c>
      <c r="Y876" t="s">
        <v>38</v>
      </c>
    </row>
    <row r="877" spans="1:25" x14ac:dyDescent="0.35">
      <c r="A877">
        <v>55889422</v>
      </c>
      <c r="B877" t="s">
        <v>3461</v>
      </c>
      <c r="C877" t="s">
        <v>856</v>
      </c>
      <c r="D877" t="s">
        <v>857</v>
      </c>
      <c r="F877" t="str">
        <f>"1643529862"</f>
        <v>1643529862</v>
      </c>
      <c r="G877" t="str">
        <f>"9781643529868"</f>
        <v>9781643529868</v>
      </c>
      <c r="H877">
        <v>0</v>
      </c>
      <c r="I877">
        <v>4.32</v>
      </c>
      <c r="J877" t="s">
        <v>708</v>
      </c>
      <c r="K877" t="s">
        <v>29</v>
      </c>
      <c r="L877">
        <v>320</v>
      </c>
      <c r="M877">
        <v>2021</v>
      </c>
      <c r="N877">
        <v>2021</v>
      </c>
      <c r="P877" s="1">
        <v>45338</v>
      </c>
      <c r="Q877" t="s">
        <v>30</v>
      </c>
      <c r="R877" t="s">
        <v>3462</v>
      </c>
      <c r="S877" t="s">
        <v>30</v>
      </c>
      <c r="W877">
        <v>0</v>
      </c>
      <c r="X877">
        <v>0</v>
      </c>
      <c r="Y877" t="s">
        <v>542</v>
      </c>
    </row>
    <row r="878" spans="1:25" x14ac:dyDescent="0.35">
      <c r="A878">
        <v>41150487</v>
      </c>
      <c r="B878" t="s">
        <v>3463</v>
      </c>
      <c r="C878" t="s">
        <v>3464</v>
      </c>
      <c r="D878" t="s">
        <v>3465</v>
      </c>
      <c r="F878" t="str">
        <f>"1250316774"</f>
        <v>1250316774</v>
      </c>
      <c r="G878" t="str">
        <f>"9781250316776"</f>
        <v>9781250316776</v>
      </c>
      <c r="H878">
        <v>0</v>
      </c>
      <c r="I878">
        <v>4.07</v>
      </c>
      <c r="J878" t="s">
        <v>1215</v>
      </c>
      <c r="K878" t="s">
        <v>29</v>
      </c>
      <c r="L878">
        <v>448</v>
      </c>
      <c r="M878">
        <v>2019</v>
      </c>
      <c r="N878">
        <v>2019</v>
      </c>
      <c r="P878" s="1">
        <v>45335</v>
      </c>
      <c r="Q878" t="s">
        <v>30</v>
      </c>
      <c r="R878" t="s">
        <v>3466</v>
      </c>
      <c r="S878" t="s">
        <v>30</v>
      </c>
      <c r="W878">
        <v>0</v>
      </c>
      <c r="X878">
        <v>0</v>
      </c>
      <c r="Y878" t="s">
        <v>38</v>
      </c>
    </row>
    <row r="879" spans="1:25" x14ac:dyDescent="0.35">
      <c r="A879">
        <v>40102</v>
      </c>
      <c r="B879" t="s">
        <v>3467</v>
      </c>
      <c r="C879" t="s">
        <v>3468</v>
      </c>
      <c r="D879" t="s">
        <v>3469</v>
      </c>
      <c r="E879" t="s">
        <v>3470</v>
      </c>
      <c r="F879" t="str">
        <f>"0316010669"</f>
        <v>0316010669</v>
      </c>
      <c r="G879" t="str">
        <f>"9780316010665"</f>
        <v>9780316010665</v>
      </c>
      <c r="H879">
        <v>0</v>
      </c>
      <c r="I879">
        <v>3.96</v>
      </c>
      <c r="J879" t="s">
        <v>3471</v>
      </c>
      <c r="K879" t="s">
        <v>29</v>
      </c>
      <c r="L879">
        <v>296</v>
      </c>
      <c r="M879">
        <v>2007</v>
      </c>
      <c r="N879">
        <v>2005</v>
      </c>
      <c r="P879" s="1">
        <v>45330</v>
      </c>
      <c r="Q879" t="s">
        <v>30</v>
      </c>
      <c r="R879" t="s">
        <v>3472</v>
      </c>
      <c r="S879" t="s">
        <v>30</v>
      </c>
      <c r="W879">
        <v>0</v>
      </c>
      <c r="X879">
        <v>0</v>
      </c>
      <c r="Y879" t="s">
        <v>38</v>
      </c>
    </row>
    <row r="880" spans="1:25" x14ac:dyDescent="0.35">
      <c r="A880">
        <v>60756662</v>
      </c>
      <c r="B880" t="s">
        <v>3473</v>
      </c>
      <c r="C880" t="s">
        <v>3474</v>
      </c>
      <c r="D880" t="s">
        <v>3475</v>
      </c>
      <c r="F880" t="str">
        <f>""</f>
        <v/>
      </c>
      <c r="G880" t="str">
        <f>""</f>
        <v/>
      </c>
      <c r="H880">
        <v>0</v>
      </c>
      <c r="I880">
        <v>4.12</v>
      </c>
      <c r="J880" t="s">
        <v>3476</v>
      </c>
      <c r="K880" t="s">
        <v>85</v>
      </c>
      <c r="L880">
        <v>306</v>
      </c>
      <c r="M880">
        <v>2023</v>
      </c>
      <c r="N880">
        <v>2023</v>
      </c>
      <c r="P880" s="1">
        <v>45328</v>
      </c>
      <c r="Q880" t="s">
        <v>30</v>
      </c>
      <c r="R880" t="s">
        <v>3477</v>
      </c>
      <c r="S880" t="s">
        <v>30</v>
      </c>
      <c r="W880">
        <v>0</v>
      </c>
      <c r="X880">
        <v>0</v>
      </c>
      <c r="Y880" t="s">
        <v>38</v>
      </c>
    </row>
    <row r="881" spans="1:25" x14ac:dyDescent="0.35">
      <c r="A881">
        <v>87591651</v>
      </c>
      <c r="B881" t="s">
        <v>3478</v>
      </c>
      <c r="C881" t="s">
        <v>3437</v>
      </c>
      <c r="D881" t="s">
        <v>3438</v>
      </c>
      <c r="E881" t="s">
        <v>3479</v>
      </c>
      <c r="F881" t="str">
        <f>""</f>
        <v/>
      </c>
      <c r="G881" t="str">
        <f>""</f>
        <v/>
      </c>
      <c r="H881">
        <v>0</v>
      </c>
      <c r="I881">
        <v>4.3499999999999996</v>
      </c>
      <c r="J881" t="s">
        <v>3480</v>
      </c>
      <c r="K881" t="s">
        <v>2051</v>
      </c>
      <c r="M881">
        <v>2021</v>
      </c>
      <c r="N881">
        <v>1978</v>
      </c>
      <c r="P881" s="1">
        <v>45328</v>
      </c>
      <c r="Q881" t="s">
        <v>30</v>
      </c>
      <c r="R881" t="s">
        <v>3481</v>
      </c>
      <c r="S881" t="s">
        <v>30</v>
      </c>
      <c r="W881">
        <v>0</v>
      </c>
      <c r="X881">
        <v>0</v>
      </c>
      <c r="Y881" t="s">
        <v>38</v>
      </c>
    </row>
    <row r="882" spans="1:25" x14ac:dyDescent="0.35">
      <c r="A882">
        <v>462658</v>
      </c>
      <c r="B882" t="s">
        <v>3482</v>
      </c>
      <c r="C882" t="s">
        <v>3483</v>
      </c>
      <c r="D882" t="s">
        <v>3484</v>
      </c>
      <c r="F882" t="str">
        <f>"0913165603"</f>
        <v>0913165603</v>
      </c>
      <c r="G882" t="str">
        <f>"9780913165607"</f>
        <v>9780913165607</v>
      </c>
      <c r="H882">
        <v>0</v>
      </c>
      <c r="I882">
        <v>3.91</v>
      </c>
      <c r="J882" t="s">
        <v>3485</v>
      </c>
      <c r="K882" t="s">
        <v>48</v>
      </c>
      <c r="L882">
        <v>412</v>
      </c>
      <c r="M882">
        <v>1991</v>
      </c>
      <c r="N882">
        <v>1981</v>
      </c>
      <c r="P882" s="1">
        <v>45328</v>
      </c>
      <c r="Q882" t="s">
        <v>30</v>
      </c>
      <c r="R882" t="s">
        <v>3486</v>
      </c>
      <c r="S882" t="s">
        <v>30</v>
      </c>
      <c r="W882">
        <v>0</v>
      </c>
      <c r="X882">
        <v>0</v>
      </c>
      <c r="Y882" t="s">
        <v>38</v>
      </c>
    </row>
    <row r="883" spans="1:25" x14ac:dyDescent="0.35">
      <c r="A883">
        <v>11557</v>
      </c>
      <c r="B883" t="s">
        <v>3487</v>
      </c>
      <c r="C883" t="s">
        <v>3483</v>
      </c>
      <c r="D883" t="s">
        <v>3484</v>
      </c>
      <c r="F883" t="str">
        <f>"0671741039"</f>
        <v>0671741039</v>
      </c>
      <c r="G883" t="str">
        <f>"9780671741037"</f>
        <v>9780671741037</v>
      </c>
      <c r="H883">
        <v>0</v>
      </c>
      <c r="I883">
        <v>4.3</v>
      </c>
      <c r="J883" t="s">
        <v>3488</v>
      </c>
      <c r="K883" t="s">
        <v>228</v>
      </c>
      <c r="L883">
        <v>956</v>
      </c>
      <c r="M883">
        <v>1987</v>
      </c>
      <c r="N883">
        <v>1987</v>
      </c>
      <c r="P883" s="1">
        <v>45328</v>
      </c>
      <c r="Q883" t="s">
        <v>30</v>
      </c>
      <c r="R883" t="s">
        <v>3489</v>
      </c>
      <c r="S883" t="s">
        <v>30</v>
      </c>
      <c r="W883">
        <v>0</v>
      </c>
      <c r="X883">
        <v>0</v>
      </c>
      <c r="Y883" t="s">
        <v>38</v>
      </c>
    </row>
    <row r="884" spans="1:25" x14ac:dyDescent="0.35">
      <c r="A884">
        <v>2493</v>
      </c>
      <c r="B884" t="s">
        <v>3490</v>
      </c>
      <c r="C884" t="s">
        <v>3491</v>
      </c>
      <c r="D884" t="s">
        <v>3492</v>
      </c>
      <c r="E884" t="s">
        <v>3493</v>
      </c>
      <c r="F884" t="str">
        <f>""</f>
        <v/>
      </c>
      <c r="G884" t="str">
        <f>""</f>
        <v/>
      </c>
      <c r="H884">
        <v>0</v>
      </c>
      <c r="I884">
        <v>3.9</v>
      </c>
      <c r="J884" t="s">
        <v>2887</v>
      </c>
      <c r="K884" t="s">
        <v>29</v>
      </c>
      <c r="L884">
        <v>118</v>
      </c>
      <c r="M884">
        <v>2002</v>
      </c>
      <c r="N884">
        <v>1895</v>
      </c>
      <c r="P884" s="1">
        <v>45328</v>
      </c>
      <c r="Q884" t="s">
        <v>30</v>
      </c>
      <c r="R884" t="s">
        <v>3494</v>
      </c>
      <c r="S884" t="s">
        <v>30</v>
      </c>
      <c r="W884">
        <v>0</v>
      </c>
      <c r="X884">
        <v>0</v>
      </c>
      <c r="Y884" t="s">
        <v>38</v>
      </c>
    </row>
    <row r="885" spans="1:25" x14ac:dyDescent="0.35">
      <c r="A885">
        <v>15781725</v>
      </c>
      <c r="B885" t="s">
        <v>3495</v>
      </c>
      <c r="C885" t="s">
        <v>3496</v>
      </c>
      <c r="D885" t="s">
        <v>3497</v>
      </c>
      <c r="F885" t="str">
        <f>"0062207393"</f>
        <v>0062207393</v>
      </c>
      <c r="G885" t="str">
        <f>"9780062207395"</f>
        <v>9780062207395</v>
      </c>
      <c r="H885">
        <v>0</v>
      </c>
      <c r="I885">
        <v>3.77</v>
      </c>
      <c r="J885" t="s">
        <v>1666</v>
      </c>
      <c r="K885" t="s">
        <v>48</v>
      </c>
      <c r="L885">
        <v>370</v>
      </c>
      <c r="M885">
        <v>2013</v>
      </c>
      <c r="N885">
        <v>2013</v>
      </c>
      <c r="P885" s="1">
        <v>45328</v>
      </c>
      <c r="Q885" t="s">
        <v>30</v>
      </c>
      <c r="R885" t="s">
        <v>3498</v>
      </c>
      <c r="S885" t="s">
        <v>30</v>
      </c>
      <c r="W885">
        <v>0</v>
      </c>
      <c r="X885">
        <v>0</v>
      </c>
      <c r="Y885" t="s">
        <v>38</v>
      </c>
    </row>
    <row r="886" spans="1:25" x14ac:dyDescent="0.35">
      <c r="A886">
        <v>250795</v>
      </c>
      <c r="B886" t="s">
        <v>3499</v>
      </c>
      <c r="C886" t="s">
        <v>3500</v>
      </c>
      <c r="D886" t="s">
        <v>3501</v>
      </c>
      <c r="E886" t="s">
        <v>3502</v>
      </c>
      <c r="F886" t="str">
        <f>"0590446916"</f>
        <v>0590446916</v>
      </c>
      <c r="G886" t="str">
        <f>"9780590446914"</f>
        <v>9780590446914</v>
      </c>
      <c r="H886">
        <v>0</v>
      </c>
      <c r="I886">
        <v>4.17</v>
      </c>
      <c r="J886" t="s">
        <v>3503</v>
      </c>
      <c r="K886" t="s">
        <v>29</v>
      </c>
      <c r="L886">
        <v>192</v>
      </c>
      <c r="M886">
        <v>1994</v>
      </c>
      <c r="N886">
        <v>1992</v>
      </c>
      <c r="P886" s="1">
        <v>45328</v>
      </c>
      <c r="Q886" t="s">
        <v>30</v>
      </c>
      <c r="R886" t="s">
        <v>3504</v>
      </c>
      <c r="S886" t="s">
        <v>30</v>
      </c>
      <c r="W886">
        <v>0</v>
      </c>
      <c r="X886">
        <v>0</v>
      </c>
      <c r="Y886" t="s">
        <v>38</v>
      </c>
    </row>
    <row r="887" spans="1:25" x14ac:dyDescent="0.35">
      <c r="A887">
        <v>201820</v>
      </c>
      <c r="B887" t="s">
        <v>3505</v>
      </c>
      <c r="C887" t="s">
        <v>2717</v>
      </c>
      <c r="D887" t="s">
        <v>2718</v>
      </c>
      <c r="F887" t="str">
        <f>"0801058139"</f>
        <v>0801058139</v>
      </c>
      <c r="G887" t="str">
        <f>"9780801058134"</f>
        <v>9780801058134</v>
      </c>
      <c r="H887">
        <v>0</v>
      </c>
      <c r="I887">
        <v>4</v>
      </c>
      <c r="J887" t="s">
        <v>3506</v>
      </c>
      <c r="K887" t="s">
        <v>29</v>
      </c>
      <c r="L887">
        <v>266</v>
      </c>
      <c r="M887">
        <v>1998</v>
      </c>
      <c r="N887">
        <v>1997</v>
      </c>
      <c r="P887" s="1">
        <v>45328</v>
      </c>
      <c r="Q887" t="s">
        <v>30</v>
      </c>
      <c r="R887" t="s">
        <v>3507</v>
      </c>
      <c r="S887" t="s">
        <v>30</v>
      </c>
      <c r="W887">
        <v>0</v>
      </c>
      <c r="X887">
        <v>0</v>
      </c>
      <c r="Y887" t="s">
        <v>122</v>
      </c>
    </row>
    <row r="888" spans="1:25" x14ac:dyDescent="0.35">
      <c r="A888">
        <v>1858013</v>
      </c>
      <c r="B888" t="s">
        <v>3508</v>
      </c>
      <c r="C888" t="s">
        <v>233</v>
      </c>
      <c r="D888" t="s">
        <v>234</v>
      </c>
      <c r="F888" t="str">
        <f>"0525950494"</f>
        <v>0525950494</v>
      </c>
      <c r="G888" t="str">
        <f>"9780525950493"</f>
        <v>9780525950493</v>
      </c>
      <c r="H888">
        <v>0</v>
      </c>
      <c r="I888">
        <v>4.2300000000000004</v>
      </c>
      <c r="J888" t="s">
        <v>2258</v>
      </c>
      <c r="K888" t="s">
        <v>48</v>
      </c>
      <c r="L888">
        <v>293</v>
      </c>
      <c r="M888">
        <v>2008</v>
      </c>
      <c r="N888">
        <v>2008</v>
      </c>
      <c r="P888" s="1">
        <v>45327</v>
      </c>
      <c r="Q888" t="s">
        <v>30</v>
      </c>
      <c r="R888" t="s">
        <v>3509</v>
      </c>
      <c r="S888" t="s">
        <v>30</v>
      </c>
      <c r="W888">
        <v>0</v>
      </c>
      <c r="X888">
        <v>0</v>
      </c>
      <c r="Y888" t="s">
        <v>122</v>
      </c>
    </row>
    <row r="889" spans="1:25" x14ac:dyDescent="0.35">
      <c r="A889">
        <v>30633444</v>
      </c>
      <c r="B889" t="s">
        <v>3510</v>
      </c>
      <c r="C889" t="s">
        <v>3511</v>
      </c>
      <c r="D889" t="s">
        <v>3512</v>
      </c>
      <c r="F889" t="str">
        <f>"0997600209"</f>
        <v>0997600209</v>
      </c>
      <c r="G889" t="str">
        <f>"9780997600209"</f>
        <v>9780997600209</v>
      </c>
      <c r="H889">
        <v>0</v>
      </c>
      <c r="I889">
        <v>3.7</v>
      </c>
      <c r="J889" t="s">
        <v>3513</v>
      </c>
      <c r="K889" t="s">
        <v>29</v>
      </c>
      <c r="L889">
        <v>244</v>
      </c>
      <c r="M889">
        <v>2016</v>
      </c>
      <c r="P889" s="1">
        <v>45327</v>
      </c>
      <c r="Q889" t="s">
        <v>30</v>
      </c>
      <c r="R889" t="s">
        <v>3514</v>
      </c>
      <c r="S889" t="s">
        <v>30</v>
      </c>
      <c r="W889">
        <v>0</v>
      </c>
      <c r="X889">
        <v>0</v>
      </c>
      <c r="Y889" t="s">
        <v>173</v>
      </c>
    </row>
    <row r="890" spans="1:25" x14ac:dyDescent="0.35">
      <c r="A890">
        <v>40390188</v>
      </c>
      <c r="B890" t="s">
        <v>3515</v>
      </c>
      <c r="C890" t="s">
        <v>417</v>
      </c>
      <c r="D890" t="s">
        <v>418</v>
      </c>
      <c r="F890" t="str">
        <f>"0764231677"</f>
        <v>0764231677</v>
      </c>
      <c r="G890" t="str">
        <f>"9780764231674"</f>
        <v>9780764231674</v>
      </c>
      <c r="H890">
        <v>0</v>
      </c>
      <c r="I890">
        <v>4.26</v>
      </c>
      <c r="J890" t="s">
        <v>36</v>
      </c>
      <c r="K890" t="s">
        <v>29</v>
      </c>
      <c r="L890">
        <v>365</v>
      </c>
      <c r="M890">
        <v>2019</v>
      </c>
      <c r="N890">
        <v>2019</v>
      </c>
      <c r="P890" s="1">
        <v>45326</v>
      </c>
      <c r="Q890" t="s">
        <v>30</v>
      </c>
      <c r="R890" t="s">
        <v>3516</v>
      </c>
      <c r="S890" t="s">
        <v>30</v>
      </c>
      <c r="W890">
        <v>0</v>
      </c>
      <c r="X890">
        <v>0</v>
      </c>
      <c r="Y890" t="s">
        <v>38</v>
      </c>
    </row>
    <row r="891" spans="1:25" x14ac:dyDescent="0.35">
      <c r="A891">
        <v>18289396</v>
      </c>
      <c r="B891" t="s">
        <v>3517</v>
      </c>
      <c r="C891" t="s">
        <v>3518</v>
      </c>
      <c r="D891" t="s">
        <v>3519</v>
      </c>
      <c r="F891" t="str">
        <f>"0310515025"</f>
        <v>0310515025</v>
      </c>
      <c r="G891" t="str">
        <f>"9780310515029"</f>
        <v>9780310515029</v>
      </c>
      <c r="H891">
        <v>0</v>
      </c>
      <c r="I891">
        <v>4.59</v>
      </c>
      <c r="J891" t="s">
        <v>2740</v>
      </c>
      <c r="K891" t="s">
        <v>29</v>
      </c>
      <c r="L891">
        <v>304</v>
      </c>
      <c r="M891">
        <v>2014</v>
      </c>
      <c r="N891">
        <v>2014</v>
      </c>
      <c r="P891" s="1">
        <v>45326</v>
      </c>
      <c r="Q891" t="s">
        <v>30</v>
      </c>
      <c r="R891" t="s">
        <v>3520</v>
      </c>
      <c r="S891" t="s">
        <v>30</v>
      </c>
      <c r="W891">
        <v>0</v>
      </c>
      <c r="X891">
        <v>0</v>
      </c>
      <c r="Y891" t="s">
        <v>122</v>
      </c>
    </row>
    <row r="892" spans="1:25" x14ac:dyDescent="0.35">
      <c r="A892">
        <v>22609452</v>
      </c>
      <c r="B892" t="s">
        <v>3521</v>
      </c>
      <c r="C892" t="s">
        <v>1126</v>
      </c>
      <c r="D892" t="s">
        <v>1127</v>
      </c>
      <c r="F892" t="str">
        <f>"1451689128"</f>
        <v>1451689128</v>
      </c>
      <c r="G892" t="str">
        <f>"9781451689129"</f>
        <v>9781451689129</v>
      </c>
      <c r="H892">
        <v>0</v>
      </c>
      <c r="I892">
        <v>4.5199999999999996</v>
      </c>
      <c r="J892" t="s">
        <v>1128</v>
      </c>
      <c r="K892" t="s">
        <v>29</v>
      </c>
      <c r="L892">
        <v>352</v>
      </c>
      <c r="M892">
        <v>2015</v>
      </c>
      <c r="N892">
        <v>2015</v>
      </c>
      <c r="P892" s="1">
        <v>45326</v>
      </c>
      <c r="Q892" t="s">
        <v>30</v>
      </c>
      <c r="R892" t="s">
        <v>3522</v>
      </c>
      <c r="S892" t="s">
        <v>30</v>
      </c>
      <c r="W892">
        <v>0</v>
      </c>
      <c r="X892">
        <v>0</v>
      </c>
      <c r="Y892" t="s">
        <v>38</v>
      </c>
    </row>
    <row r="893" spans="1:25" x14ac:dyDescent="0.35">
      <c r="A893">
        <v>824062</v>
      </c>
      <c r="B893" t="s">
        <v>3523</v>
      </c>
      <c r="C893" t="s">
        <v>3524</v>
      </c>
      <c r="D893" t="s">
        <v>3525</v>
      </c>
      <c r="E893" t="s">
        <v>426</v>
      </c>
      <c r="F893" t="str">
        <f>"0800793013"</f>
        <v>0800793013</v>
      </c>
      <c r="G893" t="str">
        <f>"9780800793012"</f>
        <v>9780800793012</v>
      </c>
      <c r="H893">
        <v>0</v>
      </c>
      <c r="I893">
        <v>4.37</v>
      </c>
      <c r="J893" t="s">
        <v>2574</v>
      </c>
      <c r="K893" t="s">
        <v>29</v>
      </c>
      <c r="L893">
        <v>256</v>
      </c>
      <c r="M893">
        <v>2001</v>
      </c>
      <c r="N893">
        <v>1964</v>
      </c>
      <c r="P893" s="1">
        <v>45326</v>
      </c>
      <c r="Q893" t="s">
        <v>30</v>
      </c>
      <c r="R893" t="s">
        <v>3526</v>
      </c>
      <c r="S893" t="s">
        <v>30</v>
      </c>
      <c r="W893">
        <v>0</v>
      </c>
      <c r="X893">
        <v>0</v>
      </c>
      <c r="Y893" t="s">
        <v>122</v>
      </c>
    </row>
    <row r="894" spans="1:25" x14ac:dyDescent="0.35">
      <c r="A894">
        <v>62919174</v>
      </c>
      <c r="B894" t="s">
        <v>3527</v>
      </c>
      <c r="C894" t="s">
        <v>3528</v>
      </c>
      <c r="D894" t="s">
        <v>3529</v>
      </c>
      <c r="F894" t="str">
        <f>"1665922427"</f>
        <v>1665922427</v>
      </c>
      <c r="G894" t="str">
        <f>"9781665922425"</f>
        <v>9781665922425</v>
      </c>
      <c r="H894">
        <v>0</v>
      </c>
      <c r="I894">
        <v>3.97</v>
      </c>
      <c r="J894" t="s">
        <v>2164</v>
      </c>
      <c r="K894" t="s">
        <v>48</v>
      </c>
      <c r="L894">
        <v>416</v>
      </c>
      <c r="M894">
        <v>2023</v>
      </c>
      <c r="N894">
        <v>2023</v>
      </c>
      <c r="P894" s="1">
        <v>45325</v>
      </c>
      <c r="Q894" t="s">
        <v>30</v>
      </c>
      <c r="R894" t="s">
        <v>3530</v>
      </c>
      <c r="S894" t="s">
        <v>30</v>
      </c>
      <c r="W894">
        <v>0</v>
      </c>
      <c r="X894">
        <v>0</v>
      </c>
      <c r="Y894" t="s">
        <v>38</v>
      </c>
    </row>
    <row r="895" spans="1:25" x14ac:dyDescent="0.35">
      <c r="A895">
        <v>16069030</v>
      </c>
      <c r="B895" t="s">
        <v>3531</v>
      </c>
      <c r="C895" t="s">
        <v>3532</v>
      </c>
      <c r="D895" t="s">
        <v>3533</v>
      </c>
      <c r="F895" t="str">
        <f>"0374384681"</f>
        <v>0374384681</v>
      </c>
      <c r="G895" t="str">
        <f>"9780374384685"</f>
        <v>9780374384685</v>
      </c>
      <c r="H895">
        <v>0</v>
      </c>
      <c r="I895">
        <v>3.95</v>
      </c>
      <c r="J895" t="s">
        <v>3534</v>
      </c>
      <c r="K895" t="s">
        <v>375</v>
      </c>
      <c r="L895">
        <v>355</v>
      </c>
      <c r="M895">
        <v>2014</v>
      </c>
      <c r="N895">
        <v>2014</v>
      </c>
      <c r="P895" s="1">
        <v>45325</v>
      </c>
      <c r="Q895" t="s">
        <v>30</v>
      </c>
      <c r="R895" t="s">
        <v>3535</v>
      </c>
      <c r="S895" t="s">
        <v>30</v>
      </c>
      <c r="W895">
        <v>0</v>
      </c>
      <c r="X895">
        <v>0</v>
      </c>
      <c r="Y895" t="s">
        <v>38</v>
      </c>
    </row>
    <row r="896" spans="1:25" x14ac:dyDescent="0.35">
      <c r="A896">
        <v>13624688</v>
      </c>
      <c r="B896" t="s">
        <v>3536</v>
      </c>
      <c r="C896" t="s">
        <v>2010</v>
      </c>
      <c r="D896" t="s">
        <v>2011</v>
      </c>
      <c r="F896" t="str">
        <f>"1401322786"</f>
        <v>1401322786</v>
      </c>
      <c r="G896" t="str">
        <f>"9781401322786"</f>
        <v>9781401322786</v>
      </c>
      <c r="H896">
        <v>0</v>
      </c>
      <c r="I896">
        <v>3.89</v>
      </c>
      <c r="J896" t="s">
        <v>3537</v>
      </c>
      <c r="K896" t="s">
        <v>48</v>
      </c>
      <c r="L896">
        <v>224</v>
      </c>
      <c r="M896">
        <v>2012</v>
      </c>
      <c r="N896">
        <v>2012</v>
      </c>
      <c r="P896" s="1">
        <v>45325</v>
      </c>
      <c r="Q896" t="s">
        <v>30</v>
      </c>
      <c r="R896" t="s">
        <v>3538</v>
      </c>
      <c r="S896" t="s">
        <v>30</v>
      </c>
      <c r="W896">
        <v>0</v>
      </c>
      <c r="X896">
        <v>0</v>
      </c>
      <c r="Y896" t="s">
        <v>38</v>
      </c>
    </row>
    <row r="897" spans="1:25" x14ac:dyDescent="0.35">
      <c r="A897">
        <v>57127277</v>
      </c>
      <c r="B897" t="s">
        <v>3539</v>
      </c>
      <c r="C897" t="s">
        <v>3540</v>
      </c>
      <c r="D897" t="s">
        <v>3541</v>
      </c>
      <c r="F897" t="str">
        <f>"0759557330"</f>
        <v>0759557330</v>
      </c>
      <c r="G897" t="str">
        <f>"9780759557338"</f>
        <v>9780759557338</v>
      </c>
      <c r="H897">
        <v>0</v>
      </c>
      <c r="I897">
        <v>4.18</v>
      </c>
      <c r="J897" t="s">
        <v>1691</v>
      </c>
      <c r="K897" t="s">
        <v>48</v>
      </c>
      <c r="L897">
        <v>478</v>
      </c>
      <c r="M897">
        <v>2022</v>
      </c>
      <c r="N897">
        <v>2022</v>
      </c>
      <c r="P897" s="1">
        <v>45325</v>
      </c>
      <c r="Q897" t="s">
        <v>30</v>
      </c>
      <c r="R897" t="s">
        <v>3542</v>
      </c>
      <c r="S897" t="s">
        <v>30</v>
      </c>
      <c r="W897">
        <v>0</v>
      </c>
      <c r="X897">
        <v>0</v>
      </c>
      <c r="Y897" t="s">
        <v>38</v>
      </c>
    </row>
    <row r="898" spans="1:25" x14ac:dyDescent="0.35">
      <c r="A898">
        <v>34499221</v>
      </c>
      <c r="B898" t="s">
        <v>3543</v>
      </c>
      <c r="C898" t="s">
        <v>3544</v>
      </c>
      <c r="D898" t="s">
        <v>3545</v>
      </c>
      <c r="F898" t="str">
        <f>"1250112680"</f>
        <v>1250112680</v>
      </c>
      <c r="G898" t="str">
        <f>"9781250112682"</f>
        <v>9781250112682</v>
      </c>
      <c r="H898">
        <v>0</v>
      </c>
      <c r="I898">
        <v>3.72</v>
      </c>
      <c r="J898" t="s">
        <v>242</v>
      </c>
      <c r="K898" t="s">
        <v>48</v>
      </c>
      <c r="L898">
        <v>344</v>
      </c>
      <c r="M898">
        <v>2018</v>
      </c>
      <c r="N898">
        <v>2018</v>
      </c>
      <c r="P898" s="1">
        <v>45325</v>
      </c>
      <c r="Q898" t="s">
        <v>30</v>
      </c>
      <c r="R898" t="s">
        <v>3546</v>
      </c>
      <c r="S898" t="s">
        <v>30</v>
      </c>
      <c r="W898">
        <v>0</v>
      </c>
      <c r="X898">
        <v>0</v>
      </c>
      <c r="Y898" t="s">
        <v>38</v>
      </c>
    </row>
    <row r="899" spans="1:25" x14ac:dyDescent="0.35">
      <c r="A899">
        <v>53968496</v>
      </c>
      <c r="B899" t="s">
        <v>3547</v>
      </c>
      <c r="C899" t="s">
        <v>3548</v>
      </c>
      <c r="D899" t="s">
        <v>3549</v>
      </c>
      <c r="F899" t="str">
        <f>"0358434556"</f>
        <v>0358434556</v>
      </c>
      <c r="G899" t="str">
        <f>"9780358434559"</f>
        <v>9780358434559</v>
      </c>
      <c r="H899">
        <v>0</v>
      </c>
      <c r="I899">
        <v>4.18</v>
      </c>
      <c r="J899" t="s">
        <v>2505</v>
      </c>
      <c r="K899" t="s">
        <v>48</v>
      </c>
      <c r="L899">
        <v>416</v>
      </c>
      <c r="M899">
        <v>2021</v>
      </c>
      <c r="N899">
        <v>2021</v>
      </c>
      <c r="P899" s="1">
        <v>45325</v>
      </c>
      <c r="Q899" t="s">
        <v>30</v>
      </c>
      <c r="R899" t="s">
        <v>3550</v>
      </c>
      <c r="S899" t="s">
        <v>30</v>
      </c>
      <c r="W899">
        <v>0</v>
      </c>
      <c r="X899">
        <v>0</v>
      </c>
      <c r="Y899" t="s">
        <v>38</v>
      </c>
    </row>
    <row r="900" spans="1:25" x14ac:dyDescent="0.35">
      <c r="A900">
        <v>290369</v>
      </c>
      <c r="B900" t="s">
        <v>3551</v>
      </c>
      <c r="C900" t="s">
        <v>3552</v>
      </c>
      <c r="D900" t="s">
        <v>3553</v>
      </c>
      <c r="F900" t="str">
        <f>"0842337911"</f>
        <v>0842337911</v>
      </c>
      <c r="G900" t="str">
        <f>"9780842337915"</f>
        <v>9780842337915</v>
      </c>
      <c r="H900">
        <v>0</v>
      </c>
      <c r="I900">
        <v>4.41</v>
      </c>
      <c r="J900" t="s">
        <v>227</v>
      </c>
      <c r="K900" t="s">
        <v>48</v>
      </c>
      <c r="L900">
        <v>416</v>
      </c>
      <c r="M900">
        <v>2001</v>
      </c>
      <c r="N900">
        <v>2001</v>
      </c>
      <c r="P900" s="1">
        <v>45323</v>
      </c>
      <c r="Q900" t="s">
        <v>30</v>
      </c>
      <c r="R900" t="s">
        <v>3554</v>
      </c>
      <c r="S900" t="s">
        <v>30</v>
      </c>
      <c r="W900">
        <v>0</v>
      </c>
      <c r="X900">
        <v>0</v>
      </c>
      <c r="Y900" t="s">
        <v>38</v>
      </c>
    </row>
    <row r="901" spans="1:25" x14ac:dyDescent="0.35">
      <c r="A901">
        <v>60931</v>
      </c>
      <c r="B901" t="s">
        <v>3555</v>
      </c>
      <c r="C901" t="s">
        <v>2327</v>
      </c>
      <c r="D901" t="s">
        <v>2328</v>
      </c>
      <c r="F901" t="str">
        <f>"0807083690"</f>
        <v>0807083690</v>
      </c>
      <c r="G901" t="str">
        <f>"9780807083697"</f>
        <v>9780807083697</v>
      </c>
      <c r="H901">
        <v>0</v>
      </c>
      <c r="I901">
        <v>4.3099999999999996</v>
      </c>
      <c r="J901" t="s">
        <v>3556</v>
      </c>
      <c r="K901" t="s">
        <v>29</v>
      </c>
      <c r="L901">
        <v>288</v>
      </c>
      <c r="M901">
        <v>2004</v>
      </c>
      <c r="N901">
        <v>1979</v>
      </c>
      <c r="P901" s="1">
        <v>45323</v>
      </c>
      <c r="Q901" t="s">
        <v>30</v>
      </c>
      <c r="R901" t="s">
        <v>3557</v>
      </c>
      <c r="S901" t="s">
        <v>30</v>
      </c>
      <c r="W901">
        <v>0</v>
      </c>
      <c r="X901">
        <v>0</v>
      </c>
      <c r="Y901" t="s">
        <v>38</v>
      </c>
    </row>
    <row r="902" spans="1:25" x14ac:dyDescent="0.35">
      <c r="A902">
        <v>15818107</v>
      </c>
      <c r="B902" t="s">
        <v>3558</v>
      </c>
      <c r="C902" t="s">
        <v>3559</v>
      </c>
      <c r="D902" t="s">
        <v>3560</v>
      </c>
      <c r="F902" t="str">
        <f>""</f>
        <v/>
      </c>
      <c r="G902" t="str">
        <f>""</f>
        <v/>
      </c>
      <c r="H902">
        <v>0</v>
      </c>
      <c r="I902">
        <v>4.2</v>
      </c>
      <c r="J902" t="s">
        <v>662</v>
      </c>
      <c r="K902" t="s">
        <v>29</v>
      </c>
      <c r="L902">
        <v>278</v>
      </c>
      <c r="M902">
        <v>2013</v>
      </c>
      <c r="N902">
        <v>2013</v>
      </c>
      <c r="P902" s="1">
        <v>45323</v>
      </c>
      <c r="Q902" t="s">
        <v>30</v>
      </c>
      <c r="R902" t="s">
        <v>3561</v>
      </c>
      <c r="S902" t="s">
        <v>30</v>
      </c>
      <c r="W902">
        <v>0</v>
      </c>
      <c r="X902">
        <v>0</v>
      </c>
      <c r="Y902" t="s">
        <v>38</v>
      </c>
    </row>
    <row r="903" spans="1:25" x14ac:dyDescent="0.35">
      <c r="A903">
        <v>4989</v>
      </c>
      <c r="B903" t="s">
        <v>3562</v>
      </c>
      <c r="C903" t="s">
        <v>3563</v>
      </c>
      <c r="D903" t="s">
        <v>3564</v>
      </c>
      <c r="F903" t="str">
        <f>"0312353766"</f>
        <v>0312353766</v>
      </c>
      <c r="G903" t="str">
        <f>"9780312353766"</f>
        <v>9780312353766</v>
      </c>
      <c r="H903">
        <v>0</v>
      </c>
      <c r="I903">
        <v>4.2</v>
      </c>
      <c r="J903" t="s">
        <v>878</v>
      </c>
      <c r="K903" t="s">
        <v>48</v>
      </c>
      <c r="L903">
        <v>324</v>
      </c>
      <c r="M903">
        <v>1997</v>
      </c>
      <c r="N903">
        <v>1997</v>
      </c>
      <c r="P903" s="1">
        <v>45323</v>
      </c>
      <c r="Q903" t="s">
        <v>30</v>
      </c>
      <c r="R903" t="s">
        <v>3565</v>
      </c>
      <c r="S903" t="s">
        <v>30</v>
      </c>
      <c r="W903">
        <v>0</v>
      </c>
      <c r="X903">
        <v>0</v>
      </c>
      <c r="Y903" t="s">
        <v>38</v>
      </c>
    </row>
    <row r="904" spans="1:25" x14ac:dyDescent="0.35">
      <c r="A904">
        <v>38359036</v>
      </c>
      <c r="B904" t="s">
        <v>3566</v>
      </c>
      <c r="C904" t="s">
        <v>3567</v>
      </c>
      <c r="D904" t="s">
        <v>3568</v>
      </c>
      <c r="F904" t="str">
        <f>"006287067X"</f>
        <v>006287067X</v>
      </c>
      <c r="G904" t="str">
        <f>"9780062870674"</f>
        <v>9780062870674</v>
      </c>
      <c r="H904">
        <v>0</v>
      </c>
      <c r="I904">
        <v>4.3099999999999996</v>
      </c>
      <c r="J904" t="s">
        <v>1552</v>
      </c>
      <c r="K904" t="s">
        <v>48</v>
      </c>
      <c r="L904">
        <v>272</v>
      </c>
      <c r="M904">
        <v>2018</v>
      </c>
      <c r="N904">
        <v>2018</v>
      </c>
      <c r="P904" s="1">
        <v>45323</v>
      </c>
      <c r="Q904" t="s">
        <v>30</v>
      </c>
      <c r="R904" t="s">
        <v>3569</v>
      </c>
      <c r="S904" t="s">
        <v>30</v>
      </c>
      <c r="W904">
        <v>0</v>
      </c>
      <c r="X904">
        <v>0</v>
      </c>
      <c r="Y904" t="s">
        <v>38</v>
      </c>
    </row>
    <row r="905" spans="1:25" x14ac:dyDescent="0.35">
      <c r="A905">
        <v>13093248</v>
      </c>
      <c r="B905" t="s">
        <v>3570</v>
      </c>
      <c r="C905" t="s">
        <v>3571</v>
      </c>
      <c r="D905" t="s">
        <v>3572</v>
      </c>
      <c r="F905" t="str">
        <f>"0615565670"</f>
        <v>0615565670</v>
      </c>
      <c r="G905" t="str">
        <f>"9780615565675"</f>
        <v>9780615565675</v>
      </c>
      <c r="H905">
        <v>0</v>
      </c>
      <c r="I905">
        <v>3.97</v>
      </c>
      <c r="J905" t="s">
        <v>3573</v>
      </c>
      <c r="K905" t="s">
        <v>85</v>
      </c>
      <c r="L905">
        <v>383</v>
      </c>
      <c r="M905">
        <v>2011</v>
      </c>
      <c r="N905">
        <v>2011</v>
      </c>
      <c r="P905" s="1">
        <v>45322</v>
      </c>
      <c r="Q905" t="s">
        <v>30</v>
      </c>
      <c r="R905" t="s">
        <v>3574</v>
      </c>
      <c r="S905" t="s">
        <v>30</v>
      </c>
      <c r="W905">
        <v>0</v>
      </c>
      <c r="X905">
        <v>0</v>
      </c>
      <c r="Y905" t="s">
        <v>38</v>
      </c>
    </row>
    <row r="906" spans="1:25" x14ac:dyDescent="0.35">
      <c r="A906">
        <v>56426048</v>
      </c>
      <c r="B906" t="s">
        <v>3575</v>
      </c>
      <c r="C906" t="s">
        <v>3576</v>
      </c>
      <c r="D906" t="s">
        <v>3577</v>
      </c>
      <c r="F906" t="str">
        <f>""</f>
        <v/>
      </c>
      <c r="G906" t="str">
        <f>""</f>
        <v/>
      </c>
      <c r="H906">
        <v>0</v>
      </c>
      <c r="I906">
        <v>4.25</v>
      </c>
      <c r="K906" t="s">
        <v>85</v>
      </c>
      <c r="L906">
        <v>304</v>
      </c>
      <c r="M906">
        <v>2021</v>
      </c>
      <c r="P906" s="1">
        <v>45322</v>
      </c>
      <c r="Q906" t="s">
        <v>30</v>
      </c>
      <c r="R906" t="s">
        <v>3578</v>
      </c>
      <c r="S906" t="s">
        <v>30</v>
      </c>
      <c r="W906">
        <v>0</v>
      </c>
      <c r="X906">
        <v>0</v>
      </c>
      <c r="Y906" t="s">
        <v>38</v>
      </c>
    </row>
    <row r="907" spans="1:25" x14ac:dyDescent="0.35">
      <c r="A907">
        <v>203883882</v>
      </c>
      <c r="B907" t="s">
        <v>3579</v>
      </c>
      <c r="C907" t="s">
        <v>3580</v>
      </c>
      <c r="D907" t="s">
        <v>3581</v>
      </c>
      <c r="F907" t="str">
        <f>""</f>
        <v/>
      </c>
      <c r="G907" t="str">
        <f>""</f>
        <v/>
      </c>
      <c r="H907">
        <v>0</v>
      </c>
      <c r="I907">
        <v>3.66</v>
      </c>
      <c r="J907" t="s">
        <v>2186</v>
      </c>
      <c r="K907" t="s">
        <v>85</v>
      </c>
      <c r="L907">
        <v>25</v>
      </c>
      <c r="M907">
        <v>2023</v>
      </c>
      <c r="P907" s="1">
        <v>45322</v>
      </c>
      <c r="Q907" t="s">
        <v>30</v>
      </c>
      <c r="R907" t="s">
        <v>3582</v>
      </c>
      <c r="S907" t="s">
        <v>30</v>
      </c>
      <c r="W907">
        <v>0</v>
      </c>
      <c r="X907">
        <v>0</v>
      </c>
      <c r="Y907" t="s">
        <v>38</v>
      </c>
    </row>
    <row r="908" spans="1:25" x14ac:dyDescent="0.35">
      <c r="A908">
        <v>70239752</v>
      </c>
      <c r="B908" t="s">
        <v>3583</v>
      </c>
      <c r="C908" t="s">
        <v>3580</v>
      </c>
      <c r="D908" t="s">
        <v>3581</v>
      </c>
      <c r="F908" t="str">
        <f>"1803149159"</f>
        <v>1803149159</v>
      </c>
      <c r="G908" t="str">
        <f>"9781803149158"</f>
        <v>9781803149158</v>
      </c>
      <c r="H908">
        <v>0</v>
      </c>
      <c r="I908">
        <v>3.62</v>
      </c>
      <c r="J908" t="s">
        <v>2186</v>
      </c>
      <c r="K908" t="s">
        <v>85</v>
      </c>
      <c r="L908">
        <v>346</v>
      </c>
      <c r="M908">
        <v>2023</v>
      </c>
      <c r="P908" s="1">
        <v>45322</v>
      </c>
      <c r="Q908" t="s">
        <v>30</v>
      </c>
      <c r="R908" t="s">
        <v>3584</v>
      </c>
      <c r="S908" t="s">
        <v>30</v>
      </c>
      <c r="W908">
        <v>0</v>
      </c>
      <c r="X908">
        <v>0</v>
      </c>
      <c r="Y908" t="s">
        <v>38</v>
      </c>
    </row>
    <row r="909" spans="1:25" x14ac:dyDescent="0.35">
      <c r="A909">
        <v>59688701</v>
      </c>
      <c r="B909" t="s">
        <v>3585</v>
      </c>
      <c r="C909" t="s">
        <v>3580</v>
      </c>
      <c r="D909" t="s">
        <v>3581</v>
      </c>
      <c r="F909" t="str">
        <f>"1800195664"</f>
        <v>1800195664</v>
      </c>
      <c r="G909" t="str">
        <f>"9781800195660"</f>
        <v>9781800195660</v>
      </c>
      <c r="H909">
        <v>0</v>
      </c>
      <c r="I909">
        <v>3.72</v>
      </c>
      <c r="J909" t="s">
        <v>3586</v>
      </c>
      <c r="K909" t="s">
        <v>375</v>
      </c>
      <c r="L909">
        <v>334</v>
      </c>
      <c r="M909">
        <v>2022</v>
      </c>
      <c r="N909">
        <v>2022</v>
      </c>
      <c r="P909" s="1">
        <v>45322</v>
      </c>
      <c r="Q909" t="s">
        <v>30</v>
      </c>
      <c r="R909" t="s">
        <v>3587</v>
      </c>
      <c r="S909" t="s">
        <v>30</v>
      </c>
      <c r="W909">
        <v>0</v>
      </c>
      <c r="X909">
        <v>0</v>
      </c>
      <c r="Y909" t="s">
        <v>38</v>
      </c>
    </row>
    <row r="910" spans="1:25" x14ac:dyDescent="0.35">
      <c r="A910">
        <v>57955596</v>
      </c>
      <c r="B910" t="s">
        <v>3588</v>
      </c>
      <c r="C910" t="s">
        <v>3580</v>
      </c>
      <c r="D910" t="s">
        <v>3581</v>
      </c>
      <c r="F910" t="str">
        <f>"1800195648"</f>
        <v>1800195648</v>
      </c>
      <c r="G910" t="str">
        <f>"9781800195646"</f>
        <v>9781800195646</v>
      </c>
      <c r="H910">
        <v>0</v>
      </c>
      <c r="I910">
        <v>3.8</v>
      </c>
      <c r="J910" t="s">
        <v>3586</v>
      </c>
      <c r="K910" t="s">
        <v>85</v>
      </c>
      <c r="L910">
        <v>400</v>
      </c>
      <c r="M910">
        <v>2021</v>
      </c>
      <c r="N910">
        <v>2021</v>
      </c>
      <c r="P910" s="1">
        <v>45322</v>
      </c>
      <c r="Q910" t="s">
        <v>30</v>
      </c>
      <c r="R910" t="s">
        <v>3589</v>
      </c>
      <c r="S910" t="s">
        <v>30</v>
      </c>
      <c r="W910">
        <v>0</v>
      </c>
      <c r="X910">
        <v>0</v>
      </c>
      <c r="Y910" t="s">
        <v>38</v>
      </c>
    </row>
    <row r="911" spans="1:25" x14ac:dyDescent="0.35">
      <c r="A911">
        <v>61401417</v>
      </c>
      <c r="B911" t="s">
        <v>3590</v>
      </c>
      <c r="C911" t="s">
        <v>3580</v>
      </c>
      <c r="D911" t="s">
        <v>3581</v>
      </c>
      <c r="F911" t="str">
        <f>"1803145455"</f>
        <v>1803145455</v>
      </c>
      <c r="G911" t="str">
        <f>""</f>
        <v/>
      </c>
      <c r="H911">
        <v>0</v>
      </c>
      <c r="I911">
        <v>4.01</v>
      </c>
      <c r="J911" t="s">
        <v>2186</v>
      </c>
      <c r="K911" t="s">
        <v>85</v>
      </c>
      <c r="L911">
        <v>354</v>
      </c>
      <c r="M911">
        <v>2022</v>
      </c>
      <c r="N911">
        <v>2022</v>
      </c>
      <c r="P911" s="1">
        <v>45322</v>
      </c>
      <c r="Q911" t="s">
        <v>30</v>
      </c>
      <c r="R911" t="s">
        <v>3591</v>
      </c>
      <c r="S911" t="s">
        <v>30</v>
      </c>
      <c r="W911">
        <v>0</v>
      </c>
      <c r="X911">
        <v>0</v>
      </c>
      <c r="Y911" t="s">
        <v>203</v>
      </c>
    </row>
    <row r="912" spans="1:25" x14ac:dyDescent="0.35">
      <c r="A912">
        <v>195487194</v>
      </c>
      <c r="B912" t="s">
        <v>3592</v>
      </c>
      <c r="C912" t="s">
        <v>3580</v>
      </c>
      <c r="D912" t="s">
        <v>3581</v>
      </c>
      <c r="F912" t="str">
        <f>"1837906653"</f>
        <v>1837906653</v>
      </c>
      <c r="G912" t="str">
        <f>"9781837906659"</f>
        <v>9781837906659</v>
      </c>
      <c r="H912">
        <v>0</v>
      </c>
      <c r="I912">
        <v>4.08</v>
      </c>
      <c r="J912" t="s">
        <v>2186</v>
      </c>
      <c r="K912" t="s">
        <v>85</v>
      </c>
      <c r="L912">
        <v>384</v>
      </c>
      <c r="M912">
        <v>2023</v>
      </c>
      <c r="N912">
        <v>2023</v>
      </c>
      <c r="P912" s="1">
        <v>45322</v>
      </c>
      <c r="Q912" t="s">
        <v>30</v>
      </c>
      <c r="R912" t="s">
        <v>3593</v>
      </c>
      <c r="S912" t="s">
        <v>30</v>
      </c>
      <c r="W912">
        <v>0</v>
      </c>
      <c r="X912">
        <v>0</v>
      </c>
      <c r="Y912" t="s">
        <v>38</v>
      </c>
    </row>
    <row r="913" spans="1:25" x14ac:dyDescent="0.35">
      <c r="A913">
        <v>46125020</v>
      </c>
      <c r="B913" t="s">
        <v>3594</v>
      </c>
      <c r="C913" t="s">
        <v>1133</v>
      </c>
      <c r="D913" t="s">
        <v>1134</v>
      </c>
      <c r="F913" t="str">
        <f>"0800727991"</f>
        <v>0800727991</v>
      </c>
      <c r="G913" t="str">
        <f>"9780800727994"</f>
        <v>9780800727994</v>
      </c>
      <c r="H913">
        <v>0</v>
      </c>
      <c r="I913">
        <v>4.47</v>
      </c>
      <c r="J913" t="s">
        <v>259</v>
      </c>
      <c r="K913" t="s">
        <v>29</v>
      </c>
      <c r="L913">
        <v>371</v>
      </c>
      <c r="M913">
        <v>2020</v>
      </c>
      <c r="N913">
        <v>2020</v>
      </c>
      <c r="P913" s="1">
        <v>45322</v>
      </c>
      <c r="Q913" t="s">
        <v>30</v>
      </c>
      <c r="R913" t="s">
        <v>3595</v>
      </c>
      <c r="S913" t="s">
        <v>30</v>
      </c>
      <c r="W913">
        <v>0</v>
      </c>
      <c r="X913">
        <v>0</v>
      </c>
      <c r="Y913" t="s">
        <v>38</v>
      </c>
    </row>
    <row r="914" spans="1:25" x14ac:dyDescent="0.35">
      <c r="A914">
        <v>90209690</v>
      </c>
      <c r="B914" t="s">
        <v>3596</v>
      </c>
      <c r="C914" t="s">
        <v>3597</v>
      </c>
      <c r="D914" t="s">
        <v>3598</v>
      </c>
      <c r="F914" t="str">
        <f>""</f>
        <v/>
      </c>
      <c r="G914" t="str">
        <f>"9781493443420"</f>
        <v>9781493443420</v>
      </c>
      <c r="H914">
        <v>0</v>
      </c>
      <c r="I914">
        <v>4.21</v>
      </c>
      <c r="J914" t="s">
        <v>259</v>
      </c>
      <c r="K914" t="s">
        <v>85</v>
      </c>
      <c r="L914">
        <v>384</v>
      </c>
      <c r="M914">
        <v>2023</v>
      </c>
      <c r="N914">
        <v>2023</v>
      </c>
      <c r="P914" s="1">
        <v>45322</v>
      </c>
      <c r="Q914" t="s">
        <v>30</v>
      </c>
      <c r="R914" t="s">
        <v>3599</v>
      </c>
      <c r="S914" t="s">
        <v>30</v>
      </c>
      <c r="W914">
        <v>0</v>
      </c>
      <c r="X914">
        <v>0</v>
      </c>
      <c r="Y914" t="s">
        <v>32</v>
      </c>
    </row>
    <row r="915" spans="1:25" x14ac:dyDescent="0.35">
      <c r="A915">
        <v>49228206</v>
      </c>
      <c r="B915" t="s">
        <v>3600</v>
      </c>
      <c r="C915" t="s">
        <v>3601</v>
      </c>
      <c r="D915" t="s">
        <v>3602</v>
      </c>
      <c r="F915" t="str">
        <f>"1493425129"</f>
        <v>1493425129</v>
      </c>
      <c r="G915" t="str">
        <f>"9781493425129"</f>
        <v>9781493425129</v>
      </c>
      <c r="H915">
        <v>0</v>
      </c>
      <c r="I915">
        <v>4.3899999999999997</v>
      </c>
      <c r="J915" t="s">
        <v>36</v>
      </c>
      <c r="K915" t="s">
        <v>85</v>
      </c>
      <c r="L915">
        <v>367</v>
      </c>
      <c r="M915">
        <v>2020</v>
      </c>
      <c r="N915">
        <v>2020</v>
      </c>
      <c r="P915" s="1">
        <v>45322</v>
      </c>
      <c r="Q915" t="s">
        <v>30</v>
      </c>
      <c r="R915" t="s">
        <v>3603</v>
      </c>
      <c r="S915" t="s">
        <v>30</v>
      </c>
      <c r="W915">
        <v>0</v>
      </c>
      <c r="X915">
        <v>0</v>
      </c>
      <c r="Y915" t="s">
        <v>38</v>
      </c>
    </row>
    <row r="916" spans="1:25" x14ac:dyDescent="0.35">
      <c r="A916">
        <v>201914999</v>
      </c>
      <c r="B916" t="s">
        <v>3604</v>
      </c>
      <c r="C916" t="s">
        <v>3605</v>
      </c>
      <c r="D916" t="s">
        <v>3606</v>
      </c>
      <c r="F916" t="str">
        <f>""</f>
        <v/>
      </c>
      <c r="G916" t="str">
        <f>""</f>
        <v/>
      </c>
      <c r="H916">
        <v>0</v>
      </c>
      <c r="I916">
        <v>4.01</v>
      </c>
      <c r="K916" t="s">
        <v>85</v>
      </c>
      <c r="L916">
        <v>217</v>
      </c>
      <c r="M916">
        <v>2023</v>
      </c>
      <c r="P916" s="1">
        <v>45320</v>
      </c>
      <c r="Q916" t="s">
        <v>30</v>
      </c>
      <c r="R916" t="s">
        <v>3607</v>
      </c>
      <c r="S916" t="s">
        <v>30</v>
      </c>
      <c r="W916">
        <v>0</v>
      </c>
      <c r="X916">
        <v>0</v>
      </c>
      <c r="Y916" t="s">
        <v>173</v>
      </c>
    </row>
    <row r="917" spans="1:25" x14ac:dyDescent="0.35">
      <c r="A917">
        <v>1885</v>
      </c>
      <c r="B917" t="s">
        <v>3608</v>
      </c>
      <c r="C917" t="s">
        <v>452</v>
      </c>
      <c r="D917" t="s">
        <v>453</v>
      </c>
      <c r="E917" t="s">
        <v>3609</v>
      </c>
      <c r="F917" t="str">
        <f>"1441341706"</f>
        <v>1441341706</v>
      </c>
      <c r="G917" t="str">
        <f>"9781441341709"</f>
        <v>9781441341709</v>
      </c>
      <c r="H917">
        <v>0</v>
      </c>
      <c r="I917">
        <v>4.29</v>
      </c>
      <c r="J917" t="s">
        <v>3610</v>
      </c>
      <c r="K917" t="s">
        <v>29</v>
      </c>
      <c r="L917">
        <v>279</v>
      </c>
      <c r="M917">
        <v>2023</v>
      </c>
      <c r="N917">
        <v>1813</v>
      </c>
      <c r="P917" s="1">
        <v>45320</v>
      </c>
      <c r="Q917" t="s">
        <v>30</v>
      </c>
      <c r="R917" t="s">
        <v>3611</v>
      </c>
      <c r="S917" t="s">
        <v>30</v>
      </c>
      <c r="W917">
        <v>0</v>
      </c>
      <c r="X917">
        <v>0</v>
      </c>
      <c r="Y917" t="s">
        <v>38</v>
      </c>
    </row>
    <row r="918" spans="1:25" x14ac:dyDescent="0.35">
      <c r="A918">
        <v>57010537</v>
      </c>
      <c r="B918" t="s">
        <v>3612</v>
      </c>
      <c r="C918" t="s">
        <v>3613</v>
      </c>
      <c r="D918" t="s">
        <v>3614</v>
      </c>
      <c r="F918" t="str">
        <f>"1542030218"</f>
        <v>1542030218</v>
      </c>
      <c r="G918" t="str">
        <f>"9781542030212"</f>
        <v>9781542030212</v>
      </c>
      <c r="H918">
        <v>0</v>
      </c>
      <c r="I918">
        <v>4.05</v>
      </c>
      <c r="J918" t="s">
        <v>3615</v>
      </c>
      <c r="K918" t="s">
        <v>85</v>
      </c>
      <c r="L918">
        <v>329</v>
      </c>
      <c r="M918">
        <v>2024</v>
      </c>
      <c r="N918">
        <v>2024</v>
      </c>
      <c r="P918" s="1">
        <v>45320</v>
      </c>
      <c r="Q918" t="s">
        <v>30</v>
      </c>
      <c r="R918" t="s">
        <v>3616</v>
      </c>
      <c r="S918" t="s">
        <v>30</v>
      </c>
      <c r="W918">
        <v>0</v>
      </c>
      <c r="X918">
        <v>0</v>
      </c>
      <c r="Y918" t="s">
        <v>38</v>
      </c>
    </row>
    <row r="919" spans="1:25" x14ac:dyDescent="0.35">
      <c r="A919">
        <v>61718053</v>
      </c>
      <c r="B919" t="s">
        <v>3617</v>
      </c>
      <c r="C919" t="s">
        <v>1031</v>
      </c>
      <c r="D919" t="s">
        <v>1032</v>
      </c>
      <c r="F919" t="str">
        <f>"0593441273"</f>
        <v>0593441273</v>
      </c>
      <c r="G919" t="str">
        <f>"9780593441275"</f>
        <v>9780593441275</v>
      </c>
      <c r="H919">
        <v>0</v>
      </c>
      <c r="I919">
        <v>3.97</v>
      </c>
      <c r="J919" t="s">
        <v>350</v>
      </c>
      <c r="K919" t="s">
        <v>48</v>
      </c>
      <c r="L919">
        <v>400</v>
      </c>
      <c r="M919">
        <v>2023</v>
      </c>
      <c r="N919">
        <v>2023</v>
      </c>
      <c r="P919" s="1">
        <v>45320</v>
      </c>
      <c r="Q919" t="s">
        <v>30</v>
      </c>
      <c r="R919" t="s">
        <v>3618</v>
      </c>
      <c r="S919" t="s">
        <v>30</v>
      </c>
      <c r="W919">
        <v>0</v>
      </c>
      <c r="X919">
        <v>0</v>
      </c>
      <c r="Y919" t="s">
        <v>38</v>
      </c>
    </row>
    <row r="920" spans="1:25" x14ac:dyDescent="0.35">
      <c r="A920">
        <v>8130077</v>
      </c>
      <c r="B920" t="s">
        <v>3619</v>
      </c>
      <c r="C920" t="s">
        <v>1344</v>
      </c>
      <c r="D920" t="s">
        <v>1345</v>
      </c>
      <c r="F920" t="str">
        <f>""</f>
        <v/>
      </c>
      <c r="G920" t="str">
        <f>""</f>
        <v/>
      </c>
      <c r="H920">
        <v>0</v>
      </c>
      <c r="I920">
        <v>4.2699999999999996</v>
      </c>
      <c r="J920" t="s">
        <v>3620</v>
      </c>
      <c r="K920" t="s">
        <v>85</v>
      </c>
      <c r="L920">
        <v>222</v>
      </c>
      <c r="M920">
        <v>2009</v>
      </c>
      <c r="N920">
        <v>1942</v>
      </c>
      <c r="P920" s="1">
        <v>45320</v>
      </c>
      <c r="Q920" t="s">
        <v>30</v>
      </c>
      <c r="R920" t="s">
        <v>3621</v>
      </c>
      <c r="S920" t="s">
        <v>30</v>
      </c>
      <c r="W920">
        <v>0</v>
      </c>
      <c r="X920">
        <v>0</v>
      </c>
      <c r="Y920" t="s">
        <v>38</v>
      </c>
    </row>
    <row r="921" spans="1:25" x14ac:dyDescent="0.35">
      <c r="A921">
        <v>40792344</v>
      </c>
      <c r="B921" t="s">
        <v>3622</v>
      </c>
      <c r="C921" t="s">
        <v>1344</v>
      </c>
      <c r="D921" t="s">
        <v>1345</v>
      </c>
      <c r="F921" t="str">
        <f>""</f>
        <v/>
      </c>
      <c r="G921" t="str">
        <f>""</f>
        <v/>
      </c>
      <c r="H921">
        <v>0</v>
      </c>
      <c r="I921">
        <v>4.3600000000000003</v>
      </c>
      <c r="K921" t="s">
        <v>85</v>
      </c>
      <c r="L921">
        <v>98</v>
      </c>
      <c r="M921">
        <v>2018</v>
      </c>
      <c r="N921">
        <v>1952</v>
      </c>
      <c r="P921" s="1">
        <v>45320</v>
      </c>
      <c r="Q921" t="s">
        <v>30</v>
      </c>
      <c r="R921" t="s">
        <v>3623</v>
      </c>
      <c r="S921" t="s">
        <v>30</v>
      </c>
      <c r="W921">
        <v>0</v>
      </c>
      <c r="X921">
        <v>0</v>
      </c>
      <c r="Y921" t="s">
        <v>122</v>
      </c>
    </row>
    <row r="922" spans="1:25" x14ac:dyDescent="0.35">
      <c r="A922">
        <v>17414659</v>
      </c>
      <c r="B922" t="s">
        <v>3624</v>
      </c>
      <c r="C922" t="s">
        <v>3625</v>
      </c>
      <c r="D922" t="s">
        <v>3626</v>
      </c>
      <c r="F922" t="str">
        <f>"1433680750"</f>
        <v>1433680750</v>
      </c>
      <c r="G922" t="str">
        <f>"9781433680755"</f>
        <v>9781433680755</v>
      </c>
      <c r="H922">
        <v>0</v>
      </c>
      <c r="I922">
        <v>4.01</v>
      </c>
      <c r="J922" t="s">
        <v>1694</v>
      </c>
      <c r="K922" t="s">
        <v>29</v>
      </c>
      <c r="L922">
        <v>304</v>
      </c>
      <c r="M922">
        <v>2013</v>
      </c>
      <c r="N922">
        <v>2013</v>
      </c>
      <c r="P922" s="1">
        <v>45320</v>
      </c>
      <c r="Q922" t="s">
        <v>30</v>
      </c>
      <c r="R922" t="s">
        <v>3627</v>
      </c>
      <c r="S922" t="s">
        <v>30</v>
      </c>
      <c r="W922">
        <v>0</v>
      </c>
      <c r="X922">
        <v>0</v>
      </c>
      <c r="Y922" t="s">
        <v>203</v>
      </c>
    </row>
    <row r="923" spans="1:25" x14ac:dyDescent="0.35">
      <c r="A923">
        <v>182093563</v>
      </c>
      <c r="B923" t="s">
        <v>3628</v>
      </c>
      <c r="C923" t="s">
        <v>3629</v>
      </c>
      <c r="D923" t="s">
        <v>3630</v>
      </c>
      <c r="F923" t="str">
        <f>"0800740688"</f>
        <v>0800740688</v>
      </c>
      <c r="G923" t="str">
        <f>"9780800740689"</f>
        <v>9780800740689</v>
      </c>
      <c r="H923">
        <v>0</v>
      </c>
      <c r="I923">
        <v>4.38</v>
      </c>
      <c r="J923" t="s">
        <v>259</v>
      </c>
      <c r="K923" t="s">
        <v>29</v>
      </c>
      <c r="L923">
        <v>416</v>
      </c>
      <c r="M923">
        <v>2024</v>
      </c>
      <c r="N923">
        <v>2024</v>
      </c>
      <c r="P923" s="1">
        <v>45320</v>
      </c>
      <c r="Q923" t="s">
        <v>30</v>
      </c>
      <c r="R923" t="s">
        <v>3631</v>
      </c>
      <c r="S923" t="s">
        <v>30</v>
      </c>
      <c r="W923">
        <v>0</v>
      </c>
      <c r="X923">
        <v>0</v>
      </c>
      <c r="Y923" t="s">
        <v>38</v>
      </c>
    </row>
    <row r="924" spans="1:25" x14ac:dyDescent="0.35">
      <c r="A924">
        <v>61140765</v>
      </c>
      <c r="B924" t="s">
        <v>3632</v>
      </c>
      <c r="C924" t="s">
        <v>3633</v>
      </c>
      <c r="D924" t="s">
        <v>3634</v>
      </c>
      <c r="F924" t="str">
        <f>"0800741749"</f>
        <v>0800741749</v>
      </c>
      <c r="G924" t="str">
        <f>"9780800741747"</f>
        <v>9780800741747</v>
      </c>
      <c r="H924">
        <v>0</v>
      </c>
      <c r="I924">
        <v>4.13</v>
      </c>
      <c r="J924" t="s">
        <v>259</v>
      </c>
      <c r="K924" t="s">
        <v>29</v>
      </c>
      <c r="L924">
        <v>352</v>
      </c>
      <c r="M924">
        <v>2023</v>
      </c>
      <c r="N924">
        <v>2023</v>
      </c>
      <c r="P924" s="1">
        <v>45320</v>
      </c>
      <c r="Q924" t="s">
        <v>30</v>
      </c>
      <c r="R924" t="s">
        <v>3635</v>
      </c>
      <c r="S924" t="s">
        <v>30</v>
      </c>
      <c r="W924">
        <v>0</v>
      </c>
      <c r="X924">
        <v>0</v>
      </c>
      <c r="Y924" t="s">
        <v>38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goodreads_library_export_with_g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Breanna Oropeza</dc:creator>
  <cp:lastModifiedBy>Breanna Oropeza</cp:lastModifiedBy>
  <dcterms:created xsi:type="dcterms:W3CDTF">2025-02-18T04:20:44Z</dcterms:created>
  <dcterms:modified xsi:type="dcterms:W3CDTF">2025-02-18T04:20:44Z</dcterms:modified>
</cp:coreProperties>
</file>