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24226"/>
  <mc:AlternateContent xmlns:mc="http://schemas.openxmlformats.org/markup-compatibility/2006">
    <mc:Choice Requires="x15">
      <x15ac:absPath xmlns:x15ac="http://schemas.microsoft.com/office/spreadsheetml/2010/11/ac" url="C:\Users\Michael Lämmermann\Documents\BA\BA\UEQ\Data_Analysis_Tools\"/>
    </mc:Choice>
  </mc:AlternateContent>
  <xr:revisionPtr revIDLastSave="0" documentId="10_ncr:100000_{CD40057E-C742-40CD-A27A-B438ECE1664A}" xr6:coauthVersionLast="31" xr6:coauthVersionMax="34" xr10:uidLastSave="{00000000-0000-0000-0000-000000000000}"/>
  <bookViews>
    <workbookView xWindow="780" yWindow="285" windowWidth="20880" windowHeight="10215"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79017"/>
</workbook>
</file>

<file path=xl/calcChain.xml><?xml version="1.0" encoding="utf-8"?>
<calcChain xmlns="http://schemas.openxmlformats.org/spreadsheetml/2006/main">
  <c r="M4" i="2" l="1"/>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AG997" i="14" s="1"/>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AG993" i="14" s="1"/>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AG991" i="14" s="1"/>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AG989" i="14" s="1"/>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D988" i="14" s="1"/>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AG987" i="14" s="1"/>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AG985" i="14" s="1"/>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D984" i="14" s="1"/>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AG983" i="14" s="1"/>
  <c r="D983" i="14"/>
  <c r="C983" i="14"/>
  <c r="AH983" i="14" s="1"/>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AG981" i="14" s="1"/>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D980" i="14" s="1"/>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AG979" i="14" s="1"/>
  <c r="D979" i="14"/>
  <c r="C979" i="14"/>
  <c r="AH979" i="14" s="1"/>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AG977" i="14" s="1"/>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D976" i="14" s="1"/>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AH975" i="14" s="1"/>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AG973" i="14" s="1"/>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D972" i="14" s="1"/>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AG971" i="14" s="1"/>
  <c r="D971" i="14"/>
  <c r="C971" i="14"/>
  <c r="AH971" i="14" s="1"/>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D968" i="14" s="1"/>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AH967" i="14" s="1"/>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D964" i="14" s="1"/>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AG963" i="14" s="1"/>
  <c r="D963" i="14"/>
  <c r="C963" i="14"/>
  <c r="AH963" i="14" s="1"/>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D960" i="14" s="1"/>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AG959" i="14" s="1"/>
  <c r="D959" i="14"/>
  <c r="C959" i="14"/>
  <c r="AH959" i="14" s="1"/>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D956" i="14" s="1"/>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AG955" i="14" s="1"/>
  <c r="D955" i="14"/>
  <c r="C955" i="14"/>
  <c r="AH955" i="14" s="1"/>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D952" i="14" s="1"/>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AH951" i="14" s="1"/>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D948" i="14" s="1"/>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AH947" i="14" s="1"/>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D944" i="14" s="1"/>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AH943" i="14" s="1"/>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D940" i="14" s="1"/>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AH939" i="14" s="1"/>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D936" i="14" s="1"/>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AH935" i="14" s="1"/>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D932" i="14" s="1"/>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AH931" i="14" s="1"/>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D928" i="14" s="1"/>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AH927" i="14" s="1"/>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D924" i="14" s="1"/>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AH923" i="14" s="1"/>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D920" i="14" s="1"/>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AH919" i="14" s="1"/>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D916" i="14" s="1"/>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AH915" i="14" s="1"/>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D912" i="14" s="1"/>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AH911" i="14" s="1"/>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D908" i="14" s="1"/>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AH907" i="14" s="1"/>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D904" i="14" s="1"/>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AH903" i="14" s="1"/>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D900" i="14" s="1"/>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D896" i="14" s="1"/>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D892" i="14" s="1"/>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D888" i="14" s="1"/>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D884" i="14" s="1"/>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D880" i="14" s="1"/>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D876" i="14" s="1"/>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D872" i="14" s="1"/>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D820" i="14" s="1"/>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AG819" i="14" s="1"/>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D816" i="14" s="1"/>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AG815" i="14" s="1"/>
  <c r="D815" i="14"/>
  <c r="C815" i="14"/>
  <c r="AH815" i="14" s="1"/>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D812" i="14" s="1"/>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AG811" i="14" s="1"/>
  <c r="D811" i="14"/>
  <c r="C811" i="14"/>
  <c r="AH811" i="14" s="1"/>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D808" i="14" s="1"/>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AG807" i="14" s="1"/>
  <c r="D807" i="14"/>
  <c r="C807" i="14"/>
  <c r="AH807" i="14" s="1"/>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D804" i="14" s="1"/>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AG803" i="14" s="1"/>
  <c r="D803" i="14"/>
  <c r="C803" i="14"/>
  <c r="AH803" i="14" s="1"/>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D800" i="14" s="1"/>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AG799" i="14" s="1"/>
  <c r="D799" i="14"/>
  <c r="C799" i="14"/>
  <c r="AH799" i="14" s="1"/>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D796" i="14" s="1"/>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AG795" i="14" s="1"/>
  <c r="D795" i="14"/>
  <c r="C795" i="14"/>
  <c r="AH795" i="14" s="1"/>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D792" i="14" s="1"/>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AG791" i="14" s="1"/>
  <c r="D791" i="14"/>
  <c r="C791" i="14"/>
  <c r="AH791" i="14" s="1"/>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D788" i="14" s="1"/>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AG787" i="14" s="1"/>
  <c r="D787" i="14"/>
  <c r="C787" i="14"/>
  <c r="AH787" i="14" s="1"/>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D784" i="14" s="1"/>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AG783" i="14" s="1"/>
  <c r="D783" i="14"/>
  <c r="C783" i="14"/>
  <c r="AH783" i="14" s="1"/>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D780" i="14" s="1"/>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AG779" i="14" s="1"/>
  <c r="D779" i="14"/>
  <c r="C779" i="14"/>
  <c r="AH779" i="14" s="1"/>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D776" i="14" s="1"/>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AG775" i="14" s="1"/>
  <c r="D775" i="14"/>
  <c r="C775" i="14"/>
  <c r="AH775" i="14" s="1"/>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D772" i="14" s="1"/>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AG771" i="14" s="1"/>
  <c r="D771" i="14"/>
  <c r="C771" i="14"/>
  <c r="AH771" i="14" s="1"/>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D768" i="14" s="1"/>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AG767" i="14" s="1"/>
  <c r="D767" i="14"/>
  <c r="C767" i="14"/>
  <c r="AH767" i="14" s="1"/>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D764" i="14" s="1"/>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AG763" i="14" s="1"/>
  <c r="D763" i="14"/>
  <c r="C763" i="14"/>
  <c r="AH763" i="14" s="1"/>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D760" i="14" s="1"/>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AG759" i="14" s="1"/>
  <c r="D759" i="14"/>
  <c r="C759" i="14"/>
  <c r="AH759" i="14" s="1"/>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D756" i="14" s="1"/>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AG755" i="14" s="1"/>
  <c r="D755" i="14"/>
  <c r="C755" i="14"/>
  <c r="AH755" i="14" s="1"/>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D752" i="14" s="1"/>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AG751" i="14" s="1"/>
  <c r="D751" i="14"/>
  <c r="C751" i="14"/>
  <c r="AH751" i="14" s="1"/>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D748" i="14" s="1"/>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AG747" i="14" s="1"/>
  <c r="D747" i="14"/>
  <c r="C747" i="14"/>
  <c r="AH747" i="14" s="1"/>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D744" i="14" s="1"/>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AG743" i="14" s="1"/>
  <c r="D743" i="14"/>
  <c r="C743" i="14"/>
  <c r="AH743" i="14" s="1"/>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D740" i="14" s="1"/>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AG739" i="14" s="1"/>
  <c r="D739" i="14"/>
  <c r="C739" i="14"/>
  <c r="AH739" i="14" s="1"/>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D736" i="14" s="1"/>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AG735" i="14" s="1"/>
  <c r="D735" i="14"/>
  <c r="C735" i="14"/>
  <c r="AH735" i="14" s="1"/>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D732" i="14" s="1"/>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AG731" i="14" s="1"/>
  <c r="D731" i="14"/>
  <c r="C731" i="14"/>
  <c r="AH731" i="14" s="1"/>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D728" i="14" s="1"/>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AG727" i="14" s="1"/>
  <c r="D727" i="14"/>
  <c r="C727" i="14"/>
  <c r="AH727" i="14" s="1"/>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D724" i="14" s="1"/>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AG723" i="14" s="1"/>
  <c r="D723" i="14"/>
  <c r="C723" i="14"/>
  <c r="AH723" i="14" s="1"/>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D720" i="14" s="1"/>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AG719" i="14" s="1"/>
  <c r="D719" i="14"/>
  <c r="C719" i="14"/>
  <c r="AH719" i="14" s="1"/>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D716" i="14" s="1"/>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AG715" i="14" s="1"/>
  <c r="D715" i="14"/>
  <c r="C715" i="14"/>
  <c r="AH715" i="14" s="1"/>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D712" i="14" s="1"/>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AG711" i="14" s="1"/>
  <c r="D711" i="14"/>
  <c r="C711" i="14"/>
  <c r="AH711" i="14" s="1"/>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D708" i="14" s="1"/>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AG707" i="14" s="1"/>
  <c r="D707" i="14"/>
  <c r="C707" i="14"/>
  <c r="AH707" i="14" s="1"/>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D704" i="14" s="1"/>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AG703" i="14" s="1"/>
  <c r="D703" i="14"/>
  <c r="C703" i="14"/>
  <c r="AH703" i="14" s="1"/>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D700" i="14" s="1"/>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AG699" i="14" s="1"/>
  <c r="D699" i="14"/>
  <c r="C699" i="14"/>
  <c r="AH699" i="14" s="1"/>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D696" i="14" s="1"/>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AG695" i="14" s="1"/>
  <c r="D695" i="14"/>
  <c r="C695" i="14"/>
  <c r="AH695" i="14" s="1"/>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D692" i="14" s="1"/>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AG691" i="14" s="1"/>
  <c r="D691" i="14"/>
  <c r="C691" i="14"/>
  <c r="AH691" i="14" s="1"/>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D688" i="14" s="1"/>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AG687" i="14" s="1"/>
  <c r="D687" i="14"/>
  <c r="C687" i="14"/>
  <c r="AH687" i="14" s="1"/>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D684" i="14" s="1"/>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AG683" i="14" s="1"/>
  <c r="D683" i="14"/>
  <c r="C683" i="14"/>
  <c r="AH683" i="14" s="1"/>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D680" i="14" s="1"/>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AG679" i="14" s="1"/>
  <c r="D679" i="14"/>
  <c r="C679" i="14"/>
  <c r="AH679" i="14" s="1"/>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D676" i="14" s="1"/>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AG675" i="14" s="1"/>
  <c r="D675" i="14"/>
  <c r="C675" i="14"/>
  <c r="AH675" i="14" s="1"/>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D672" i="14" s="1"/>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AG671" i="14" s="1"/>
  <c r="D671" i="14"/>
  <c r="C671" i="14"/>
  <c r="AH671" i="14" s="1"/>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D668" i="14" s="1"/>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AG667" i="14" s="1"/>
  <c r="D667" i="14"/>
  <c r="C667" i="14"/>
  <c r="AH667" i="14" s="1"/>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D664" i="14" s="1"/>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AG663" i="14" s="1"/>
  <c r="D663" i="14"/>
  <c r="C663" i="14"/>
  <c r="AH663" i="14" s="1"/>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D660" i="14" s="1"/>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AG659" i="14" s="1"/>
  <c r="D659" i="14"/>
  <c r="C659" i="14"/>
  <c r="AH659" i="14" s="1"/>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D656" i="14" s="1"/>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AG655" i="14" s="1"/>
  <c r="D655" i="14"/>
  <c r="C655" i="14"/>
  <c r="AH655" i="14" s="1"/>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AH652" i="14" s="1"/>
  <c r="B652" i="14"/>
  <c r="AD652" i="14" s="1"/>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AG651" i="14" s="1"/>
  <c r="D651" i="14"/>
  <c r="C651" i="14"/>
  <c r="AH651" i="14" s="1"/>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AH648" i="14" s="1"/>
  <c r="B648" i="14"/>
  <c r="AD648" i="14" s="1"/>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AG647" i="14" s="1"/>
  <c r="D647" i="14"/>
  <c r="C647" i="14"/>
  <c r="AH647" i="14" s="1"/>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AH644" i="14" s="1"/>
  <c r="B644" i="14"/>
  <c r="AD644" i="14" s="1"/>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AG643" i="14" s="1"/>
  <c r="D643" i="14"/>
  <c r="C643" i="14"/>
  <c r="AH643" i="14" s="1"/>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AH640" i="14" s="1"/>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AG639" i="14" s="1"/>
  <c r="D639" i="14"/>
  <c r="C639" i="14"/>
  <c r="AH639" i="14" s="1"/>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AH636" i="14" s="1"/>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AG635" i="14" s="1"/>
  <c r="D635" i="14"/>
  <c r="C635" i="14"/>
  <c r="AH635" i="14" s="1"/>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AH632" i="14" s="1"/>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AG631" i="14" s="1"/>
  <c r="D631" i="14"/>
  <c r="C631" i="14"/>
  <c r="AH631" i="14" s="1"/>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AH628" i="14" s="1"/>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AG627" i="14" s="1"/>
  <c r="D627" i="14"/>
  <c r="C627" i="14"/>
  <c r="AH627" i="14" s="1"/>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AH624" i="14" s="1"/>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AG623" i="14" s="1"/>
  <c r="D623" i="14"/>
  <c r="C623" i="14"/>
  <c r="AH623" i="14" s="1"/>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AH620" i="14" s="1"/>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AG619" i="14" s="1"/>
  <c r="D619" i="14"/>
  <c r="C619" i="14"/>
  <c r="AH619" i="14" s="1"/>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AH616" i="14" s="1"/>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AG615" i="14" s="1"/>
  <c r="D615" i="14"/>
  <c r="C615" i="14"/>
  <c r="AH615" i="14" s="1"/>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AH612" i="14" s="1"/>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AG611" i="14" s="1"/>
  <c r="D611" i="14"/>
  <c r="C611" i="14"/>
  <c r="AH611" i="14" s="1"/>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AH608" i="14" s="1"/>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AG607" i="14" s="1"/>
  <c r="D607" i="14"/>
  <c r="C607" i="14"/>
  <c r="AH607" i="14" s="1"/>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AH604" i="14" s="1"/>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AG603" i="14" s="1"/>
  <c r="D603" i="14"/>
  <c r="C603" i="14"/>
  <c r="AH603" i="14" s="1"/>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AH600" i="14" s="1"/>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AG599" i="14" s="1"/>
  <c r="D599" i="14"/>
  <c r="C599" i="14"/>
  <c r="AH599" i="14" s="1"/>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AH596" i="14" s="1"/>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AG595" i="14" s="1"/>
  <c r="D595" i="14"/>
  <c r="C595" i="14"/>
  <c r="AH595" i="14" s="1"/>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AH592" i="14" s="1"/>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AG591" i="14" s="1"/>
  <c r="D591" i="14"/>
  <c r="C591" i="14"/>
  <c r="AH591" i="14" s="1"/>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AH588" i="14" s="1"/>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AG587" i="14" s="1"/>
  <c r="D587" i="14"/>
  <c r="C587" i="14"/>
  <c r="AH587" i="14" s="1"/>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AH584" i="14" s="1"/>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AG583" i="14" s="1"/>
  <c r="D583" i="14"/>
  <c r="C583" i="14"/>
  <c r="AH583" i="14" s="1"/>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AH580" i="14" s="1"/>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AG579" i="14" s="1"/>
  <c r="D579" i="14"/>
  <c r="C579" i="14"/>
  <c r="AH579" i="14" s="1"/>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AH576" i="14" s="1"/>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AG575" i="14" s="1"/>
  <c r="D575" i="14"/>
  <c r="C575" i="14"/>
  <c r="AH575" i="14" s="1"/>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AH572" i="14" s="1"/>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AG571" i="14" s="1"/>
  <c r="D571" i="14"/>
  <c r="C571" i="14"/>
  <c r="AH571" i="14" s="1"/>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AH568" i="14" s="1"/>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AG567" i="14" s="1"/>
  <c r="D567" i="14"/>
  <c r="C567" i="14"/>
  <c r="AH567" i="14" s="1"/>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AH564" i="14" s="1"/>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AG563" i="14" s="1"/>
  <c r="D563" i="14"/>
  <c r="C563" i="14"/>
  <c r="AH563" i="14" s="1"/>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AH560" i="14" s="1"/>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AG559" i="14" s="1"/>
  <c r="D559" i="14"/>
  <c r="C559" i="14"/>
  <c r="AH559" i="14" s="1"/>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AH556" i="14" s="1"/>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AG555" i="14" s="1"/>
  <c r="D555" i="14"/>
  <c r="C555" i="14"/>
  <c r="AH555" i="14" s="1"/>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AH552" i="14" s="1"/>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AG551" i="14" s="1"/>
  <c r="D551" i="14"/>
  <c r="C551" i="14"/>
  <c r="AH551" i="14" s="1"/>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AH548" i="14" s="1"/>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AG547" i="14" s="1"/>
  <c r="D547" i="14"/>
  <c r="C547" i="14"/>
  <c r="AH547" i="14" s="1"/>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AH544" i="14" s="1"/>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AG543" i="14" s="1"/>
  <c r="D543" i="14"/>
  <c r="C543" i="14"/>
  <c r="AH543" i="14" s="1"/>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AH540" i="14" s="1"/>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AG539" i="14" s="1"/>
  <c r="D539" i="14"/>
  <c r="C539" i="14"/>
  <c r="AH539" i="14" s="1"/>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AH536" i="14" s="1"/>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AG535" i="14" s="1"/>
  <c r="D535" i="14"/>
  <c r="C535" i="14"/>
  <c r="AH535" i="14" s="1"/>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AH532" i="14" s="1"/>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AG531" i="14" s="1"/>
  <c r="D531" i="14"/>
  <c r="C531" i="14"/>
  <c r="AH531" i="14" s="1"/>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AH528" i="14" s="1"/>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AG527" i="14" s="1"/>
  <c r="D527" i="14"/>
  <c r="C527" i="14"/>
  <c r="AH527" i="14" s="1"/>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AH524" i="14" s="1"/>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AG523" i="14" s="1"/>
  <c r="D523" i="14"/>
  <c r="C523" i="14"/>
  <c r="AH523" i="14" s="1"/>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AH520" i="14" s="1"/>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AG519" i="14" s="1"/>
  <c r="D519" i="14"/>
  <c r="C519" i="14"/>
  <c r="AH519" i="14" s="1"/>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AH516" i="14" s="1"/>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AG515" i="14" s="1"/>
  <c r="D515" i="14"/>
  <c r="C515" i="14"/>
  <c r="AH515" i="14" s="1"/>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AH512" i="14" s="1"/>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AG511" i="14" s="1"/>
  <c r="D511" i="14"/>
  <c r="C511" i="14"/>
  <c r="AH511" i="14" s="1"/>
  <c r="B511" i="14"/>
  <c r="A511" i="14"/>
  <c r="Z510" i="14"/>
  <c r="Y510" i="14"/>
  <c r="X510" i="14"/>
  <c r="W510" i="14"/>
  <c r="V510" i="14"/>
  <c r="U510" i="14"/>
  <c r="T510" i="14"/>
  <c r="S510" i="14"/>
  <c r="R510" i="14"/>
  <c r="Q510" i="14"/>
  <c r="P510" i="14"/>
  <c r="O510" i="14"/>
  <c r="N510" i="14"/>
  <c r="M510" i="14"/>
  <c r="L510" i="14"/>
  <c r="K510" i="14"/>
  <c r="J510" i="14"/>
  <c r="I510" i="14"/>
  <c r="H510" i="14"/>
  <c r="AF510" i="14" s="1"/>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AH508" i="14" s="1"/>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AG507" i="14" s="1"/>
  <c r="D507" i="14"/>
  <c r="C507" i="14"/>
  <c r="AH507" i="14" s="1"/>
  <c r="B507" i="14"/>
  <c r="A507" i="14"/>
  <c r="Z506" i="14"/>
  <c r="Y506" i="14"/>
  <c r="X506" i="14"/>
  <c r="W506" i="14"/>
  <c r="V506" i="14"/>
  <c r="U506" i="14"/>
  <c r="T506" i="14"/>
  <c r="S506" i="14"/>
  <c r="R506" i="14"/>
  <c r="Q506" i="14"/>
  <c r="P506" i="14"/>
  <c r="O506" i="14"/>
  <c r="N506" i="14"/>
  <c r="M506" i="14"/>
  <c r="L506" i="14"/>
  <c r="K506" i="14"/>
  <c r="J506" i="14"/>
  <c r="I506" i="14"/>
  <c r="H506" i="14"/>
  <c r="AF506" i="14" s="1"/>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AH504" i="14" s="1"/>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AG503" i="14" s="1"/>
  <c r="D503" i="14"/>
  <c r="C503" i="14"/>
  <c r="AH503" i="14" s="1"/>
  <c r="B503" i="14"/>
  <c r="A503" i="14"/>
  <c r="Z502" i="14"/>
  <c r="Y502" i="14"/>
  <c r="X502" i="14"/>
  <c r="W502" i="14"/>
  <c r="V502" i="14"/>
  <c r="U502" i="14"/>
  <c r="T502" i="14"/>
  <c r="S502" i="14"/>
  <c r="R502" i="14"/>
  <c r="Q502" i="14"/>
  <c r="P502" i="14"/>
  <c r="O502" i="14"/>
  <c r="N502" i="14"/>
  <c r="M502" i="14"/>
  <c r="L502" i="14"/>
  <c r="K502" i="14"/>
  <c r="J502" i="14"/>
  <c r="I502" i="14"/>
  <c r="H502" i="14"/>
  <c r="AF502" i="14" s="1"/>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AH500" i="14" s="1"/>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AG499" i="14" s="1"/>
  <c r="D499" i="14"/>
  <c r="C499" i="14"/>
  <c r="AH499" i="14" s="1"/>
  <c r="B499" i="14"/>
  <c r="A499" i="14"/>
  <c r="Z498" i="14"/>
  <c r="Y498" i="14"/>
  <c r="X498" i="14"/>
  <c r="W498" i="14"/>
  <c r="V498" i="14"/>
  <c r="U498" i="14"/>
  <c r="T498" i="14"/>
  <c r="S498" i="14"/>
  <c r="R498" i="14"/>
  <c r="Q498" i="14"/>
  <c r="P498" i="14"/>
  <c r="O498" i="14"/>
  <c r="N498" i="14"/>
  <c r="M498" i="14"/>
  <c r="L498" i="14"/>
  <c r="K498" i="14"/>
  <c r="J498" i="14"/>
  <c r="I498" i="14"/>
  <c r="H498" i="14"/>
  <c r="AF498" i="14" s="1"/>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AH496" i="14" s="1"/>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AG495" i="14" s="1"/>
  <c r="D495" i="14"/>
  <c r="C495" i="14"/>
  <c r="AH495" i="14" s="1"/>
  <c r="B495" i="14"/>
  <c r="A495" i="14"/>
  <c r="Z494" i="14"/>
  <c r="Y494" i="14"/>
  <c r="X494" i="14"/>
  <c r="W494" i="14"/>
  <c r="V494" i="14"/>
  <c r="U494" i="14"/>
  <c r="T494" i="14"/>
  <c r="S494" i="14"/>
  <c r="R494" i="14"/>
  <c r="Q494" i="14"/>
  <c r="P494" i="14"/>
  <c r="O494" i="14"/>
  <c r="N494" i="14"/>
  <c r="M494" i="14"/>
  <c r="L494" i="14"/>
  <c r="K494" i="14"/>
  <c r="J494" i="14"/>
  <c r="I494" i="14"/>
  <c r="H494" i="14"/>
  <c r="AF494" i="14" s="1"/>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AH492" i="14" s="1"/>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AG491" i="14" s="1"/>
  <c r="D491" i="14"/>
  <c r="C491" i="14"/>
  <c r="AH491" i="14" s="1"/>
  <c r="B491" i="14"/>
  <c r="A491" i="14"/>
  <c r="Z490" i="14"/>
  <c r="Y490" i="14"/>
  <c r="X490" i="14"/>
  <c r="W490" i="14"/>
  <c r="V490" i="14"/>
  <c r="U490" i="14"/>
  <c r="T490" i="14"/>
  <c r="S490" i="14"/>
  <c r="R490" i="14"/>
  <c r="Q490" i="14"/>
  <c r="P490" i="14"/>
  <c r="O490" i="14"/>
  <c r="N490" i="14"/>
  <c r="M490" i="14"/>
  <c r="L490" i="14"/>
  <c r="K490" i="14"/>
  <c r="J490" i="14"/>
  <c r="I490" i="14"/>
  <c r="H490" i="14"/>
  <c r="AF490" i="14" s="1"/>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AH488" i="14" s="1"/>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AG487" i="14" s="1"/>
  <c r="D487" i="14"/>
  <c r="C487" i="14"/>
  <c r="AH487" i="14" s="1"/>
  <c r="B487" i="14"/>
  <c r="A487" i="14"/>
  <c r="Z486" i="14"/>
  <c r="Y486" i="14"/>
  <c r="X486" i="14"/>
  <c r="W486" i="14"/>
  <c r="V486" i="14"/>
  <c r="U486" i="14"/>
  <c r="T486" i="14"/>
  <c r="S486" i="14"/>
  <c r="R486" i="14"/>
  <c r="Q486" i="14"/>
  <c r="P486" i="14"/>
  <c r="O486" i="14"/>
  <c r="N486" i="14"/>
  <c r="M486" i="14"/>
  <c r="L486" i="14"/>
  <c r="K486" i="14"/>
  <c r="J486" i="14"/>
  <c r="I486" i="14"/>
  <c r="H486" i="14"/>
  <c r="AF486" i="14" s="1"/>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AH484" i="14" s="1"/>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AG483" i="14" s="1"/>
  <c r="D483" i="14"/>
  <c r="C483" i="14"/>
  <c r="AH483" i="14" s="1"/>
  <c r="B483" i="14"/>
  <c r="A483" i="14"/>
  <c r="Z482" i="14"/>
  <c r="Y482" i="14"/>
  <c r="X482" i="14"/>
  <c r="W482" i="14"/>
  <c r="V482" i="14"/>
  <c r="U482" i="14"/>
  <c r="T482" i="14"/>
  <c r="S482" i="14"/>
  <c r="R482" i="14"/>
  <c r="Q482" i="14"/>
  <c r="P482" i="14"/>
  <c r="O482" i="14"/>
  <c r="N482" i="14"/>
  <c r="M482" i="14"/>
  <c r="L482" i="14"/>
  <c r="K482" i="14"/>
  <c r="J482" i="14"/>
  <c r="I482" i="14"/>
  <c r="H482" i="14"/>
  <c r="AF482" i="14" s="1"/>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AH480" i="14" s="1"/>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AG479" i="14" s="1"/>
  <c r="D479" i="14"/>
  <c r="C479" i="14"/>
  <c r="AH479" i="14" s="1"/>
  <c r="B479" i="14"/>
  <c r="A479" i="14"/>
  <c r="Z478" i="14"/>
  <c r="Y478" i="14"/>
  <c r="X478" i="14"/>
  <c r="W478" i="14"/>
  <c r="V478" i="14"/>
  <c r="U478" i="14"/>
  <c r="T478" i="14"/>
  <c r="S478" i="14"/>
  <c r="R478" i="14"/>
  <c r="Q478" i="14"/>
  <c r="P478" i="14"/>
  <c r="O478" i="14"/>
  <c r="N478" i="14"/>
  <c r="M478" i="14"/>
  <c r="L478" i="14"/>
  <c r="K478" i="14"/>
  <c r="J478" i="14"/>
  <c r="I478" i="14"/>
  <c r="H478" i="14"/>
  <c r="AF478" i="14" s="1"/>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AH476" i="14" s="1"/>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AG475" i="14" s="1"/>
  <c r="D475" i="14"/>
  <c r="C475" i="14"/>
  <c r="AH475" i="14" s="1"/>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AH472" i="14" s="1"/>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AG471" i="14" s="1"/>
  <c r="D471" i="14"/>
  <c r="C471" i="14"/>
  <c r="AH471" i="14" s="1"/>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AH468" i="14" s="1"/>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AG467" i="14" s="1"/>
  <c r="D467" i="14"/>
  <c r="C467" i="14"/>
  <c r="AH467" i="14" s="1"/>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AH464" i="14" s="1"/>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AG463" i="14" s="1"/>
  <c r="D463" i="14"/>
  <c r="C463" i="14"/>
  <c r="AH463" i="14" s="1"/>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AH460" i="14" s="1"/>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AG459" i="14" s="1"/>
  <c r="D459" i="14"/>
  <c r="C459" i="14"/>
  <c r="AH459" i="14" s="1"/>
  <c r="B459" i="14"/>
  <c r="A459" i="14"/>
  <c r="Z458" i="14"/>
  <c r="Y458" i="14"/>
  <c r="X458" i="14"/>
  <c r="W458" i="14"/>
  <c r="V458" i="14"/>
  <c r="U458" i="14"/>
  <c r="T458" i="14"/>
  <c r="S458" i="14"/>
  <c r="R458" i="14"/>
  <c r="Q458" i="14"/>
  <c r="P458" i="14"/>
  <c r="O458" i="14"/>
  <c r="N458" i="14"/>
  <c r="M458" i="14"/>
  <c r="L458" i="14"/>
  <c r="K458" i="14"/>
  <c r="J458" i="14"/>
  <c r="I458" i="14"/>
  <c r="H458" i="14"/>
  <c r="AF458" i="14" s="1"/>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AH456" i="14" s="1"/>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AG455" i="14" s="1"/>
  <c r="D455" i="14"/>
  <c r="C455" i="14"/>
  <c r="AH455" i="14" s="1"/>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AH452" i="14" s="1"/>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AG451" i="14" s="1"/>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AH448" i="14" s="1"/>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AG447" i="14" s="1"/>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AH444" i="14" s="1"/>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AG443" i="14" s="1"/>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AH440" i="14" s="1"/>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AG439" i="14" s="1"/>
  <c r="D439" i="14"/>
  <c r="C439" i="14"/>
  <c r="AH439" i="14" s="1"/>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AH436" i="14" s="1"/>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AG435" i="14" s="1"/>
  <c r="D435" i="14"/>
  <c r="C435" i="14"/>
  <c r="AH435" i="14" s="1"/>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AH432" i="14" s="1"/>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AG431" i="14" s="1"/>
  <c r="D431" i="14"/>
  <c r="C431" i="14"/>
  <c r="AH431" i="14" s="1"/>
  <c r="B431" i="14"/>
  <c r="A431" i="14"/>
  <c r="Z430" i="14"/>
  <c r="Y430" i="14"/>
  <c r="X430" i="14"/>
  <c r="W430" i="14"/>
  <c r="V430" i="14"/>
  <c r="U430" i="14"/>
  <c r="T430" i="14"/>
  <c r="S430" i="14"/>
  <c r="R430" i="14"/>
  <c r="Q430" i="14"/>
  <c r="P430" i="14"/>
  <c r="O430" i="14"/>
  <c r="N430" i="14"/>
  <c r="M430" i="14"/>
  <c r="L430" i="14"/>
  <c r="K430" i="14"/>
  <c r="J430" i="14"/>
  <c r="I430" i="14"/>
  <c r="H430" i="14"/>
  <c r="AF430" i="14" s="1"/>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AH428" i="14" s="1"/>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AG427" i="14" s="1"/>
  <c r="D427" i="14"/>
  <c r="C427" i="14"/>
  <c r="AH427" i="14" s="1"/>
  <c r="B427" i="14"/>
  <c r="A427" i="14"/>
  <c r="Z426" i="14"/>
  <c r="Y426" i="14"/>
  <c r="X426" i="14"/>
  <c r="W426" i="14"/>
  <c r="V426" i="14"/>
  <c r="U426" i="14"/>
  <c r="T426" i="14"/>
  <c r="S426" i="14"/>
  <c r="R426" i="14"/>
  <c r="Q426" i="14"/>
  <c r="P426" i="14"/>
  <c r="O426" i="14"/>
  <c r="N426" i="14"/>
  <c r="M426" i="14"/>
  <c r="L426" i="14"/>
  <c r="K426" i="14"/>
  <c r="J426" i="14"/>
  <c r="I426" i="14"/>
  <c r="H426" i="14"/>
  <c r="AF426" i="14" s="1"/>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AH424" i="14" s="1"/>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AG423" i="14" s="1"/>
  <c r="D423" i="14"/>
  <c r="C423" i="14"/>
  <c r="AH423" i="14" s="1"/>
  <c r="B423" i="14"/>
  <c r="A423" i="14"/>
  <c r="Z422" i="14"/>
  <c r="Y422" i="14"/>
  <c r="X422" i="14"/>
  <c r="W422" i="14"/>
  <c r="V422" i="14"/>
  <c r="U422" i="14"/>
  <c r="T422" i="14"/>
  <c r="S422" i="14"/>
  <c r="R422" i="14"/>
  <c r="Q422" i="14"/>
  <c r="P422" i="14"/>
  <c r="O422" i="14"/>
  <c r="N422" i="14"/>
  <c r="M422" i="14"/>
  <c r="L422" i="14"/>
  <c r="K422" i="14"/>
  <c r="J422" i="14"/>
  <c r="I422" i="14"/>
  <c r="H422" i="14"/>
  <c r="AF422" i="14" s="1"/>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AH420" i="14" s="1"/>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AG419" i="14" s="1"/>
  <c r="D419" i="14"/>
  <c r="C419" i="14"/>
  <c r="AH419" i="14" s="1"/>
  <c r="B419" i="14"/>
  <c r="A419" i="14"/>
  <c r="Z418" i="14"/>
  <c r="Y418" i="14"/>
  <c r="X418" i="14"/>
  <c r="W418" i="14"/>
  <c r="V418" i="14"/>
  <c r="U418" i="14"/>
  <c r="T418" i="14"/>
  <c r="S418" i="14"/>
  <c r="R418" i="14"/>
  <c r="Q418" i="14"/>
  <c r="P418" i="14"/>
  <c r="O418" i="14"/>
  <c r="N418" i="14"/>
  <c r="M418" i="14"/>
  <c r="L418" i="14"/>
  <c r="K418" i="14"/>
  <c r="J418" i="14"/>
  <c r="I418" i="14"/>
  <c r="H418" i="14"/>
  <c r="AF418" i="14" s="1"/>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AH416" i="14" s="1"/>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AG415" i="14" s="1"/>
  <c r="D415" i="14"/>
  <c r="C415" i="14"/>
  <c r="AH415" i="14" s="1"/>
  <c r="B415" i="14"/>
  <c r="A415" i="14"/>
  <c r="Z414" i="14"/>
  <c r="Y414" i="14"/>
  <c r="X414" i="14"/>
  <c r="W414" i="14"/>
  <c r="V414" i="14"/>
  <c r="U414" i="14"/>
  <c r="T414" i="14"/>
  <c r="S414" i="14"/>
  <c r="R414" i="14"/>
  <c r="Q414" i="14"/>
  <c r="P414" i="14"/>
  <c r="O414" i="14"/>
  <c r="N414" i="14"/>
  <c r="M414" i="14"/>
  <c r="L414" i="14"/>
  <c r="K414" i="14"/>
  <c r="J414" i="14"/>
  <c r="I414" i="14"/>
  <c r="H414" i="14"/>
  <c r="AF414" i="14" s="1"/>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AH412" i="14" s="1"/>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AG411" i="14" s="1"/>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AF410" i="14" s="1"/>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AH408" i="14" s="1"/>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AG407" i="14" s="1"/>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AF406" i="14" s="1"/>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AH404" i="14" s="1"/>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AG403" i="14" s="1"/>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AH400" i="14" s="1"/>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AG399" i="14" s="1"/>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AH396" i="14" s="1"/>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AG395" i="14" s="1"/>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AH392" i="14" s="1"/>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AG391" i="14" s="1"/>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AH388" i="14" s="1"/>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AG387" i="14" s="1"/>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AH384" i="14" s="1"/>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AG383" i="14" s="1"/>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AH380" i="14" s="1"/>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AG379" i="14" s="1"/>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AH376" i="14" s="1"/>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AG375" i="14" s="1"/>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AH372" i="14" s="1"/>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AG371" i="14" s="1"/>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AH368" i="14" s="1"/>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AG367" i="14" s="1"/>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AH364" i="14" s="1"/>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AG363" i="14" s="1"/>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AF362" i="14" s="1"/>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AH360" i="14" s="1"/>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AG359" i="14" s="1"/>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AH356" i="14" s="1"/>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AG355" i="14" s="1"/>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AH352" i="14" s="1"/>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AG351" i="14" s="1"/>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AH348" i="14" s="1"/>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AG347" i="14" s="1"/>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AF346" i="14" s="1"/>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AH344" i="14" s="1"/>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AG343" i="14" s="1"/>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AF342" i="14" s="1"/>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AH340" i="14" s="1"/>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AG339" i="14" s="1"/>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AF338" i="14" s="1"/>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AH336" i="14" s="1"/>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AG335" i="14" s="1"/>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AF334" i="14" s="1"/>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AH332" i="14" s="1"/>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AG331" i="14" s="1"/>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AF330" i="14" s="1"/>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AH328" i="14" s="1"/>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AG327" i="14" s="1"/>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AF326" i="14" s="1"/>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AH324" i="14" s="1"/>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AG323" i="14" s="1"/>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AF322" i="14" s="1"/>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AH320" i="14" s="1"/>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AG319" i="14" s="1"/>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AG315" i="14" s="1"/>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AF314" i="14" s="1"/>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AG311" i="14" s="1"/>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AG307" i="14" s="1"/>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AG303" i="14" s="1"/>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AH300" i="14" s="1"/>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AG299" i="14" s="1"/>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AH296" i="14" s="1"/>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AG295" i="14" s="1"/>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AH292" i="14" s="1"/>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AG291" i="14" s="1"/>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AH288" i="14" s="1"/>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AG287" i="14" s="1"/>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AH284" i="14" s="1"/>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AG283" i="14" s="1"/>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AH280" i="14" s="1"/>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AG279" i="14" s="1"/>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AH276" i="14" s="1"/>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AG275" i="14" s="1"/>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AH272" i="14" s="1"/>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AG271" i="14" s="1"/>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AH268" i="14" s="1"/>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AG267" i="14" s="1"/>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AH264" i="14" s="1"/>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AG263" i="14" s="1"/>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AG212" i="14" s="1"/>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AG208" i="14" s="1"/>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AG204" i="14" s="1"/>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AG24" i="14" s="1"/>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AG20" i="14" s="1"/>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AG16" i="14" s="1"/>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AG12" i="14" s="1"/>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G8" i="14" l="1"/>
  <c r="AH13" i="14"/>
  <c r="AH21" i="14"/>
  <c r="AH29" i="14"/>
  <c r="AH45" i="14"/>
  <c r="AH61" i="14"/>
  <c r="AH73" i="14"/>
  <c r="AH77" i="14"/>
  <c r="AH81" i="14"/>
  <c r="AH5" i="14"/>
  <c r="AH25" i="14"/>
  <c r="AH33" i="14"/>
  <c r="AH37" i="14"/>
  <c r="AH41" i="14"/>
  <c r="AH53" i="14"/>
  <c r="AH65" i="14"/>
  <c r="AH85" i="14"/>
  <c r="AH89" i="14"/>
  <c r="AH17" i="14"/>
  <c r="AH49" i="14"/>
  <c r="AH57" i="14"/>
  <c r="AH69" i="14"/>
  <c r="AH9" i="14"/>
  <c r="AH285" i="14"/>
  <c r="AH289" i="14"/>
  <c r="AH293" i="14"/>
  <c r="AH297" i="14"/>
  <c r="AH301" i="14"/>
  <c r="AH305" i="14"/>
  <c r="AH309" i="14"/>
  <c r="AH317"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F303" i="14"/>
  <c r="AD306" i="14"/>
  <c r="AF307" i="14"/>
  <c r="AD310" i="14"/>
  <c r="AF311" i="14"/>
  <c r="AG265" i="14"/>
  <c r="AG269" i="14"/>
  <c r="AG273" i="14"/>
  <c r="AG277" i="14"/>
  <c r="AG281" i="14"/>
  <c r="AG285" i="14"/>
  <c r="AG289" i="14"/>
  <c r="AG293" i="14"/>
  <c r="AG297" i="14"/>
  <c r="AG301" i="14"/>
  <c r="AG305" i="14"/>
  <c r="AG309" i="14"/>
  <c r="AG313" i="14"/>
  <c r="AG317" i="14"/>
  <c r="AG321" i="14"/>
  <c r="AG325" i="14"/>
  <c r="AG329" i="14"/>
  <c r="AG98" i="14"/>
  <c r="AG102" i="14"/>
  <c r="AG106" i="14"/>
  <c r="AG110" i="14"/>
  <c r="AG118" i="14"/>
  <c r="AG134" i="14"/>
  <c r="AG138" i="14"/>
  <c r="AG142" i="14"/>
  <c r="AG146" i="14"/>
  <c r="AG150" i="14"/>
  <c r="AG154" i="14"/>
  <c r="AG158" i="14"/>
  <c r="AG162" i="14"/>
  <c r="AG166" i="14"/>
  <c r="AG170" i="14"/>
  <c r="AG174" i="14"/>
  <c r="AH175" i="14"/>
  <c r="AG178" i="14"/>
  <c r="AH179" i="14"/>
  <c r="AG182" i="14"/>
  <c r="AH183" i="14"/>
  <c r="AG186" i="14"/>
  <c r="AH187" i="14"/>
  <c r="AG190" i="14"/>
  <c r="AH191" i="14"/>
  <c r="AG194" i="14"/>
  <c r="AH195" i="14"/>
  <c r="AG198" i="14"/>
  <c r="AH199" i="14"/>
  <c r="AG202" i="14"/>
  <c r="AH203" i="14"/>
  <c r="AG206" i="14"/>
  <c r="AH207" i="14"/>
  <c r="AG210" i="14"/>
  <c r="AH211" i="14"/>
  <c r="AG214" i="14"/>
  <c r="AH215" i="14"/>
  <c r="AG218" i="14"/>
  <c r="AH219" i="14"/>
  <c r="AG222" i="14"/>
  <c r="AG226" i="14"/>
  <c r="AG230" i="14"/>
  <c r="AG234" i="14"/>
  <c r="AG238" i="14"/>
  <c r="AG242" i="14"/>
  <c r="AG246" i="14"/>
  <c r="AG250" i="14"/>
  <c r="AG254" i="14"/>
  <c r="AG258" i="14"/>
  <c r="AG262" i="14"/>
  <c r="AG266" i="14"/>
  <c r="AG270"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114" i="14"/>
  <c r="AG122" i="14"/>
  <c r="AG126" i="14"/>
  <c r="AG130" i="14"/>
  <c r="AD256" i="14"/>
  <c r="AD260" i="14"/>
  <c r="AD264" i="14"/>
  <c r="AD268" i="14"/>
  <c r="AD272" i="14"/>
  <c r="AD276" i="14"/>
  <c r="AD280" i="14"/>
  <c r="AD284" i="14"/>
  <c r="AD288" i="14"/>
  <c r="AD292" i="14"/>
  <c r="AD296" i="14"/>
  <c r="AD300" i="14"/>
  <c r="AD304" i="14"/>
  <c r="AD308" i="14"/>
  <c r="AD312" i="14"/>
  <c r="AD316" i="14"/>
  <c r="AD320" i="14"/>
  <c r="AD324" i="14"/>
  <c r="AG332" i="14"/>
  <c r="AH341" i="14"/>
  <c r="AH345" i="14"/>
  <c r="AH349" i="14"/>
  <c r="AH353" i="14"/>
  <c r="AH357" i="14"/>
  <c r="AH361" i="14"/>
  <c r="AG368" i="14"/>
  <c r="AG372" i="14"/>
  <c r="AG376" i="14"/>
  <c r="AG380" i="14"/>
  <c r="AG384" i="14"/>
  <c r="AG388" i="14"/>
  <c r="AG392" i="14"/>
  <c r="AG396" i="14"/>
  <c r="AG400" i="14"/>
  <c r="AG404" i="14"/>
  <c r="AG408" i="14"/>
  <c r="AG412" i="14"/>
  <c r="AG416" i="14"/>
  <c r="AG420" i="14"/>
  <c r="AG424" i="14"/>
  <c r="AG428" i="14"/>
  <c r="AG432" i="14"/>
  <c r="AH433" i="14"/>
  <c r="AG436" i="14"/>
  <c r="AH437" i="14"/>
  <c r="AG440" i="14"/>
  <c r="AG444" i="14"/>
  <c r="AG448" i="14"/>
  <c r="AG452" i="14"/>
  <c r="AG456" i="14"/>
  <c r="AG460" i="14"/>
  <c r="AG464" i="14"/>
  <c r="AH465"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41" i="14"/>
  <c r="AG645" i="14"/>
  <c r="AG649" i="14"/>
  <c r="AG653" i="14"/>
  <c r="AG657" i="14"/>
  <c r="AG661" i="14"/>
  <c r="AG665" i="14"/>
  <c r="AG669" i="14"/>
  <c r="AG406" i="14"/>
  <c r="AG410" i="14"/>
  <c r="AG414" i="14"/>
  <c r="AG418" i="14"/>
  <c r="AG422"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26" i="14"/>
  <c r="AG630" i="14"/>
  <c r="AG634" i="14"/>
  <c r="AG638" i="14"/>
  <c r="AG642" i="14"/>
  <c r="AG646" i="14"/>
  <c r="AG650" i="14"/>
  <c r="AG654" i="14"/>
  <c r="AG658" i="14"/>
  <c r="AG662" i="14"/>
  <c r="AG666" i="14"/>
  <c r="AG670" i="14"/>
  <c r="AG674" i="14"/>
  <c r="AG678" i="14"/>
  <c r="AG682" i="14"/>
  <c r="AG686" i="14"/>
  <c r="AG690" i="14"/>
  <c r="AG694" i="14"/>
  <c r="AG698" i="14"/>
  <c r="AG702" i="14"/>
  <c r="AG706"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F998" i="14"/>
  <c r="AD1001" i="14"/>
  <c r="AF1002" i="14"/>
  <c r="AG664" i="14"/>
  <c r="AG668" i="14"/>
  <c r="AG672" i="14"/>
  <c r="AG676" i="14"/>
  <c r="AG680" i="14"/>
  <c r="AG684" i="14"/>
  <c r="AG688" i="14"/>
  <c r="AG692" i="14"/>
  <c r="AG696" i="14"/>
  <c r="AG700" i="14"/>
  <c r="AG704" i="14"/>
  <c r="AG708" i="14"/>
  <c r="AG712" i="14"/>
  <c r="AG716" i="14"/>
  <c r="AG720" i="14"/>
  <c r="AG724" i="14"/>
  <c r="AG728" i="14"/>
  <c r="AG732" i="14"/>
  <c r="AG736" i="14"/>
  <c r="AG740" i="14"/>
  <c r="AG744" i="14"/>
  <c r="AG748" i="14"/>
  <c r="AG752" i="14"/>
  <c r="AG756" i="14"/>
  <c r="AG760" i="14"/>
  <c r="AG764" i="14"/>
  <c r="AG768" i="14"/>
  <c r="AG772" i="14"/>
  <c r="AG776" i="14"/>
  <c r="AG780" i="14"/>
  <c r="AG784" i="14"/>
  <c r="AG788" i="14"/>
  <c r="AG792" i="14"/>
  <c r="AG796" i="14"/>
  <c r="AG800" i="14"/>
  <c r="AG804" i="14"/>
  <c r="AG808" i="14"/>
  <c r="AG812" i="14"/>
  <c r="AG816"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40" i="14"/>
  <c r="AG944" i="14"/>
  <c r="AG948" i="14"/>
  <c r="AG952" i="14"/>
  <c r="AG956" i="14"/>
  <c r="AG960" i="14"/>
  <c r="AG964" i="14"/>
  <c r="AG968" i="14"/>
  <c r="AG972" i="14"/>
  <c r="AG976" i="14"/>
  <c r="AG980" i="14"/>
  <c r="AG984" i="14"/>
  <c r="AG988" i="14"/>
  <c r="AG992" i="14"/>
  <c r="AG996" i="14"/>
  <c r="AG1000" i="14"/>
  <c r="AD942" i="14"/>
  <c r="AD946" i="14"/>
  <c r="AF947" i="14"/>
  <c r="AD950" i="14"/>
  <c r="AD954" i="14"/>
  <c r="AD958" i="14"/>
  <c r="AD962"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1001"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G826" i="14"/>
  <c r="AG830" i="14"/>
  <c r="AG834" i="14"/>
  <c r="AG838" i="14"/>
  <c r="AG842" i="14"/>
  <c r="AG846" i="14"/>
  <c r="AG850" i="14"/>
  <c r="AG854" i="14"/>
  <c r="AG858" i="14"/>
  <c r="AG862" i="14"/>
  <c r="AG866" i="14"/>
  <c r="AG870" i="14"/>
  <c r="AG874" i="14"/>
  <c r="AG878" i="14"/>
  <c r="AG882" i="14"/>
  <c r="AG886" i="14"/>
  <c r="AG890" i="14"/>
  <c r="AG894" i="14"/>
  <c r="AG898" i="14"/>
  <c r="AG902" i="14"/>
  <c r="AG906" i="14"/>
  <c r="AG910" i="14"/>
  <c r="AG914" i="14"/>
  <c r="AG918" i="14"/>
  <c r="AG922" i="14"/>
  <c r="AG926" i="14"/>
  <c r="AG930" i="14"/>
  <c r="AG934" i="14"/>
  <c r="AG938" i="14"/>
  <c r="AG942" i="14"/>
  <c r="AG946" i="14"/>
  <c r="AG950" i="14"/>
  <c r="AG954" i="14"/>
  <c r="AG958" i="14"/>
  <c r="AG962" i="14"/>
  <c r="AG966" i="14"/>
  <c r="AG970" i="14"/>
  <c r="AG974" i="14"/>
  <c r="AG978" i="14"/>
  <c r="AG982" i="14"/>
  <c r="AG986" i="14"/>
  <c r="AG990" i="14"/>
  <c r="AG994" i="14"/>
  <c r="AG998" i="14"/>
  <c r="AG1002" i="14"/>
  <c r="AD992" i="14"/>
  <c r="AD996" i="14"/>
  <c r="AD1000" i="14"/>
  <c r="AH8" i="14"/>
  <c r="AG11" i="14"/>
  <c r="AH12" i="14"/>
  <c r="AG15" i="14"/>
  <c r="AH16" i="14"/>
  <c r="AG19" i="14"/>
  <c r="AH20" i="14"/>
  <c r="AG23" i="14"/>
  <c r="AH24" i="14"/>
  <c r="AG27" i="14"/>
  <c r="AG43" i="14"/>
  <c r="AG51" i="14"/>
  <c r="AG55" i="14"/>
  <c r="AG59" i="14"/>
  <c r="AG63" i="14"/>
  <c r="AG67" i="14"/>
  <c r="AG71" i="14"/>
  <c r="AG75" i="14"/>
  <c r="AG79" i="14"/>
  <c r="AG83" i="14"/>
  <c r="AG87" i="14"/>
  <c r="AG91" i="14"/>
  <c r="AG95" i="14"/>
  <c r="AG99" i="14"/>
  <c r="AG103" i="14"/>
  <c r="AG107" i="14"/>
  <c r="AG111" i="14"/>
  <c r="AG115" i="14"/>
  <c r="AG119" i="14"/>
  <c r="AH144" i="14"/>
  <c r="AH148" i="14"/>
  <c r="AH152" i="14"/>
  <c r="AH156" i="14"/>
  <c r="AH160" i="14"/>
  <c r="AH164" i="14"/>
  <c r="AH168" i="14"/>
  <c r="AH172" i="14"/>
  <c r="AH176" i="14"/>
  <c r="AH180" i="14"/>
  <c r="AH184" i="14"/>
  <c r="AH188" i="14"/>
  <c r="AH192" i="14"/>
  <c r="AH196" i="14"/>
  <c r="AH200" i="14"/>
  <c r="AH204" i="14"/>
  <c r="AH208" i="14"/>
  <c r="AH212" i="14"/>
  <c r="AH216" i="14"/>
  <c r="AH220" i="14"/>
  <c r="AH224" i="14"/>
  <c r="AH228" i="14"/>
  <c r="AH240" i="14"/>
  <c r="AH244" i="14"/>
  <c r="AH248" i="14"/>
  <c r="AH252" i="14"/>
  <c r="AH256" i="14"/>
  <c r="AG259" i="14"/>
  <c r="AH260" i="14"/>
  <c r="AG261" i="14"/>
  <c r="AF7" i="14"/>
  <c r="AD6" i="14"/>
  <c r="AD10" i="14"/>
  <c r="AF11" i="14"/>
  <c r="AD14" i="14"/>
  <c r="AF15" i="14"/>
  <c r="AD18" i="14"/>
  <c r="AF19" i="14"/>
  <c r="AD22" i="14"/>
  <c r="AF23" i="14"/>
  <c r="AD26" i="14"/>
  <c r="AF27" i="14"/>
  <c r="AD30" i="14"/>
  <c r="AF31" i="14"/>
  <c r="AC4" i="14"/>
  <c r="AG4"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I73" i="14" s="1"/>
  <c r="AE77" i="14"/>
  <c r="AC93" i="14"/>
  <c r="AI93" i="14" s="1"/>
  <c r="AC125" i="14"/>
  <c r="AI125" i="14" s="1"/>
  <c r="AC129" i="14"/>
  <c r="AC149" i="14"/>
  <c r="AE153" i="14"/>
  <c r="AC169" i="14"/>
  <c r="AC173" i="14"/>
  <c r="AI173" i="14" s="1"/>
  <c r="AE181" i="14"/>
  <c r="AE229" i="14"/>
  <c r="AE237" i="14"/>
  <c r="AC257" i="14"/>
  <c r="AI257" i="14" s="1"/>
  <c r="AE265" i="14"/>
  <c r="AE269" i="14"/>
  <c r="AI313" i="14"/>
  <c r="AC313" i="14"/>
  <c r="AE333" i="14"/>
  <c r="AD5" i="14"/>
  <c r="AF6" i="14"/>
  <c r="AD9" i="14"/>
  <c r="AF10" i="14"/>
  <c r="AD13" i="14"/>
  <c r="AF14" i="14"/>
  <c r="AD17" i="14"/>
  <c r="AF18" i="14"/>
  <c r="AD21" i="14"/>
  <c r="AF22" i="14"/>
  <c r="AD25" i="14"/>
  <c r="AI25" i="14" s="1"/>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I69" i="14" s="1"/>
  <c r="AF70" i="14"/>
  <c r="AD73" i="14"/>
  <c r="AF74" i="14"/>
  <c r="AD77" i="14"/>
  <c r="AF78" i="14"/>
  <c r="AD81" i="14"/>
  <c r="AF82" i="14"/>
  <c r="AD85" i="14"/>
  <c r="AF86" i="14"/>
  <c r="AF90" i="14"/>
  <c r="AF94" i="14"/>
  <c r="AF98" i="14"/>
  <c r="AF102" i="14"/>
  <c r="AF106" i="14"/>
  <c r="AF154" i="14"/>
  <c r="AD157" i="14"/>
  <c r="AF158" i="14"/>
  <c r="AD161" i="14"/>
  <c r="AF162" i="14"/>
  <c r="AD165" i="14"/>
  <c r="AF166" i="14"/>
  <c r="AD169" i="14"/>
  <c r="AI169" i="14" s="1"/>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I217" i="14" s="1"/>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I113" i="14" s="1"/>
  <c r="AC157" i="14"/>
  <c r="AI157" i="14" s="1"/>
  <c r="AC177" i="14"/>
  <c r="AC185" i="14"/>
  <c r="AC233" i="14"/>
  <c r="AI233" i="14" s="1"/>
  <c r="AE249" i="14"/>
  <c r="AE257" i="14"/>
  <c r="AE261" i="14"/>
  <c r="AE277" i="14"/>
  <c r="AE293" i="14"/>
  <c r="AI325" i="14"/>
  <c r="AC325" i="14"/>
  <c r="AC14" i="14"/>
  <c r="AE14" i="14"/>
  <c r="AC18" i="14"/>
  <c r="AE18" i="14"/>
  <c r="AC22" i="14"/>
  <c r="AI22" i="14" s="1"/>
  <c r="AE22" i="14"/>
  <c r="AC26" i="14"/>
  <c r="AE26" i="14"/>
  <c r="AC30" i="14"/>
  <c r="AE30" i="14"/>
  <c r="AC34" i="14"/>
  <c r="AE34" i="14"/>
  <c r="AC38" i="14"/>
  <c r="AE38" i="14"/>
  <c r="AC42" i="14"/>
  <c r="AE42" i="14"/>
  <c r="AC46" i="14"/>
  <c r="AE46" i="14"/>
  <c r="AC50" i="14"/>
  <c r="AE50" i="14"/>
  <c r="AC54" i="14"/>
  <c r="AE54" i="14"/>
  <c r="AC58" i="14"/>
  <c r="AE58" i="14"/>
  <c r="AI58" i="14" s="1"/>
  <c r="AC62" i="14"/>
  <c r="AE62" i="14"/>
  <c r="AI62" i="14" s="1"/>
  <c r="AC66" i="14"/>
  <c r="AI66" i="14" s="1"/>
  <c r="AE66" i="14"/>
  <c r="AC70" i="14"/>
  <c r="AI70" i="14" s="1"/>
  <c r="AE70" i="14"/>
  <c r="AC74" i="14"/>
  <c r="AI74" i="14" s="1"/>
  <c r="AE74" i="14"/>
  <c r="AC78" i="14"/>
  <c r="AI78" i="14" s="1"/>
  <c r="AE78" i="14"/>
  <c r="AC82" i="14"/>
  <c r="AE82" i="14"/>
  <c r="AC86" i="14"/>
  <c r="AE86" i="14"/>
  <c r="AC90" i="14"/>
  <c r="AE90" i="14"/>
  <c r="AI90" i="14" s="1"/>
  <c r="AC94" i="14"/>
  <c r="AE94" i="14"/>
  <c r="AI94" i="14" s="1"/>
  <c r="AC98" i="14"/>
  <c r="AI98" i="14" s="1"/>
  <c r="AE98" i="14"/>
  <c r="AC102" i="14"/>
  <c r="AI102" i="14" s="1"/>
  <c r="AE102" i="14"/>
  <c r="AC106" i="14"/>
  <c r="AI106" i="14" s="1"/>
  <c r="AE106" i="14"/>
  <c r="AH109" i="14"/>
  <c r="AC110" i="14"/>
  <c r="AE110" i="14"/>
  <c r="AI110" i="14" s="1"/>
  <c r="AH113" i="14"/>
  <c r="AC114" i="14"/>
  <c r="AI114" i="14" s="1"/>
  <c r="AE114" i="14"/>
  <c r="AH117" i="14"/>
  <c r="AC118" i="14"/>
  <c r="AE118" i="14"/>
  <c r="AI118" i="14" s="1"/>
  <c r="AH121" i="14"/>
  <c r="AC122" i="14"/>
  <c r="AI122" i="14" s="1"/>
  <c r="AE122" i="14"/>
  <c r="AH125" i="14"/>
  <c r="AC126" i="14"/>
  <c r="AE126" i="14"/>
  <c r="AI126" i="14" s="1"/>
  <c r="AH129" i="14"/>
  <c r="AC130" i="14"/>
  <c r="AI130" i="14" s="1"/>
  <c r="AE130" i="14"/>
  <c r="AH133" i="14"/>
  <c r="AC134" i="14"/>
  <c r="AE134" i="14"/>
  <c r="AI134" i="14" s="1"/>
  <c r="AH137" i="14"/>
  <c r="AC138" i="14"/>
  <c r="AI138" i="14" s="1"/>
  <c r="AE138" i="14"/>
  <c r="AH141" i="14"/>
  <c r="AC142" i="14"/>
  <c r="AE142" i="14"/>
  <c r="AI142" i="14" s="1"/>
  <c r="AH145" i="14"/>
  <c r="AC146" i="14"/>
  <c r="AI146" i="14" s="1"/>
  <c r="AE146" i="14"/>
  <c r="AH149" i="14"/>
  <c r="AC150" i="14"/>
  <c r="AE150" i="14"/>
  <c r="AI150" i="14" s="1"/>
  <c r="AH153" i="14"/>
  <c r="AC154" i="14"/>
  <c r="AI154" i="14" s="1"/>
  <c r="AE154" i="14"/>
  <c r="AH157" i="14"/>
  <c r="AC158" i="14"/>
  <c r="AE158" i="14"/>
  <c r="AI158" i="14" s="1"/>
  <c r="AH161" i="14"/>
  <c r="AC162" i="14"/>
  <c r="AI162" i="14" s="1"/>
  <c r="AE162" i="14"/>
  <c r="AH165" i="14"/>
  <c r="AC166" i="14"/>
  <c r="AE166" i="14"/>
  <c r="AI166" i="14" s="1"/>
  <c r="AH169" i="14"/>
  <c r="AC170" i="14"/>
  <c r="AI170" i="14" s="1"/>
  <c r="AE170" i="14"/>
  <c r="AH173" i="14"/>
  <c r="AC174" i="14"/>
  <c r="AI174" i="14" s="1"/>
  <c r="AE174" i="14"/>
  <c r="AH177" i="14"/>
  <c r="AC178" i="14"/>
  <c r="AI178" i="14" s="1"/>
  <c r="AE178" i="14"/>
  <c r="AH181" i="14"/>
  <c r="AC182" i="14"/>
  <c r="AI182" i="14" s="1"/>
  <c r="AE182" i="14"/>
  <c r="AH185" i="14"/>
  <c r="AC186" i="14"/>
  <c r="AI186" i="14" s="1"/>
  <c r="AE186" i="14"/>
  <c r="AH189" i="14"/>
  <c r="AC190" i="14"/>
  <c r="AI190" i="14" s="1"/>
  <c r="AE190" i="14"/>
  <c r="AH193" i="14"/>
  <c r="AC194" i="14"/>
  <c r="AI194" i="14" s="1"/>
  <c r="AE194" i="14"/>
  <c r="AH197" i="14"/>
  <c r="AC198" i="14"/>
  <c r="AI198" i="14" s="1"/>
  <c r="AE198" i="14"/>
  <c r="AH201" i="14"/>
  <c r="AC202" i="14"/>
  <c r="AI202" i="14" s="1"/>
  <c r="AE202" i="14"/>
  <c r="AH205" i="14"/>
  <c r="AC206" i="14"/>
  <c r="AI206" i="14" s="1"/>
  <c r="AE206" i="14"/>
  <c r="AH209" i="14"/>
  <c r="AC210" i="14"/>
  <c r="AI210" i="14" s="1"/>
  <c r="AE210" i="14"/>
  <c r="AH213" i="14"/>
  <c r="AC214" i="14"/>
  <c r="AI214" i="14" s="1"/>
  <c r="AE214" i="14"/>
  <c r="AH217" i="14"/>
  <c r="AC218" i="14"/>
  <c r="AI218" i="14" s="1"/>
  <c r="AE218" i="14"/>
  <c r="AH221" i="14"/>
  <c r="AC222" i="14"/>
  <c r="AI222" i="14" s="1"/>
  <c r="AE222" i="14"/>
  <c r="AH225" i="14"/>
  <c r="AC226" i="14"/>
  <c r="AI226" i="14" s="1"/>
  <c r="AE226" i="14"/>
  <c r="AH229" i="14"/>
  <c r="AC230" i="14"/>
  <c r="AI230" i="14" s="1"/>
  <c r="AE230" i="14"/>
  <c r="AH233" i="14"/>
  <c r="AC234" i="14"/>
  <c r="AI234" i="14" s="1"/>
  <c r="AE234" i="14"/>
  <c r="AH237" i="14"/>
  <c r="AC238" i="14"/>
  <c r="AI238" i="14" s="1"/>
  <c r="AE238" i="14"/>
  <c r="AH241" i="14"/>
  <c r="AC242" i="14"/>
  <c r="AI242" i="14" s="1"/>
  <c r="AE242" i="14"/>
  <c r="AH245" i="14"/>
  <c r="AC246" i="14"/>
  <c r="AI246" i="14" s="1"/>
  <c r="AE246" i="14"/>
  <c r="AH249" i="14"/>
  <c r="AC250" i="14"/>
  <c r="AI250" i="14" s="1"/>
  <c r="AE250" i="14"/>
  <c r="AH253" i="14"/>
  <c r="AC254" i="14"/>
  <c r="AI254" i="14" s="1"/>
  <c r="AE254" i="14"/>
  <c r="AH257" i="14"/>
  <c r="AC258" i="14"/>
  <c r="AI258" i="14" s="1"/>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I121" i="14" s="1"/>
  <c r="AE125" i="14"/>
  <c r="AC145" i="14"/>
  <c r="AI145" i="14" s="1"/>
  <c r="AE149" i="14"/>
  <c r="AI149" i="14" s="1"/>
  <c r="AE201" i="14"/>
  <c r="AC205" i="14"/>
  <c r="AI205" i="14" s="1"/>
  <c r="AC209" i="14"/>
  <c r="AC241" i="14"/>
  <c r="AI241" i="14" s="1"/>
  <c r="AC245" i="14"/>
  <c r="AI245" i="14" s="1"/>
  <c r="AI285" i="14"/>
  <c r="AC285" i="14"/>
  <c r="AE289" i="14"/>
  <c r="AE321" i="14"/>
  <c r="AE45" i="14"/>
  <c r="AE85" i="14"/>
  <c r="AC89" i="14"/>
  <c r="AI89" i="14" s="1"/>
  <c r="AC101" i="14"/>
  <c r="AI101" i="14" s="1"/>
  <c r="AE121" i="14"/>
  <c r="AC137" i="14"/>
  <c r="AC189" i="14"/>
  <c r="AE209" i="14"/>
  <c r="AC213" i="14"/>
  <c r="AI213" i="14" s="1"/>
  <c r="AC221" i="14"/>
  <c r="AC225" i="14"/>
  <c r="AI225" i="14" s="1"/>
  <c r="AC249" i="14"/>
  <c r="AI249" i="14" s="1"/>
  <c r="AC253" i="14"/>
  <c r="AI253" i="14" s="1"/>
  <c r="AI269" i="14"/>
  <c r="AC269" i="14"/>
  <c r="AE273" i="14"/>
  <c r="AC10" i="14"/>
  <c r="AH6" i="14"/>
  <c r="AC7" i="14"/>
  <c r="AE7" i="14"/>
  <c r="AH10" i="14"/>
  <c r="AC11" i="14"/>
  <c r="AE11" i="14"/>
  <c r="AH14" i="14"/>
  <c r="AC15" i="14"/>
  <c r="AE15" i="14"/>
  <c r="AH18" i="14"/>
  <c r="AI18" i="14" s="1"/>
  <c r="AC19" i="14"/>
  <c r="AE19" i="14"/>
  <c r="AH22" i="14"/>
  <c r="AC23" i="14"/>
  <c r="AE23" i="14"/>
  <c r="AH26" i="14"/>
  <c r="AC27" i="14"/>
  <c r="AE27" i="14"/>
  <c r="AH30" i="14"/>
  <c r="AC31" i="14"/>
  <c r="AE31" i="14"/>
  <c r="AH34" i="14"/>
  <c r="AC35" i="14"/>
  <c r="AE35" i="14"/>
  <c r="AH38" i="14"/>
  <c r="AI38" i="14" s="1"/>
  <c r="AC39" i="14"/>
  <c r="AE39" i="14"/>
  <c r="AH42" i="14"/>
  <c r="AI42" i="14" s="1"/>
  <c r="AC43" i="14"/>
  <c r="AE43" i="14"/>
  <c r="AH46" i="14"/>
  <c r="AI46" i="14" s="1"/>
  <c r="AC47" i="14"/>
  <c r="AE47" i="14"/>
  <c r="AH50" i="14"/>
  <c r="AI50" i="14" s="1"/>
  <c r="AC51" i="14"/>
  <c r="AI51" i="14" s="1"/>
  <c r="AE51" i="14"/>
  <c r="AH54" i="14"/>
  <c r="AI54" i="14" s="1"/>
  <c r="AC55" i="14"/>
  <c r="AI55" i="14" s="1"/>
  <c r="AE55" i="14"/>
  <c r="AH58" i="14"/>
  <c r="AC59" i="14"/>
  <c r="AI59" i="14" s="1"/>
  <c r="AE59" i="14"/>
  <c r="AH62" i="14"/>
  <c r="AC63" i="14"/>
  <c r="AI63" i="14" s="1"/>
  <c r="AE63" i="14"/>
  <c r="AH66" i="14"/>
  <c r="AC67" i="14"/>
  <c r="AI67" i="14" s="1"/>
  <c r="AE67" i="14"/>
  <c r="AH70" i="14"/>
  <c r="AC71" i="14"/>
  <c r="AI71" i="14" s="1"/>
  <c r="AE71" i="14"/>
  <c r="AH74" i="14"/>
  <c r="AC75" i="14"/>
  <c r="AI75" i="14" s="1"/>
  <c r="AE75" i="14"/>
  <c r="AH78" i="14"/>
  <c r="AC79" i="14"/>
  <c r="AI79" i="14" s="1"/>
  <c r="AE79" i="14"/>
  <c r="AH82" i="14"/>
  <c r="AI82" i="14" s="1"/>
  <c r="AC83" i="14"/>
  <c r="AI83" i="14" s="1"/>
  <c r="AE83" i="14"/>
  <c r="AH86" i="14"/>
  <c r="AI86" i="14" s="1"/>
  <c r="AC87" i="14"/>
  <c r="AI87" i="14" s="1"/>
  <c r="AE87" i="14"/>
  <c r="AH90" i="14"/>
  <c r="AC91" i="14"/>
  <c r="AI91" i="14" s="1"/>
  <c r="AE91" i="14"/>
  <c r="AH94" i="14"/>
  <c r="AC95" i="14"/>
  <c r="AI95" i="14" s="1"/>
  <c r="AE95" i="14"/>
  <c r="AH98" i="14"/>
  <c r="AC99" i="14"/>
  <c r="AI99" i="14" s="1"/>
  <c r="AE99" i="14"/>
  <c r="AH102" i="14"/>
  <c r="AC103" i="14"/>
  <c r="AI103" i="14" s="1"/>
  <c r="AE103" i="14"/>
  <c r="AH106" i="14"/>
  <c r="AC107" i="14"/>
  <c r="AI107" i="14" s="1"/>
  <c r="AE107" i="14"/>
  <c r="AH110" i="14"/>
  <c r="AC111" i="14"/>
  <c r="AI111" i="14" s="1"/>
  <c r="AE111" i="14"/>
  <c r="AH114" i="14"/>
  <c r="AC115" i="14"/>
  <c r="AI115" i="14" s="1"/>
  <c r="AE115" i="14"/>
  <c r="AH118" i="14"/>
  <c r="AC119" i="14"/>
  <c r="AI119" i="14" s="1"/>
  <c r="AE119" i="14"/>
  <c r="AH122" i="14"/>
  <c r="AC123" i="14"/>
  <c r="AI123" i="14" s="1"/>
  <c r="AE123" i="14"/>
  <c r="AH126" i="14"/>
  <c r="AC127" i="14"/>
  <c r="AI127" i="14" s="1"/>
  <c r="AE127" i="14"/>
  <c r="AH130" i="14"/>
  <c r="AC131" i="14"/>
  <c r="AI131" i="14" s="1"/>
  <c r="AE131" i="14"/>
  <c r="AH134" i="14"/>
  <c r="AC135" i="14"/>
  <c r="AI135" i="14" s="1"/>
  <c r="AE135" i="14"/>
  <c r="AH138" i="14"/>
  <c r="AC139" i="14"/>
  <c r="AI139" i="14" s="1"/>
  <c r="AE139" i="14"/>
  <c r="AH142" i="14"/>
  <c r="AC143" i="14"/>
  <c r="AI143" i="14" s="1"/>
  <c r="AE143" i="14"/>
  <c r="AH146" i="14"/>
  <c r="AC147" i="14"/>
  <c r="AI147" i="14" s="1"/>
  <c r="AE147" i="14"/>
  <c r="AH150" i="14"/>
  <c r="AC151" i="14"/>
  <c r="AI151" i="14" s="1"/>
  <c r="AE151" i="14"/>
  <c r="AH154" i="14"/>
  <c r="AC155" i="14"/>
  <c r="AI155" i="14" s="1"/>
  <c r="AE155" i="14"/>
  <c r="AH158" i="14"/>
  <c r="AC159" i="14"/>
  <c r="AI159" i="14" s="1"/>
  <c r="AE159" i="14"/>
  <c r="AH162" i="14"/>
  <c r="AC163" i="14"/>
  <c r="AI163" i="14" s="1"/>
  <c r="AE163" i="14"/>
  <c r="AH166" i="14"/>
  <c r="AC167" i="14"/>
  <c r="AI167" i="14" s="1"/>
  <c r="AE167" i="14"/>
  <c r="AH170" i="14"/>
  <c r="AC171" i="14"/>
  <c r="AI171" i="14" s="1"/>
  <c r="AE171" i="14"/>
  <c r="AH174" i="14"/>
  <c r="AC175" i="14"/>
  <c r="AI175" i="14" s="1"/>
  <c r="AE175" i="14"/>
  <c r="AH178" i="14"/>
  <c r="AC179" i="14"/>
  <c r="AI179" i="14" s="1"/>
  <c r="AE179" i="14"/>
  <c r="AH182" i="14"/>
  <c r="AC183" i="14"/>
  <c r="AI183" i="14" s="1"/>
  <c r="AE183" i="14"/>
  <c r="AH186" i="14"/>
  <c r="AC187" i="14"/>
  <c r="AI187" i="14" s="1"/>
  <c r="AE187" i="14"/>
  <c r="AH190" i="14"/>
  <c r="AC191" i="14"/>
  <c r="AI191" i="14" s="1"/>
  <c r="AE191" i="14"/>
  <c r="AH194" i="14"/>
  <c r="AC195" i="14"/>
  <c r="AI195" i="14" s="1"/>
  <c r="AE195" i="14"/>
  <c r="AH198" i="14"/>
  <c r="AC199" i="14"/>
  <c r="AI199" i="14" s="1"/>
  <c r="AE199" i="14"/>
  <c r="AH202" i="14"/>
  <c r="AC203" i="14"/>
  <c r="AI203" i="14" s="1"/>
  <c r="AE203" i="14"/>
  <c r="AH206" i="14"/>
  <c r="AC207" i="14"/>
  <c r="AI207" i="14" s="1"/>
  <c r="AE207" i="14"/>
  <c r="AH210" i="14"/>
  <c r="AC211" i="14"/>
  <c r="AI211" i="14" s="1"/>
  <c r="AE211" i="14"/>
  <c r="AH214" i="14"/>
  <c r="AC215" i="14"/>
  <c r="AI215" i="14" s="1"/>
  <c r="AE215" i="14"/>
  <c r="AH218" i="14"/>
  <c r="AC219" i="14"/>
  <c r="AI219" i="14" s="1"/>
  <c r="AE219" i="14"/>
  <c r="AH222" i="14"/>
  <c r="AC223" i="14"/>
  <c r="AI223" i="14" s="1"/>
  <c r="AE223" i="14"/>
  <c r="AH226" i="14"/>
  <c r="AC227" i="14"/>
  <c r="AI227" i="14" s="1"/>
  <c r="AE227" i="14"/>
  <c r="AH230" i="14"/>
  <c r="AC231" i="14"/>
  <c r="AI231" i="14" s="1"/>
  <c r="AE231" i="14"/>
  <c r="AH234" i="14"/>
  <c r="AC235" i="14"/>
  <c r="AI235" i="14" s="1"/>
  <c r="AE235" i="14"/>
  <c r="AH238" i="14"/>
  <c r="AC239" i="14"/>
  <c r="AI239" i="14" s="1"/>
  <c r="AE239" i="14"/>
  <c r="AH242" i="14"/>
  <c r="AC243" i="14"/>
  <c r="AI243" i="14" s="1"/>
  <c r="AE243" i="14"/>
  <c r="AH246" i="14"/>
  <c r="AC247" i="14"/>
  <c r="AI247" i="14" s="1"/>
  <c r="AE247" i="14"/>
  <c r="AH250" i="14"/>
  <c r="AC251" i="14"/>
  <c r="AI251" i="14" s="1"/>
  <c r="AE251" i="14"/>
  <c r="AH254" i="14"/>
  <c r="AC255" i="14"/>
  <c r="AI255" i="14" s="1"/>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I129" i="14" s="1"/>
  <c r="AC133" i="14"/>
  <c r="AE145" i="14"/>
  <c r="AE169" i="14"/>
  <c r="AC181" i="14"/>
  <c r="AE185" i="14"/>
  <c r="AI185" i="14" s="1"/>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I31" i="14" s="1"/>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I81" i="14" s="1"/>
  <c r="AE97" i="14"/>
  <c r="AI97" i="14" s="1"/>
  <c r="AC105" i="14"/>
  <c r="AI105" i="14" s="1"/>
  <c r="AC109" i="14"/>
  <c r="AI109" i="14" s="1"/>
  <c r="AE133" i="14"/>
  <c r="AI133" i="14" s="1"/>
  <c r="AE141" i="14"/>
  <c r="AI141" i="14" s="1"/>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I52" i="14" s="1"/>
  <c r="AE52" i="14"/>
  <c r="AH55" i="14"/>
  <c r="AC56" i="14"/>
  <c r="AI56" i="14" s="1"/>
  <c r="AE56" i="14"/>
  <c r="AH59" i="14"/>
  <c r="AC60" i="14"/>
  <c r="AI60" i="14" s="1"/>
  <c r="AE60" i="14"/>
  <c r="AH63" i="14"/>
  <c r="AC64" i="14"/>
  <c r="AI64" i="14" s="1"/>
  <c r="AE64" i="14"/>
  <c r="AH67" i="14"/>
  <c r="AC68" i="14"/>
  <c r="AI68" i="14" s="1"/>
  <c r="AE68" i="14"/>
  <c r="AH71" i="14"/>
  <c r="AC72" i="14"/>
  <c r="AI72" i="14" s="1"/>
  <c r="AE72" i="14"/>
  <c r="AH75" i="14"/>
  <c r="AC76" i="14"/>
  <c r="AI76" i="14" s="1"/>
  <c r="AE76" i="14"/>
  <c r="AH79" i="14"/>
  <c r="AC80" i="14"/>
  <c r="AI80" i="14" s="1"/>
  <c r="AE80" i="14"/>
  <c r="AH83" i="14"/>
  <c r="AC84" i="14"/>
  <c r="AI84" i="14" s="1"/>
  <c r="AE84" i="14"/>
  <c r="AH87" i="14"/>
  <c r="AC88" i="14"/>
  <c r="AI88" i="14" s="1"/>
  <c r="AE88" i="14"/>
  <c r="AH91" i="14"/>
  <c r="AC92" i="14"/>
  <c r="AI92" i="14" s="1"/>
  <c r="AE92" i="14"/>
  <c r="AH95" i="14"/>
  <c r="AC96" i="14"/>
  <c r="AI96" i="14" s="1"/>
  <c r="AE96" i="14"/>
  <c r="AH99" i="14"/>
  <c r="AC100" i="14"/>
  <c r="AI100" i="14" s="1"/>
  <c r="AE100" i="14"/>
  <c r="AH103" i="14"/>
  <c r="AC104" i="14"/>
  <c r="AI104" i="14" s="1"/>
  <c r="AE104" i="14"/>
  <c r="AH107" i="14"/>
  <c r="AC108" i="14"/>
  <c r="AI108" i="14" s="1"/>
  <c r="AE108" i="14"/>
  <c r="AH111" i="14"/>
  <c r="AC112" i="14"/>
  <c r="AI112" i="14" s="1"/>
  <c r="AE112" i="14"/>
  <c r="AH115" i="14"/>
  <c r="AC116" i="14"/>
  <c r="AI116" i="14" s="1"/>
  <c r="AE116" i="14"/>
  <c r="AH119" i="14"/>
  <c r="AC120" i="14"/>
  <c r="AI120" i="14" s="1"/>
  <c r="AE120" i="14"/>
  <c r="AH123" i="14"/>
  <c r="AC124" i="14"/>
  <c r="AI124" i="14" s="1"/>
  <c r="AE124" i="14"/>
  <c r="AH127" i="14"/>
  <c r="AC128" i="14"/>
  <c r="AI128" i="14" s="1"/>
  <c r="AE128" i="14"/>
  <c r="AH131" i="14"/>
  <c r="AC132" i="14"/>
  <c r="AI132" i="14" s="1"/>
  <c r="AE132" i="14"/>
  <c r="AH135" i="14"/>
  <c r="AC136" i="14"/>
  <c r="AI136" i="14" s="1"/>
  <c r="AE136" i="14"/>
  <c r="AH139" i="14"/>
  <c r="AC140" i="14"/>
  <c r="AI140" i="14" s="1"/>
  <c r="AE140" i="14"/>
  <c r="AH143" i="14"/>
  <c r="AC144" i="14"/>
  <c r="AI144" i="14" s="1"/>
  <c r="AE144" i="14"/>
  <c r="AH147" i="14"/>
  <c r="AC148" i="14"/>
  <c r="AI148" i="14" s="1"/>
  <c r="AE148" i="14"/>
  <c r="AH151" i="14"/>
  <c r="AC152" i="14"/>
  <c r="AI152" i="14" s="1"/>
  <c r="AE152" i="14"/>
  <c r="AH155" i="14"/>
  <c r="AC156" i="14"/>
  <c r="AI156" i="14" s="1"/>
  <c r="AE156" i="14"/>
  <c r="AH159" i="14"/>
  <c r="AC160" i="14"/>
  <c r="AI160" i="14" s="1"/>
  <c r="AE160" i="14"/>
  <c r="AH163" i="14"/>
  <c r="AC164" i="14"/>
  <c r="AI164" i="14" s="1"/>
  <c r="AE164" i="14"/>
  <c r="AH167" i="14"/>
  <c r="AC168" i="14"/>
  <c r="AI168" i="14" s="1"/>
  <c r="AE168" i="14"/>
  <c r="AH171" i="14"/>
  <c r="AC172" i="14"/>
  <c r="AI172" i="14" s="1"/>
  <c r="AE172" i="14"/>
  <c r="AC176" i="14"/>
  <c r="AE176" i="14"/>
  <c r="AI176" i="14" s="1"/>
  <c r="AI180" i="14"/>
  <c r="AC180" i="14"/>
  <c r="AE180" i="14"/>
  <c r="AI184" i="14"/>
  <c r="AC184" i="14"/>
  <c r="AE184" i="14"/>
  <c r="AC188" i="14"/>
  <c r="AI188" i="14" s="1"/>
  <c r="AE188" i="14"/>
  <c r="AC192" i="14"/>
  <c r="AE192" i="14"/>
  <c r="AI192" i="14" s="1"/>
  <c r="AC196" i="14"/>
  <c r="AI196" i="14" s="1"/>
  <c r="AE196" i="14"/>
  <c r="AI200" i="14"/>
  <c r="AC200" i="14"/>
  <c r="AE200" i="14"/>
  <c r="AC204" i="14"/>
  <c r="AI204" i="14" s="1"/>
  <c r="AE204" i="14"/>
  <c r="AC208" i="14"/>
  <c r="AE208" i="14"/>
  <c r="AI208" i="14" s="1"/>
  <c r="AI212" i="14"/>
  <c r="AC212" i="14"/>
  <c r="AE212" i="14"/>
  <c r="AI216" i="14"/>
  <c r="AC216" i="14"/>
  <c r="AE216" i="14"/>
  <c r="AC220" i="14"/>
  <c r="AI220" i="14" s="1"/>
  <c r="AE220" i="14"/>
  <c r="AC224" i="14"/>
  <c r="AE224" i="14"/>
  <c r="AI224" i="14" s="1"/>
  <c r="AC228" i="14"/>
  <c r="AI228" i="14" s="1"/>
  <c r="AE228" i="14"/>
  <c r="AI232" i="14"/>
  <c r="AC232" i="14"/>
  <c r="AE232" i="14"/>
  <c r="AC236" i="14"/>
  <c r="AI236" i="14" s="1"/>
  <c r="AE236" i="14"/>
  <c r="AC240" i="14"/>
  <c r="AE240" i="14"/>
  <c r="AI240" i="14" s="1"/>
  <c r="AI244" i="14"/>
  <c r="AC244" i="14"/>
  <c r="AE244" i="14"/>
  <c r="AI248" i="14"/>
  <c r="AC248" i="14"/>
  <c r="AE248" i="14"/>
  <c r="AC252" i="14"/>
  <c r="AI252" i="14" s="1"/>
  <c r="AE252" i="14"/>
  <c r="AC256" i="14"/>
  <c r="AE256" i="14"/>
  <c r="AI256" i="14" s="1"/>
  <c r="AI260" i="14"/>
  <c r="AC260" i="14"/>
  <c r="AE260" i="14"/>
  <c r="AI264" i="14"/>
  <c r="AC264" i="14"/>
  <c r="AE264" i="14"/>
  <c r="AI268" i="14"/>
  <c r="AC268" i="14"/>
  <c r="AE268" i="14"/>
  <c r="AI272" i="14"/>
  <c r="AC272" i="14"/>
  <c r="AE272" i="14"/>
  <c r="AI276" i="14"/>
  <c r="AC276" i="14"/>
  <c r="AE276" i="14"/>
  <c r="AE49" i="14"/>
  <c r="AI49" i="14" s="1"/>
  <c r="AE53" i="14"/>
  <c r="AI53" i="14" s="1"/>
  <c r="AC61" i="14"/>
  <c r="AE65" i="14"/>
  <c r="AI65" i="14" s="1"/>
  <c r="AE73" i="14"/>
  <c r="AC85" i="14"/>
  <c r="AC117" i="14"/>
  <c r="AE161" i="14"/>
  <c r="AI161" i="14" s="1"/>
  <c r="AE165" i="14"/>
  <c r="AI165" i="14" s="1"/>
  <c r="AE189" i="14"/>
  <c r="AI189" i="14" s="1"/>
  <c r="AC193" i="14"/>
  <c r="AC197" i="14"/>
  <c r="AI197" i="14" s="1"/>
  <c r="AC201" i="14"/>
  <c r="AI201" i="14" s="1"/>
  <c r="AC237" i="14"/>
  <c r="AI237" i="14" s="1"/>
  <c r="AE241" i="14"/>
  <c r="AI273" i="14"/>
  <c r="AC273" i="14"/>
  <c r="AI289" i="14"/>
  <c r="AC289" i="14"/>
  <c r="AI293" i="14"/>
  <c r="AC293" i="14"/>
  <c r="AI297" i="14"/>
  <c r="AC297" i="14"/>
  <c r="AE10" i="14"/>
  <c r="AD4" i="14"/>
  <c r="AF5" i="14"/>
  <c r="AD8" i="14"/>
  <c r="AF9" i="14"/>
  <c r="AD12" i="14"/>
  <c r="AF13" i="14"/>
  <c r="AD16" i="14"/>
  <c r="AI16" i="14" s="1"/>
  <c r="AF17" i="14"/>
  <c r="AD20" i="14"/>
  <c r="AI20" i="14" s="1"/>
  <c r="AF21" i="14"/>
  <c r="AD24" i="14"/>
  <c r="AF25" i="14"/>
  <c r="AD28" i="14"/>
  <c r="AI28" i="14" s="1"/>
  <c r="AF29" i="14"/>
  <c r="AD32" i="14"/>
  <c r="AF33" i="14"/>
  <c r="AI33" i="14" s="1"/>
  <c r="AD36" i="14"/>
  <c r="AF37" i="14"/>
  <c r="AD40" i="14"/>
  <c r="AF41" i="14"/>
  <c r="AD44" i="14"/>
  <c r="AF45" i="14"/>
  <c r="AD48" i="14"/>
  <c r="AF49" i="14"/>
  <c r="AD52" i="14"/>
  <c r="AF53" i="14"/>
  <c r="AD56" i="14"/>
  <c r="AF57" i="14"/>
  <c r="AD60" i="14"/>
  <c r="AF61" i="14"/>
  <c r="AI61" i="14" s="1"/>
  <c r="AD64" i="14"/>
  <c r="AF65" i="14"/>
  <c r="AD68" i="14"/>
  <c r="AF69" i="14"/>
  <c r="AD72" i="14"/>
  <c r="AF73" i="14"/>
  <c r="AD76" i="14"/>
  <c r="AF77" i="14"/>
  <c r="AI77" i="14" s="1"/>
  <c r="AD80" i="14"/>
  <c r="AF81" i="14"/>
  <c r="AD84" i="14"/>
  <c r="AF85" i="14"/>
  <c r="AI85" i="14" s="1"/>
  <c r="AD88" i="14"/>
  <c r="AF89" i="14"/>
  <c r="AD92" i="14"/>
  <c r="AF93" i="14"/>
  <c r="AD96" i="14"/>
  <c r="AF97" i="14"/>
  <c r="AD100" i="14"/>
  <c r="AF101" i="14"/>
  <c r="AD104" i="14"/>
  <c r="AF105" i="14"/>
  <c r="AD108" i="14"/>
  <c r="AF109" i="14"/>
  <c r="AD112" i="14"/>
  <c r="AF113" i="14"/>
  <c r="AD116" i="14"/>
  <c r="AF117" i="14"/>
  <c r="AI117" i="14" s="1"/>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I181" i="14" s="1"/>
  <c r="AF185" i="14"/>
  <c r="AF189" i="14"/>
  <c r="AF193" i="14"/>
  <c r="AI193" i="14" s="1"/>
  <c r="AF197" i="14"/>
  <c r="AF201" i="14"/>
  <c r="AF205" i="14"/>
  <c r="AF209" i="14"/>
  <c r="AI209" i="14" s="1"/>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 i="14" l="1"/>
  <c r="AI6"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AF1004" i="7" s="1"/>
  <c r="G1004" i="7"/>
  <c r="F1004" i="7"/>
  <c r="E1004" i="7"/>
  <c r="AG1004" i="7" s="1"/>
  <c r="D1004" i="7"/>
  <c r="C1004" i="7"/>
  <c r="B1004" i="7"/>
  <c r="AD1004" i="7" s="1"/>
  <c r="A1004" i="7"/>
  <c r="AC1004" i="7" s="1"/>
  <c r="Z1003" i="7"/>
  <c r="Y1003" i="7"/>
  <c r="X1003" i="7"/>
  <c r="W1003" i="7"/>
  <c r="V1003" i="7"/>
  <c r="U1003" i="7"/>
  <c r="T1003" i="7"/>
  <c r="S1003" i="7"/>
  <c r="R1003" i="7"/>
  <c r="Q1003" i="7"/>
  <c r="P1003" i="7"/>
  <c r="O1003" i="7"/>
  <c r="N1003" i="7"/>
  <c r="M1003" i="7"/>
  <c r="L1003" i="7"/>
  <c r="K1003" i="7"/>
  <c r="J1003" i="7"/>
  <c r="I1003" i="7"/>
  <c r="H1003" i="7"/>
  <c r="G1003" i="7"/>
  <c r="F1003" i="7"/>
  <c r="E1003" i="7"/>
  <c r="AG1003" i="7" s="1"/>
  <c r="D1003" i="7"/>
  <c r="C1003" i="7"/>
  <c r="AH1003" i="7" s="1"/>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AF1001" i="7" s="1"/>
  <c r="G1001" i="7"/>
  <c r="F1001" i="7"/>
  <c r="E1001" i="7"/>
  <c r="D1001" i="7"/>
  <c r="C1001" i="7"/>
  <c r="B1001" i="7"/>
  <c r="AD1001" i="7" s="1"/>
  <c r="A1001" i="7"/>
  <c r="AC1001" i="7" l="1"/>
  <c r="AE1001" i="7"/>
  <c r="AH1004" i="7"/>
  <c r="AF1002" i="7"/>
  <c r="AH1001" i="7"/>
  <c r="AC1002" i="7"/>
  <c r="AE1002" i="7"/>
  <c r="AD1002" i="7"/>
  <c r="AF1003" i="7"/>
  <c r="AG1001" i="7"/>
  <c r="AC1003" i="7"/>
  <c r="AE1003" i="7"/>
  <c r="AD1003" i="7"/>
  <c r="AG1002"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AH15" i="7" s="1"/>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s="1"/>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7" i="7" l="1"/>
  <c r="AH511" i="7"/>
  <c r="AH515" i="7"/>
  <c r="AH519" i="7"/>
  <c r="AH523" i="7"/>
  <c r="AH527" i="7"/>
  <c r="AH531" i="7"/>
  <c r="AH535" i="7"/>
  <c r="AH539" i="7"/>
  <c r="AH543" i="7"/>
  <c r="AH743" i="7"/>
  <c r="AH747" i="7"/>
  <c r="AH751" i="7"/>
  <c r="AH755" i="7"/>
  <c r="AH759" i="7"/>
  <c r="AH791" i="7"/>
  <c r="AH795" i="7"/>
  <c r="AH799" i="7"/>
  <c r="I27" i="18"/>
  <c r="E27" i="18"/>
  <c r="H27" i="18"/>
  <c r="D27" i="18"/>
  <c r="G27" i="18"/>
  <c r="C27" i="18"/>
  <c r="F27" i="18"/>
  <c r="AE113" i="7"/>
  <c r="AG115" i="7"/>
  <c r="AG119" i="7"/>
  <c r="AE121" i="7"/>
  <c r="AG123" i="7"/>
  <c r="AE125" i="7"/>
  <c r="AG127" i="7"/>
  <c r="AE129" i="7"/>
  <c r="AG131" i="7"/>
  <c r="AE133" i="7"/>
  <c r="AG135" i="7"/>
  <c r="AE137" i="7"/>
  <c r="AG139" i="7"/>
  <c r="AE141" i="7"/>
  <c r="AG143" i="7"/>
  <c r="AE145" i="7"/>
  <c r="AG147" i="7"/>
  <c r="G12" i="18"/>
  <c r="C12" i="18"/>
  <c r="F12" i="18"/>
  <c r="H12" i="18"/>
  <c r="I12" i="18"/>
  <c r="E12" i="18"/>
  <c r="D12" i="18"/>
  <c r="I20" i="18"/>
  <c r="E20" i="18"/>
  <c r="H20" i="18"/>
  <c r="D20" i="18"/>
  <c r="F20" i="18"/>
  <c r="G20" i="18"/>
  <c r="C20" i="18"/>
  <c r="F11" i="18"/>
  <c r="C11" i="18"/>
  <c r="I11" i="18"/>
  <c r="E11" i="18"/>
  <c r="G11" i="18"/>
  <c r="H11" i="18"/>
  <c r="D11" i="18"/>
  <c r="H5" i="18"/>
  <c r="D5" i="18"/>
  <c r="G5" i="18"/>
  <c r="C5" i="18"/>
  <c r="E5" i="18"/>
  <c r="F5" i="18"/>
  <c r="I5" i="18"/>
  <c r="H13" i="18"/>
  <c r="D13" i="18"/>
  <c r="G13" i="18"/>
  <c r="C13" i="18"/>
  <c r="I13" i="18"/>
  <c r="F13" i="18"/>
  <c r="E13" i="18"/>
  <c r="F21" i="18"/>
  <c r="I21" i="18"/>
  <c r="E21" i="18"/>
  <c r="H21" i="18"/>
  <c r="D21" i="18"/>
  <c r="G21" i="18"/>
  <c r="C21" i="18"/>
  <c r="AH155" i="7"/>
  <c r="I6" i="18"/>
  <c r="E6" i="18"/>
  <c r="H6" i="18"/>
  <c r="D6" i="18"/>
  <c r="F6" i="18"/>
  <c r="G6" i="18"/>
  <c r="C6" i="18"/>
  <c r="G22" i="18"/>
  <c r="C22" i="18"/>
  <c r="F22" i="18"/>
  <c r="D22" i="18"/>
  <c r="I22" i="18"/>
  <c r="E22" i="18"/>
  <c r="H22" i="18"/>
  <c r="H26" i="18"/>
  <c r="D26" i="18"/>
  <c r="G26" i="18"/>
  <c r="C26" i="18"/>
  <c r="E26" i="18"/>
  <c r="F26" i="18"/>
  <c r="I26" i="18"/>
  <c r="AE149" i="7"/>
  <c r="AG151" i="7"/>
  <c r="AE153" i="7"/>
  <c r="AG155" i="7"/>
  <c r="AE157" i="7"/>
  <c r="AG159" i="7"/>
  <c r="AE161" i="7"/>
  <c r="AG163" i="7"/>
  <c r="AE165" i="7"/>
  <c r="AG167" i="7"/>
  <c r="AE169" i="7"/>
  <c r="AG171" i="7"/>
  <c r="AE173" i="7"/>
  <c r="AG175" i="7"/>
  <c r="AE177" i="7"/>
  <c r="AG179" i="7"/>
  <c r="AE181" i="7"/>
  <c r="AG183" i="7"/>
  <c r="AE185" i="7"/>
  <c r="AG187" i="7"/>
  <c r="AE189" i="7"/>
  <c r="AG191" i="7"/>
  <c r="AE193" i="7"/>
  <c r="AG195" i="7"/>
  <c r="AE197" i="7"/>
  <c r="AG199" i="7"/>
  <c r="AE201" i="7"/>
  <c r="AG203" i="7"/>
  <c r="AE205" i="7"/>
  <c r="AG207" i="7"/>
  <c r="AE209" i="7"/>
  <c r="AG211" i="7"/>
  <c r="AE213" i="7"/>
  <c r="AG215" i="7"/>
  <c r="AE217" i="7"/>
  <c r="AG219" i="7"/>
  <c r="AE221" i="7"/>
  <c r="AG223" i="7"/>
  <c r="AE225" i="7"/>
  <c r="AG227" i="7"/>
  <c r="AE229" i="7"/>
  <c r="AG231" i="7"/>
  <c r="AE233" i="7"/>
  <c r="AG235" i="7"/>
  <c r="AE237" i="7"/>
  <c r="AG239" i="7"/>
  <c r="AE241" i="7"/>
  <c r="AG243" i="7"/>
  <c r="AE245" i="7"/>
  <c r="AG247" i="7"/>
  <c r="AE249" i="7"/>
  <c r="AG251" i="7"/>
  <c r="AE253" i="7"/>
  <c r="AG255" i="7"/>
  <c r="AE257" i="7"/>
  <c r="AG259" i="7"/>
  <c r="AE261" i="7"/>
  <c r="H28" i="18"/>
  <c r="G28" i="18"/>
  <c r="C28" i="18"/>
  <c r="F28" i="18"/>
  <c r="I28" i="18"/>
  <c r="E28" i="18"/>
  <c r="D28" i="18"/>
  <c r="F25" i="18"/>
  <c r="E25" i="18"/>
  <c r="I25" i="18"/>
  <c r="H25" i="18"/>
  <c r="D25" i="18"/>
  <c r="G25" i="18"/>
  <c r="C25" i="18"/>
  <c r="I24" i="18"/>
  <c r="E24" i="18"/>
  <c r="H24" i="18"/>
  <c r="D24" i="18"/>
  <c r="G24" i="18"/>
  <c r="C24" i="18"/>
  <c r="F24" i="18"/>
  <c r="H23" i="18"/>
  <c r="D23" i="18"/>
  <c r="G23" i="18"/>
  <c r="C23" i="18"/>
  <c r="F23" i="18"/>
  <c r="I23" i="18"/>
  <c r="E23" i="18"/>
  <c r="B19" i="2"/>
  <c r="H19" i="18"/>
  <c r="D19" i="18"/>
  <c r="G19" i="18"/>
  <c r="C19" i="18"/>
  <c r="F19" i="18"/>
  <c r="I19" i="18"/>
  <c r="E19" i="18"/>
  <c r="G18" i="18"/>
  <c r="C18" i="18"/>
  <c r="F18" i="18"/>
  <c r="H18" i="18"/>
  <c r="D18" i="18"/>
  <c r="I18" i="18"/>
  <c r="E18" i="18"/>
  <c r="Q37" i="4"/>
  <c r="F17" i="18"/>
  <c r="G17" i="18"/>
  <c r="C17" i="18"/>
  <c r="I17" i="18"/>
  <c r="E17" i="18"/>
  <c r="H17" i="18"/>
  <c r="D17" i="18"/>
  <c r="I16" i="18"/>
  <c r="E16" i="18"/>
  <c r="H16" i="18"/>
  <c r="D16" i="18"/>
  <c r="F16" i="18"/>
  <c r="G16" i="18"/>
  <c r="C16" i="18"/>
  <c r="H15" i="18"/>
  <c r="D15" i="18"/>
  <c r="G15" i="18"/>
  <c r="C15" i="18"/>
  <c r="F15" i="18"/>
  <c r="I15" i="18"/>
  <c r="E15" i="18"/>
  <c r="G14" i="18"/>
  <c r="C14" i="18"/>
  <c r="F14" i="18"/>
  <c r="H14" i="18"/>
  <c r="D14" i="18"/>
  <c r="I14" i="18"/>
  <c r="E14" i="18"/>
  <c r="G10" i="18"/>
  <c r="C10" i="18"/>
  <c r="F10" i="18"/>
  <c r="H10" i="18"/>
  <c r="D10" i="18"/>
  <c r="I10" i="18"/>
  <c r="E10" i="18"/>
  <c r="F9" i="18"/>
  <c r="G9" i="18"/>
  <c r="C9" i="18"/>
  <c r="I9" i="18"/>
  <c r="E9" i="18"/>
  <c r="H9" i="18"/>
  <c r="D9" i="18"/>
  <c r="I8" i="18"/>
  <c r="E8" i="18"/>
  <c r="F8" i="18"/>
  <c r="H8" i="18"/>
  <c r="D8" i="18"/>
  <c r="G8" i="18"/>
  <c r="C8" i="18"/>
  <c r="H7" i="18"/>
  <c r="D7" i="18"/>
  <c r="G7" i="18"/>
  <c r="C7" i="18"/>
  <c r="F7" i="18"/>
  <c r="I7" i="18"/>
  <c r="E7" i="18"/>
  <c r="I4" i="18"/>
  <c r="E4" i="18"/>
  <c r="F4" i="18"/>
  <c r="H4" i="18"/>
  <c r="D4" i="18"/>
  <c r="G4" i="18"/>
  <c r="C4" i="18"/>
  <c r="H3" i="18"/>
  <c r="D3" i="18"/>
  <c r="G3" i="18"/>
  <c r="C3" i="18"/>
  <c r="F3" i="18"/>
  <c r="E3" i="18"/>
  <c r="I3"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D17" i="2" s="1"/>
  <c r="C19" i="3" s="1"/>
  <c r="E19" i="3" s="1"/>
  <c r="B17" i="2"/>
  <c r="B19" i="3" s="1"/>
  <c r="C25" i="2"/>
  <c r="D25" i="2" s="1"/>
  <c r="C27" i="3" s="1"/>
  <c r="E27" i="3" s="1"/>
  <c r="B25" i="2"/>
  <c r="B27" i="3" s="1"/>
  <c r="N9" i="4"/>
  <c r="C7" i="2"/>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B21"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AC10" i="7"/>
  <c r="AC12" i="7"/>
  <c r="AG4" i="7"/>
  <c r="AG6" i="7"/>
  <c r="AE6" i="7"/>
  <c r="AG8" i="7"/>
  <c r="AE8" i="7"/>
  <c r="AG10" i="7"/>
  <c r="AE10" i="7"/>
  <c r="AG12" i="7"/>
  <c r="AE12" i="7"/>
  <c r="AF4" i="7"/>
  <c r="AD5" i="7"/>
  <c r="AF6" i="7"/>
  <c r="AD7" i="7"/>
  <c r="AF8" i="7"/>
  <c r="AD9" i="7"/>
  <c r="AF10" i="7"/>
  <c r="AD11" i="7"/>
  <c r="AF12" i="7"/>
  <c r="AD13" i="7"/>
  <c r="D4" i="2"/>
  <c r="C6" i="3" s="1"/>
  <c r="E6" i="3" s="1"/>
  <c r="AC5" i="7"/>
  <c r="AC7" i="7"/>
  <c r="AC9" i="7"/>
  <c r="AC11" i="7"/>
  <c r="AC13" i="7"/>
  <c r="AH4" i="7"/>
  <c r="AG5" i="7"/>
  <c r="AE5" i="7"/>
  <c r="AH6" i="7"/>
  <c r="AG7" i="7"/>
  <c r="AE7" i="7"/>
  <c r="AH8" i="7"/>
  <c r="AG9" i="7"/>
  <c r="AE9" i="7"/>
  <c r="AH10" i="7"/>
  <c r="AG11" i="7"/>
  <c r="AE11" i="7"/>
  <c r="AH12" i="7"/>
  <c r="AG13" i="7"/>
  <c r="AE13" i="7"/>
  <c r="O80" i="16" l="1"/>
  <c r="O232" i="16"/>
  <c r="O200" i="16"/>
  <c r="O168" i="16"/>
  <c r="O136" i="16"/>
  <c r="O104" i="16"/>
  <c r="O110" i="16"/>
  <c r="O62" i="16"/>
  <c r="O12" i="16"/>
  <c r="M3" i="2"/>
  <c r="O56" i="16"/>
  <c r="O248" i="16"/>
  <c r="O216" i="16"/>
  <c r="O184" i="16"/>
  <c r="O152" i="16"/>
  <c r="O120" i="16"/>
  <c r="O64" i="16"/>
  <c r="O70" i="16"/>
  <c r="O54" i="16"/>
  <c r="O87" i="16"/>
  <c r="O103" i="16"/>
  <c r="O222" i="16"/>
  <c r="O198" i="16"/>
  <c r="O190" i="16"/>
  <c r="O166" i="16"/>
  <c r="O158" i="16"/>
  <c r="O150" i="16"/>
  <c r="O142" i="16"/>
  <c r="O134" i="16"/>
  <c r="O126" i="16"/>
  <c r="O118" i="16"/>
  <c r="O102" i="16"/>
  <c r="O94" i="16"/>
  <c r="O86" i="16"/>
  <c r="O78" i="16"/>
  <c r="O76" i="16"/>
  <c r="O52" i="16"/>
  <c r="O244" i="16"/>
  <c r="O228" i="16"/>
  <c r="O212" i="16"/>
  <c r="O196" i="16"/>
  <c r="O180" i="16"/>
  <c r="O164" i="16"/>
  <c r="O148" i="16"/>
  <c r="O132" i="16"/>
  <c r="O116" i="16"/>
  <c r="O100" i="16"/>
  <c r="O60" i="16"/>
  <c r="O111" i="16"/>
  <c r="O59" i="16"/>
  <c r="O55" i="16"/>
  <c r="O246" i="16"/>
  <c r="O238" i="16"/>
  <c r="O19" i="16"/>
  <c r="O15" i="16"/>
  <c r="O71" i="16"/>
  <c r="O31" i="16"/>
  <c r="O214" i="16"/>
  <c r="O174" i="16"/>
  <c r="O249" i="16"/>
  <c r="O241" i="16"/>
  <c r="O233" i="16"/>
  <c r="O225" i="16"/>
  <c r="O221" i="16"/>
  <c r="O217" i="16"/>
  <c r="O213" i="16"/>
  <c r="O209" i="16"/>
  <c r="O205" i="16"/>
  <c r="O201" i="16"/>
  <c r="O197" i="16"/>
  <c r="O193" i="16"/>
  <c r="O185" i="16"/>
  <c r="O181" i="16"/>
  <c r="O177" i="16"/>
  <c r="O173" i="16"/>
  <c r="O169" i="16"/>
  <c r="O165" i="16"/>
  <c r="O161" i="16"/>
  <c r="O157" i="16"/>
  <c r="O153" i="16"/>
  <c r="O149" i="16"/>
  <c r="O145" i="16"/>
  <c r="O141" i="16"/>
  <c r="O137" i="16"/>
  <c r="O133" i="16"/>
  <c r="O129" i="16"/>
  <c r="O125" i="16"/>
  <c r="O121" i="16"/>
  <c r="O117" i="16"/>
  <c r="O113" i="16"/>
  <c r="O109" i="16"/>
  <c r="O105" i="16"/>
  <c r="O101" i="16"/>
  <c r="O97" i="16"/>
  <c r="O93" i="16"/>
  <c r="O89" i="16"/>
  <c r="O85" i="16"/>
  <c r="O81" i="16"/>
  <c r="O77" i="16"/>
  <c r="O73" i="16"/>
  <c r="O69" i="16"/>
  <c r="O65" i="16"/>
  <c r="O61" i="16"/>
  <c r="O57" i="16"/>
  <c r="O53" i="16"/>
  <c r="O254" i="16"/>
  <c r="O79" i="16"/>
  <c r="O95" i="16"/>
  <c r="O51" i="16"/>
  <c r="O230" i="16"/>
  <c r="O206" i="16"/>
  <c r="O182" i="16"/>
  <c r="O9" i="16"/>
  <c r="O257" i="16"/>
  <c r="O253" i="16"/>
  <c r="O245" i="16"/>
  <c r="O237" i="16"/>
  <c r="O229" i="16"/>
  <c r="O189" i="16"/>
  <c r="O13" i="16"/>
  <c r="O258" i="16"/>
  <c r="O242" i="16"/>
  <c r="O72" i="16"/>
  <c r="O240" i="16"/>
  <c r="O208" i="16"/>
  <c r="O176" i="16"/>
  <c r="O144" i="16"/>
  <c r="O128" i="16"/>
  <c r="O96" i="16"/>
  <c r="O44" i="16"/>
  <c r="O99" i="16"/>
  <c r="O107" i="16"/>
  <c r="O91" i="16"/>
  <c r="O83" i="16"/>
  <c r="O75" i="16"/>
  <c r="O234" i="16"/>
  <c r="O218" i="16"/>
  <c r="O210" i="16"/>
  <c r="O202" i="16"/>
  <c r="O194" i="16"/>
  <c r="O186" i="16"/>
  <c r="O178" i="16"/>
  <c r="O170" i="16"/>
  <c r="O162" i="16"/>
  <c r="O154" i="16"/>
  <c r="O146" i="16"/>
  <c r="O138" i="16"/>
  <c r="O130" i="16"/>
  <c r="O122" i="16"/>
  <c r="O114" i="16"/>
  <c r="O106" i="16"/>
  <c r="O98" i="16"/>
  <c r="O90" i="16"/>
  <c r="O82" i="16"/>
  <c r="O74" i="16"/>
  <c r="O66" i="16"/>
  <c r="O58" i="16"/>
  <c r="O50" i="16"/>
  <c r="O7" i="16"/>
  <c r="O250" i="16"/>
  <c r="O92" i="16"/>
  <c r="O256" i="16"/>
  <c r="O224" i="16"/>
  <c r="O192" i="16"/>
  <c r="O160" i="16"/>
  <c r="O112" i="16"/>
  <c r="O226" i="16"/>
  <c r="O49" i="16"/>
  <c r="O45" i="16"/>
  <c r="O41" i="16"/>
  <c r="O37" i="16"/>
  <c r="O33" i="16"/>
  <c r="O29" i="16"/>
  <c r="O25" i="16"/>
  <c r="O21" i="16"/>
  <c r="O88" i="16"/>
  <c r="O68" i="16"/>
  <c r="O252" i="16"/>
  <c r="O236" i="16"/>
  <c r="O220" i="16"/>
  <c r="O204" i="16"/>
  <c r="O188" i="16"/>
  <c r="O172" i="16"/>
  <c r="O156" i="16"/>
  <c r="O140" i="16"/>
  <c r="O124" i="16"/>
  <c r="O108" i="16"/>
  <c r="O84" i="16"/>
  <c r="O40" i="16"/>
  <c r="O63" i="16"/>
  <c r="O255" i="16"/>
  <c r="O251" i="16"/>
  <c r="O247" i="16"/>
  <c r="O243" i="16"/>
  <c r="O239" i="16"/>
  <c r="O235" i="16"/>
  <c r="O231" i="16"/>
  <c r="O227" i="16"/>
  <c r="O223" i="16"/>
  <c r="O219" i="16"/>
  <c r="O215" i="16"/>
  <c r="O211" i="16"/>
  <c r="O207" i="16"/>
  <c r="O203" i="16"/>
  <c r="O199" i="16"/>
  <c r="O195" i="16"/>
  <c r="O191" i="16"/>
  <c r="O187" i="16"/>
  <c r="O183" i="16"/>
  <c r="O179" i="16"/>
  <c r="O175" i="16"/>
  <c r="O171" i="16"/>
  <c r="O167" i="16"/>
  <c r="O163" i="16"/>
  <c r="O159" i="16"/>
  <c r="O155" i="16"/>
  <c r="O151" i="16"/>
  <c r="O147" i="16"/>
  <c r="O143" i="16"/>
  <c r="O139" i="16"/>
  <c r="O135" i="16"/>
  <c r="O131" i="16"/>
  <c r="O127" i="16"/>
  <c r="O123" i="16"/>
  <c r="O119" i="16"/>
  <c r="O115" i="16"/>
  <c r="O67" i="16"/>
  <c r="B47" i="4"/>
  <c r="O18" i="16"/>
  <c r="O5" i="16"/>
  <c r="O28" i="16"/>
  <c r="O32" i="16"/>
  <c r="O47" i="16"/>
  <c r="O39" i="16"/>
  <c r="O42" i="16"/>
  <c r="D3" i="2"/>
  <c r="C5" i="3" s="1"/>
  <c r="E5" i="3" s="1"/>
  <c r="O17" i="16"/>
  <c r="H38" i="4"/>
  <c r="M8" i="2"/>
  <c r="O24" i="16"/>
  <c r="O16" i="16"/>
  <c r="O11" i="16"/>
  <c r="O20" i="16"/>
  <c r="O46" i="16"/>
  <c r="O38" i="16"/>
  <c r="O14" i="16"/>
  <c r="E29" i="4"/>
  <c r="O48" i="16"/>
  <c r="O43" i="16"/>
  <c r="O30" i="16"/>
  <c r="O8" i="16"/>
  <c r="O6" i="16"/>
  <c r="M6" i="2"/>
  <c r="M7" i="2"/>
  <c r="O27" i="16"/>
  <c r="L3" i="2"/>
  <c r="B3" i="11" s="1"/>
  <c r="O4" i="16"/>
  <c r="K38" i="4"/>
  <c r="O10" i="16"/>
  <c r="M5" i="2"/>
  <c r="O35" i="16"/>
  <c r="O22" i="16"/>
  <c r="N38" i="4"/>
  <c r="O34" i="16"/>
  <c r="O23" i="16"/>
  <c r="E38" i="4"/>
  <c r="Q38"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D4" i="11"/>
  <c r="C4" i="11"/>
  <c r="L41" i="2"/>
  <c r="B17" i="15"/>
  <c r="B18" i="15"/>
  <c r="B15" i="15"/>
  <c r="B19" i="15"/>
  <c r="B12" i="15"/>
  <c r="B13" i="15"/>
  <c r="B20" i="15"/>
  <c r="B16" i="15"/>
  <c r="D7" i="11"/>
  <c r="C7" i="11"/>
  <c r="C5" i="11"/>
  <c r="D5" i="11"/>
  <c r="C16" i="15"/>
  <c r="C19" i="15"/>
  <c r="C20" i="15"/>
  <c r="C17" i="15"/>
  <c r="C12" i="15"/>
  <c r="C14" i="15"/>
  <c r="C13" i="15"/>
  <c r="C15" i="15"/>
  <c r="B14" i="15"/>
  <c r="C18" i="15"/>
  <c r="F13" i="15"/>
  <c r="F18" i="15"/>
  <c r="F17" i="15"/>
  <c r="F15" i="15"/>
  <c r="F20" i="15"/>
  <c r="F16" i="15"/>
  <c r="F12" i="15"/>
  <c r="F14" i="15"/>
  <c r="F19" i="15"/>
  <c r="D3" i="11"/>
  <c r="C3" i="11"/>
  <c r="D8" i="11"/>
  <c r="C8" i="11"/>
  <c r="C6" i="11"/>
  <c r="D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<sst xmlns="http://schemas.openxmlformats.org/spreadsheetml/2006/main" count="1511" uniqueCount="1364">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</sst>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4">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0.8</c:v>
                </c:pt>
                <c:pt idx="1">
                  <c:v>1.4</c:v>
                </c:pt>
                <c:pt idx="2">
                  <c:v>0.6</c:v>
                </c:pt>
                <c:pt idx="3">
                  <c:v>1.8</c:v>
                </c:pt>
                <c:pt idx="4">
                  <c:v>0.6</c:v>
                </c:pt>
                <c:pt idx="5">
                  <c:v>0.4</c:v>
                </c:pt>
                <c:pt idx="6">
                  <c:v>1.2</c:v>
                </c:pt>
                <c:pt idx="7">
                  <c:v>1.2</c:v>
                </c:pt>
                <c:pt idx="8">
                  <c:v>0.8</c:v>
                </c:pt>
                <c:pt idx="9">
                  <c:v>0.8</c:v>
                </c:pt>
                <c:pt idx="10">
                  <c:v>1.8</c:v>
                </c:pt>
                <c:pt idx="11">
                  <c:v>1.6</c:v>
                </c:pt>
                <c:pt idx="12">
                  <c:v>1.4</c:v>
                </c:pt>
                <c:pt idx="13">
                  <c:v>0.6</c:v>
                </c:pt>
                <c:pt idx="14">
                  <c:v>1.8</c:v>
                </c:pt>
                <c:pt idx="15">
                  <c:v>1.8</c:v>
                </c:pt>
                <c:pt idx="16">
                  <c:v>1</c:v>
                </c:pt>
                <c:pt idx="17">
                  <c:v>0.6</c:v>
                </c:pt>
                <c:pt idx="18">
                  <c:v>1.4</c:v>
                </c:pt>
                <c:pt idx="19">
                  <c:v>1.2</c:v>
                </c:pt>
                <c:pt idx="20">
                  <c:v>0.4</c:v>
                </c:pt>
                <c:pt idx="21">
                  <c:v>0.8</c:v>
                </c:pt>
                <c:pt idx="22">
                  <c:v>0</c:v>
                </c:pt>
                <c:pt idx="23">
                  <c:v>1</c:v>
                </c:pt>
                <c:pt idx="24">
                  <c:v>1.2</c:v>
                </c:pt>
                <c:pt idx="25">
                  <c:v>0.8</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0.42591339740413636</c:v>
                  </c:pt>
                  <c:pt idx="1">
                    <c:v>0.4899909961350134</c:v>
                  </c:pt>
                  <c:pt idx="2">
                    <c:v>0.79614113410533571</c:v>
                  </c:pt>
                  <c:pt idx="3">
                    <c:v>0.75273845129127215</c:v>
                  </c:pt>
                  <c:pt idx="4">
                    <c:v>0.24004558381776536</c:v>
                  </c:pt>
                  <c:pt idx="5">
                    <c:v>0.51390689227010866</c:v>
                  </c:pt>
                </c:numCache>
              </c:numRef>
            </c:plus>
            <c:minus>
              <c:numRef>
                <c:f>Confidence_Intervals!$M$5:$M$10</c:f>
                <c:numCache>
                  <c:formatCode>General</c:formatCode>
                  <c:ptCount val="6"/>
                  <c:pt idx="0">
                    <c:v>0.42591339740413636</c:v>
                  </c:pt>
                  <c:pt idx="1">
                    <c:v>0.4899909961350134</c:v>
                  </c:pt>
                  <c:pt idx="2">
                    <c:v>0.79614113410533571</c:v>
                  </c:pt>
                  <c:pt idx="3">
                    <c:v>0.75273845129127215</c:v>
                  </c:pt>
                  <c:pt idx="4">
                    <c:v>0.24004558381776536</c:v>
                  </c:pt>
                  <c:pt idx="5">
                    <c:v>0.51390689227010866</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1.1666666666666665</c:v>
                </c:pt>
                <c:pt idx="1">
                  <c:v>1.25</c:v>
                </c:pt>
                <c:pt idx="2">
                  <c:v>0.7</c:v>
                </c:pt>
                <c:pt idx="3">
                  <c:v>1.35</c:v>
                </c:pt>
                <c:pt idx="4">
                  <c:v>0.7</c:v>
                </c:pt>
                <c:pt idx="5">
                  <c:v>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1.1666666666666665</c:v>
                </c:pt>
                <c:pt idx="1">
                  <c:v>1.25</c:v>
                </c:pt>
                <c:pt idx="2">
                  <c:v>0.7</c:v>
                </c:pt>
                <c:pt idx="3">
                  <c:v>1.35</c:v>
                </c:pt>
                <c:pt idx="4">
                  <c:v>0.7</c:v>
                </c:pt>
                <c:pt idx="5">
                  <c:v>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1.1666666666666665</c:v>
                </c:pt>
                <c:pt idx="1">
                  <c:v>1.0999999999999999</c:v>
                </c:pt>
                <c:pt idx="2">
                  <c:v>0.85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2</c:v>
                </c:pt>
                <c:pt idx="1">
                  <c:v>0</c:v>
                </c:pt>
                <c:pt idx="2">
                  <c:v>2</c:v>
                </c:pt>
                <c:pt idx="3">
                  <c:v>0</c:v>
                </c:pt>
                <c:pt idx="4">
                  <c:v>2</c:v>
                </c:pt>
                <c:pt idx="5">
                  <c:v>3</c:v>
                </c:pt>
                <c:pt idx="6">
                  <c:v>0</c:v>
                </c:pt>
                <c:pt idx="7">
                  <c:v>2</c:v>
                </c:pt>
                <c:pt idx="8">
                  <c:v>3</c:v>
                </c:pt>
                <c:pt idx="9">
                  <c:v>1</c:v>
                </c:pt>
                <c:pt idx="10">
                  <c:v>0</c:v>
                </c:pt>
                <c:pt idx="11">
                  <c:v>0</c:v>
                </c:pt>
                <c:pt idx="12">
                  <c:v>1</c:v>
                </c:pt>
                <c:pt idx="13">
                  <c:v>3</c:v>
                </c:pt>
                <c:pt idx="14">
                  <c:v>1</c:v>
                </c:pt>
                <c:pt idx="15">
                  <c:v>0</c:v>
                </c:pt>
                <c:pt idx="16">
                  <c:v>3</c:v>
                </c:pt>
                <c:pt idx="17">
                  <c:v>3</c:v>
                </c:pt>
                <c:pt idx="18">
                  <c:v>0</c:v>
                </c:pt>
                <c:pt idx="19">
                  <c:v>1</c:v>
                </c:pt>
                <c:pt idx="20">
                  <c:v>4</c:v>
                </c:pt>
                <c:pt idx="21">
                  <c:v>1</c:v>
                </c:pt>
                <c:pt idx="22">
                  <c:v>2</c:v>
                </c:pt>
                <c:pt idx="23">
                  <c:v>2</c:v>
                </c:pt>
                <c:pt idx="24">
                  <c:v>1</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2</c:v>
                </c:pt>
                <c:pt idx="1">
                  <c:v>3</c:v>
                </c:pt>
                <c:pt idx="2">
                  <c:v>0</c:v>
                </c:pt>
                <c:pt idx="3">
                  <c:v>2</c:v>
                </c:pt>
                <c:pt idx="4">
                  <c:v>3</c:v>
                </c:pt>
                <c:pt idx="5">
                  <c:v>2</c:v>
                </c:pt>
                <c:pt idx="6">
                  <c:v>4</c:v>
                </c:pt>
                <c:pt idx="7">
                  <c:v>1</c:v>
                </c:pt>
                <c:pt idx="8">
                  <c:v>0</c:v>
                </c:pt>
                <c:pt idx="9">
                  <c:v>4</c:v>
                </c:pt>
                <c:pt idx="10">
                  <c:v>1</c:v>
                </c:pt>
                <c:pt idx="11">
                  <c:v>2</c:v>
                </c:pt>
                <c:pt idx="12">
                  <c:v>1</c:v>
                </c:pt>
                <c:pt idx="13">
                  <c:v>1</c:v>
                </c:pt>
                <c:pt idx="14">
                  <c:v>0</c:v>
                </c:pt>
                <c:pt idx="15">
                  <c:v>1</c:v>
                </c:pt>
                <c:pt idx="16">
                  <c:v>0</c:v>
                </c:pt>
                <c:pt idx="17">
                  <c:v>1</c:v>
                </c:pt>
                <c:pt idx="18">
                  <c:v>3</c:v>
                </c:pt>
                <c:pt idx="19">
                  <c:v>2</c:v>
                </c:pt>
                <c:pt idx="20">
                  <c:v>0</c:v>
                </c:pt>
                <c:pt idx="21">
                  <c:v>4</c:v>
                </c:pt>
                <c:pt idx="22">
                  <c:v>0</c:v>
                </c:pt>
                <c:pt idx="23">
                  <c:v>1</c:v>
                </c:pt>
                <c:pt idx="24">
                  <c:v>2</c:v>
                </c:pt>
                <c:pt idx="25">
                  <c:v>4</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1</c:v>
                </c:pt>
                <c:pt idx="1">
                  <c:v>2</c:v>
                </c:pt>
                <c:pt idx="2">
                  <c:v>2</c:v>
                </c:pt>
                <c:pt idx="3">
                  <c:v>2</c:v>
                </c:pt>
                <c:pt idx="4">
                  <c:v>0</c:v>
                </c:pt>
                <c:pt idx="5">
                  <c:v>0</c:v>
                </c:pt>
                <c:pt idx="6">
                  <c:v>1</c:v>
                </c:pt>
                <c:pt idx="7">
                  <c:v>1</c:v>
                </c:pt>
                <c:pt idx="8">
                  <c:v>2</c:v>
                </c:pt>
                <c:pt idx="9">
                  <c:v>0</c:v>
                </c:pt>
                <c:pt idx="10">
                  <c:v>4</c:v>
                </c:pt>
                <c:pt idx="11">
                  <c:v>3</c:v>
                </c:pt>
                <c:pt idx="12">
                  <c:v>3</c:v>
                </c:pt>
                <c:pt idx="13">
                  <c:v>1</c:v>
                </c:pt>
                <c:pt idx="14">
                  <c:v>3</c:v>
                </c:pt>
                <c:pt idx="15">
                  <c:v>4</c:v>
                </c:pt>
                <c:pt idx="16">
                  <c:v>1</c:v>
                </c:pt>
                <c:pt idx="17">
                  <c:v>1</c:v>
                </c:pt>
                <c:pt idx="18">
                  <c:v>2</c:v>
                </c:pt>
                <c:pt idx="19">
                  <c:v>2</c:v>
                </c:pt>
                <c:pt idx="20">
                  <c:v>1</c:v>
                </c:pt>
                <c:pt idx="21">
                  <c:v>0</c:v>
                </c:pt>
                <c:pt idx="22">
                  <c:v>0</c:v>
                </c:pt>
                <c:pt idx="23">
                  <c:v>2</c:v>
                </c:pt>
                <c:pt idx="24">
                  <c:v>2</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0</c:v>
                </c:pt>
                <c:pt idx="1">
                  <c:v>0</c:v>
                </c:pt>
                <c:pt idx="2">
                  <c:v>0</c:v>
                </c:pt>
                <c:pt idx="3">
                  <c:v>1</c:v>
                </c:pt>
                <c:pt idx="4">
                  <c:v>0</c:v>
                </c:pt>
                <c:pt idx="5">
                  <c:v>0</c:v>
                </c:pt>
                <c:pt idx="6">
                  <c:v>0</c:v>
                </c:pt>
                <c:pt idx="7">
                  <c:v>1</c:v>
                </c:pt>
                <c:pt idx="8">
                  <c:v>0</c:v>
                </c:pt>
                <c:pt idx="9">
                  <c:v>0</c:v>
                </c:pt>
                <c:pt idx="10">
                  <c:v>0</c:v>
                </c:pt>
                <c:pt idx="11">
                  <c:v>0</c:v>
                </c:pt>
                <c:pt idx="12">
                  <c:v>0</c:v>
                </c:pt>
                <c:pt idx="13">
                  <c:v>0</c:v>
                </c:pt>
                <c:pt idx="14">
                  <c:v>1</c:v>
                </c:pt>
                <c:pt idx="15">
                  <c:v>0</c:v>
                </c:pt>
                <c:pt idx="16">
                  <c:v>1</c:v>
                </c:pt>
                <c:pt idx="17">
                  <c:v>0</c:v>
                </c:pt>
                <c:pt idx="18">
                  <c:v>0</c:v>
                </c:pt>
                <c:pt idx="19">
                  <c:v>0</c:v>
                </c:pt>
                <c:pt idx="20">
                  <c:v>0</c:v>
                </c:pt>
                <c:pt idx="21">
                  <c:v>0</c:v>
                </c:pt>
                <c:pt idx="22">
                  <c:v>1</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1.1666666666666665</c:v>
                </c:pt>
                <c:pt idx="1">
                  <c:v>1.25</c:v>
                </c:pt>
                <c:pt idx="2">
                  <c:v>0.7</c:v>
                </c:pt>
                <c:pt idx="3">
                  <c:v>1.35</c:v>
                </c:pt>
                <c:pt idx="4">
                  <c:v>0.7</c:v>
                </c:pt>
                <c:pt idx="5">
                  <c:v>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baseColWidth="10" defaultColWidth="9.140625" defaultRowHeight="15" x14ac:dyDescent="0.25"/>
  <cols>
    <col min="1" max="1" width="35.140625" customWidth="1"/>
    <col min="2" max="2" width="22" customWidth="1"/>
    <col min="3" max="3" width="43" customWidth="1"/>
  </cols>
  <sheetData>
    <row r="1" spans="1:3" s="46" customFormat="1" ht="57" customHeight="1" x14ac:dyDescent="0.25">
      <c r="A1" s="146"/>
      <c r="B1" s="146"/>
      <c r="C1" s="146"/>
    </row>
    <row r="2" spans="1:3" ht="58.9" customHeight="1" x14ac:dyDescent="0.25">
      <c r="A2" s="142" t="s">
        <v>1302</v>
      </c>
      <c r="B2" s="142"/>
      <c r="C2" s="142"/>
    </row>
    <row r="3" spans="1:3" ht="107.25" customHeight="1" x14ac:dyDescent="0.25">
      <c r="A3" s="143" t="s">
        <v>1288</v>
      </c>
      <c r="B3" s="143"/>
      <c r="C3" s="143"/>
    </row>
    <row r="5" spans="1:3" ht="18.75" x14ac:dyDescent="0.3">
      <c r="A5" s="34" t="s">
        <v>821</v>
      </c>
      <c r="B5" s="65" t="s">
        <v>127</v>
      </c>
    </row>
    <row r="7" spans="1:3" ht="30.75" customHeight="1" x14ac:dyDescent="0.25">
      <c r="A7" s="144" t="s">
        <v>1301</v>
      </c>
      <c r="B7" s="144"/>
      <c r="C7" s="144"/>
    </row>
    <row r="9" spans="1:3" ht="406.15" customHeight="1" x14ac:dyDescent="0.25">
      <c r="A9" s="145" t="s">
        <v>1300</v>
      </c>
      <c r="B9" s="145"/>
      <c r="C9" s="145"/>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Items!$A$2:$A$21</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9" sqref="A9"/>
    </sheetView>
  </sheetViews>
  <sheetFormatPr baseColWidth="10" defaultColWidth="9.140625" defaultRowHeight="15" x14ac:dyDescent="0.25"/>
  <cols>
    <col min="1" max="26" width="3.7109375" style="1" customWidth="1"/>
  </cols>
  <sheetData>
    <row r="1" spans="1:27" ht="144" customHeight="1" x14ac:dyDescent="0.25">
      <c r="A1" s="147" t="s">
        <v>1289</v>
      </c>
      <c r="B1" s="148"/>
      <c r="C1" s="148"/>
      <c r="D1" s="148"/>
      <c r="E1" s="148"/>
      <c r="F1" s="148"/>
      <c r="G1" s="148"/>
      <c r="H1" s="148"/>
      <c r="I1" s="148"/>
      <c r="J1" s="148"/>
      <c r="K1" s="148"/>
      <c r="L1" s="148"/>
      <c r="M1" s="148"/>
      <c r="N1" s="148"/>
      <c r="O1" s="148"/>
      <c r="P1" s="148"/>
      <c r="Q1" s="148"/>
      <c r="R1" s="148"/>
      <c r="S1" s="148"/>
      <c r="T1" s="148"/>
      <c r="U1" s="148"/>
      <c r="V1" s="148"/>
      <c r="W1" s="148"/>
      <c r="X1" s="148"/>
      <c r="Y1" s="148"/>
      <c r="Z1" s="148"/>
    </row>
    <row r="2" spans="1:27" x14ac:dyDescent="0.25">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66">
        <v>5</v>
      </c>
      <c r="B4" s="66">
        <v>5</v>
      </c>
      <c r="C4" s="66">
        <v>2</v>
      </c>
      <c r="D4" s="66">
        <v>1</v>
      </c>
      <c r="E4" s="66">
        <v>3</v>
      </c>
      <c r="F4" s="66">
        <v>4</v>
      </c>
      <c r="G4" s="66">
        <v>5</v>
      </c>
      <c r="H4" s="66">
        <v>7</v>
      </c>
      <c r="I4" s="66">
        <v>2</v>
      </c>
      <c r="J4" s="66">
        <v>3</v>
      </c>
      <c r="K4" s="66">
        <v>6</v>
      </c>
      <c r="L4" s="66">
        <v>3</v>
      </c>
      <c r="M4" s="66">
        <v>6</v>
      </c>
      <c r="N4" s="66">
        <v>4</v>
      </c>
      <c r="O4" s="66">
        <v>6</v>
      </c>
      <c r="P4" s="66">
        <v>6</v>
      </c>
      <c r="Q4" s="66">
        <v>1</v>
      </c>
      <c r="R4" s="66">
        <v>2</v>
      </c>
      <c r="S4" s="66">
        <v>2</v>
      </c>
      <c r="T4" s="66">
        <v>6</v>
      </c>
      <c r="U4" s="66">
        <v>4</v>
      </c>
      <c r="V4" s="66">
        <v>5</v>
      </c>
      <c r="W4" s="66">
        <v>1</v>
      </c>
      <c r="X4" s="66">
        <v>2</v>
      </c>
      <c r="Y4" s="66">
        <v>2</v>
      </c>
      <c r="Z4" s="66">
        <v>5</v>
      </c>
    </row>
    <row r="5" spans="1:27" x14ac:dyDescent="0.25">
      <c r="A5" s="61">
        <v>5</v>
      </c>
      <c r="B5" s="61">
        <v>6</v>
      </c>
      <c r="C5" s="61">
        <v>4</v>
      </c>
      <c r="D5" s="61">
        <v>2</v>
      </c>
      <c r="E5" s="61">
        <v>4</v>
      </c>
      <c r="F5" s="61">
        <v>4</v>
      </c>
      <c r="G5" s="61">
        <v>6</v>
      </c>
      <c r="H5" s="61">
        <v>6</v>
      </c>
      <c r="I5" s="61">
        <v>2</v>
      </c>
      <c r="J5" s="61">
        <v>3</v>
      </c>
      <c r="K5" s="61">
        <v>6</v>
      </c>
      <c r="L5" s="61">
        <v>2</v>
      </c>
      <c r="M5" s="61">
        <v>6</v>
      </c>
      <c r="N5" s="61">
        <v>5</v>
      </c>
      <c r="O5" s="61">
        <v>4</v>
      </c>
      <c r="P5" s="61">
        <v>6</v>
      </c>
      <c r="Q5" s="61">
        <v>2</v>
      </c>
      <c r="R5" s="61">
        <v>4</v>
      </c>
      <c r="S5" s="61">
        <v>2</v>
      </c>
      <c r="T5" s="61">
        <v>6</v>
      </c>
      <c r="U5" s="61">
        <v>2</v>
      </c>
      <c r="V5" s="61">
        <v>5</v>
      </c>
      <c r="W5" s="61">
        <v>4</v>
      </c>
      <c r="X5" s="61">
        <v>2</v>
      </c>
      <c r="Y5" s="61">
        <v>2</v>
      </c>
      <c r="Z5" s="61">
        <v>5</v>
      </c>
    </row>
    <row r="6" spans="1:27" x14ac:dyDescent="0.25">
      <c r="A6" s="61">
        <v>6</v>
      </c>
      <c r="B6" s="61">
        <v>5</v>
      </c>
      <c r="C6" s="61">
        <v>2</v>
      </c>
      <c r="D6" s="61">
        <v>3</v>
      </c>
      <c r="E6" s="61">
        <v>3</v>
      </c>
      <c r="F6" s="61">
        <v>5</v>
      </c>
      <c r="G6" s="61">
        <v>5</v>
      </c>
      <c r="H6" s="61">
        <v>4</v>
      </c>
      <c r="I6" s="61">
        <v>4</v>
      </c>
      <c r="J6" s="61">
        <v>3</v>
      </c>
      <c r="K6" s="61">
        <v>6</v>
      </c>
      <c r="L6" s="61">
        <v>2</v>
      </c>
      <c r="M6" s="61">
        <v>6</v>
      </c>
      <c r="N6" s="61">
        <v>6</v>
      </c>
      <c r="O6" s="61">
        <v>7</v>
      </c>
      <c r="P6" s="61">
        <v>6</v>
      </c>
      <c r="Q6" s="61">
        <v>4</v>
      </c>
      <c r="R6" s="61">
        <v>3</v>
      </c>
      <c r="S6" s="61">
        <v>3</v>
      </c>
      <c r="T6" s="61">
        <v>5</v>
      </c>
      <c r="U6" s="61">
        <v>4</v>
      </c>
      <c r="V6" s="61">
        <v>4</v>
      </c>
      <c r="W6" s="61">
        <v>4</v>
      </c>
      <c r="X6" s="61">
        <v>3</v>
      </c>
      <c r="Y6" s="61">
        <v>4</v>
      </c>
      <c r="Z6" s="61">
        <v>5</v>
      </c>
    </row>
    <row r="7" spans="1:27" x14ac:dyDescent="0.25">
      <c r="A7" s="61">
        <v>4</v>
      </c>
      <c r="B7" s="61">
        <v>6</v>
      </c>
      <c r="C7" s="61">
        <v>4</v>
      </c>
      <c r="D7" s="61">
        <v>2</v>
      </c>
      <c r="E7" s="61">
        <v>3</v>
      </c>
      <c r="F7" s="61">
        <v>4</v>
      </c>
      <c r="G7" s="61">
        <v>5</v>
      </c>
      <c r="H7" s="61">
        <v>5</v>
      </c>
      <c r="I7" s="61">
        <v>4</v>
      </c>
      <c r="J7" s="61">
        <v>4</v>
      </c>
      <c r="K7" s="61">
        <v>6</v>
      </c>
      <c r="L7" s="61">
        <v>2</v>
      </c>
      <c r="M7" s="61">
        <v>5</v>
      </c>
      <c r="N7" s="61">
        <v>4</v>
      </c>
      <c r="O7" s="61">
        <v>6</v>
      </c>
      <c r="P7" s="61">
        <v>6</v>
      </c>
      <c r="Q7" s="61">
        <v>4</v>
      </c>
      <c r="R7" s="61">
        <v>4</v>
      </c>
      <c r="S7" s="61">
        <v>3</v>
      </c>
      <c r="T7" s="61">
        <v>5</v>
      </c>
      <c r="U7" s="61">
        <v>4</v>
      </c>
      <c r="V7" s="61">
        <v>5</v>
      </c>
      <c r="W7" s="61">
        <v>5</v>
      </c>
      <c r="X7" s="61">
        <v>4</v>
      </c>
      <c r="Y7" s="61">
        <v>3</v>
      </c>
      <c r="Z7" s="61">
        <v>4</v>
      </c>
    </row>
    <row r="8" spans="1:27" x14ac:dyDescent="0.25">
      <c r="A8" s="61">
        <v>4</v>
      </c>
      <c r="B8" s="61">
        <v>5</v>
      </c>
      <c r="C8" s="61">
        <v>5</v>
      </c>
      <c r="D8" s="61">
        <v>3</v>
      </c>
      <c r="E8" s="61">
        <v>4</v>
      </c>
      <c r="F8" s="61">
        <v>5</v>
      </c>
      <c r="G8" s="61">
        <v>5</v>
      </c>
      <c r="H8" s="61">
        <v>4</v>
      </c>
      <c r="I8" s="61">
        <v>4</v>
      </c>
      <c r="J8" s="61">
        <v>3</v>
      </c>
      <c r="K8" s="61">
        <v>5</v>
      </c>
      <c r="L8" s="61">
        <v>3</v>
      </c>
      <c r="M8" s="61">
        <v>4</v>
      </c>
      <c r="N8" s="61">
        <v>4</v>
      </c>
      <c r="O8" s="61">
        <v>6</v>
      </c>
      <c r="P8" s="61">
        <v>5</v>
      </c>
      <c r="Q8" s="61">
        <v>4</v>
      </c>
      <c r="R8" s="61">
        <v>4</v>
      </c>
      <c r="S8" s="61">
        <v>3</v>
      </c>
      <c r="T8" s="61">
        <v>4</v>
      </c>
      <c r="U8" s="61">
        <v>4</v>
      </c>
      <c r="V8" s="61">
        <v>5</v>
      </c>
      <c r="W8" s="61">
        <v>6</v>
      </c>
      <c r="X8" s="61">
        <v>4</v>
      </c>
      <c r="Y8" s="61">
        <v>3</v>
      </c>
      <c r="Z8" s="61">
        <v>5</v>
      </c>
    </row>
    <row r="9" spans="1:27" x14ac:dyDescent="0.25">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7" x14ac:dyDescent="0.2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7" x14ac:dyDescent="0.25">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7" x14ac:dyDescent="0.25">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7" x14ac:dyDescent="0.25">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7" x14ac:dyDescent="0.25">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7" x14ac:dyDescent="0.25">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x14ac:dyDescent="0.25">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x14ac:dyDescent="0.25">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x14ac:dyDescent="0.25">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x14ac:dyDescent="0.25">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x14ac:dyDescent="0.25">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x14ac:dyDescent="0.25">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x14ac:dyDescent="0.25">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x14ac:dyDescent="0.25">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x14ac:dyDescent="0.25">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x14ac:dyDescent="0.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x14ac:dyDescent="0.25">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x14ac:dyDescent="0.25">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x14ac:dyDescent="0.25">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x14ac:dyDescent="0.25">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x14ac:dyDescent="0.2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x14ac:dyDescent="0.25">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x14ac:dyDescent="0.2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x14ac:dyDescent="0.25">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B4" sqref="AB4"/>
    </sheetView>
  </sheetViews>
  <sheetFormatPr baseColWidth="10" defaultColWidth="9.140625" defaultRowHeight="15" x14ac:dyDescent="0.25"/>
  <cols>
    <col min="1" max="26" width="3.7109375" style="1" customWidth="1"/>
    <col min="27" max="28" width="4.42578125" customWidth="1"/>
    <col min="29" max="34" width="13.7109375" style="1" customWidth="1"/>
  </cols>
  <sheetData>
    <row r="1" spans="1:34" ht="96" customHeight="1" x14ac:dyDescent="0.25">
      <c r="A1" s="150" t="s">
        <v>822</v>
      </c>
      <c r="B1" s="151"/>
      <c r="C1" s="151"/>
      <c r="D1" s="151"/>
      <c r="E1" s="151"/>
      <c r="F1" s="151"/>
      <c r="G1" s="151"/>
      <c r="H1" s="151"/>
      <c r="I1" s="151"/>
      <c r="J1" s="151"/>
      <c r="K1" s="151"/>
      <c r="L1" s="151"/>
      <c r="M1" s="151"/>
      <c r="N1" s="151"/>
      <c r="O1" s="151"/>
      <c r="P1" s="151"/>
      <c r="Q1" s="151"/>
      <c r="R1" s="151"/>
      <c r="S1" s="151"/>
      <c r="T1" s="151"/>
      <c r="U1" s="151"/>
      <c r="V1" s="151"/>
      <c r="W1" s="151"/>
      <c r="X1" s="151"/>
      <c r="Y1" s="151"/>
      <c r="Z1" s="152"/>
      <c r="AA1" s="15"/>
      <c r="AB1" s="15"/>
      <c r="AC1" s="155"/>
      <c r="AD1" s="155"/>
      <c r="AE1" s="155"/>
      <c r="AF1" s="155"/>
      <c r="AG1" s="155"/>
      <c r="AH1" s="155"/>
    </row>
    <row r="2" spans="1:34"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54" t="s">
        <v>1298</v>
      </c>
      <c r="AD2" s="154"/>
      <c r="AE2" s="154"/>
      <c r="AF2" s="154"/>
      <c r="AG2" s="154"/>
      <c r="AH2" s="154"/>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x14ac:dyDescent="0.25">
      <c r="A4" s="68">
        <f>IF(Data!A4&gt;0,Data!A4-4,"")</f>
        <v>1</v>
      </c>
      <c r="B4" s="68">
        <f>IF(Data!B4&gt;0,Data!B4-4,"")</f>
        <v>1</v>
      </c>
      <c r="C4" s="68">
        <f>IF(Data!C4&gt;0,4-Data!C4,"")</f>
        <v>2</v>
      </c>
      <c r="D4" s="68">
        <f>IF(Data!D4&gt;0,4-Data!D4,"")</f>
        <v>3</v>
      </c>
      <c r="E4" s="68">
        <f>IF(Data!E4&gt;0,4-Data!E4,"")</f>
        <v>1</v>
      </c>
      <c r="F4" s="68">
        <f>IF(Data!F4&gt;0,Data!F4-4,"")</f>
        <v>0</v>
      </c>
      <c r="G4" s="68">
        <f>IF(Data!G4&gt;0,Data!G4-4,"")</f>
        <v>1</v>
      </c>
      <c r="H4" s="68">
        <f>IF(Data!H4&gt;0,Data!H4-4,"")</f>
        <v>3</v>
      </c>
      <c r="I4" s="68">
        <f>IF(Data!I4&gt;0,4-Data!I4,"")</f>
        <v>2</v>
      </c>
      <c r="J4" s="68">
        <f>IF(Data!J4&gt;0,4-Data!J4,"")</f>
        <v>1</v>
      </c>
      <c r="K4" s="68">
        <f>IF(Data!K4&gt;0,Data!K4-4,"")</f>
        <v>2</v>
      </c>
      <c r="L4" s="68">
        <f>IF(Data!L4&gt;0,4-Data!L4,"")</f>
        <v>1</v>
      </c>
      <c r="M4" s="68">
        <f>IF(Data!M4&gt;0,Data!M4-4,"")</f>
        <v>2</v>
      </c>
      <c r="N4" s="68">
        <f>IF(Data!N4&gt;0,Data!N4-4,"")</f>
        <v>0</v>
      </c>
      <c r="O4" s="68">
        <f>IF(Data!O4&gt;0,Data!O4-4,"")</f>
        <v>2</v>
      </c>
      <c r="P4" s="68">
        <f>IF(Data!P4&gt;0,Data!P4-4,"")</f>
        <v>2</v>
      </c>
      <c r="Q4" s="68">
        <f>IF(Data!Q4&gt;0,4-Data!Q4,"")</f>
        <v>3</v>
      </c>
      <c r="R4" s="68">
        <f>IF(Data!R4&gt;0,4-Data!R4,"")</f>
        <v>2</v>
      </c>
      <c r="S4" s="68">
        <f>IF(Data!S4&gt;0,4-Data!S4,"")</f>
        <v>2</v>
      </c>
      <c r="T4" s="68">
        <f>IF(Data!T4&gt;0,Data!T4-4,"")</f>
        <v>2</v>
      </c>
      <c r="U4" s="68">
        <f>IF(Data!U4&gt;0,4-Data!U4,"")</f>
        <v>0</v>
      </c>
      <c r="V4" s="68">
        <f>IF(Data!V4&gt;0,Data!V4-4,"")</f>
        <v>1</v>
      </c>
      <c r="W4" s="68">
        <f>IF(Data!W4&gt;0,4-Data!W4,"")</f>
        <v>3</v>
      </c>
      <c r="X4" s="68">
        <f>IF(Data!X4&gt;0,4-Data!X4,"")</f>
        <v>2</v>
      </c>
      <c r="Y4" s="68">
        <f>IF(Data!Y4&gt;0,4-Data!Y4,"")</f>
        <v>2</v>
      </c>
      <c r="Z4" s="68">
        <f>IF(Data!Z4&gt;0,Data!Z4-4,"")</f>
        <v>1</v>
      </c>
      <c r="AC4" s="69">
        <f t="shared" ref="AC4:AC68" si="0">IF(COUNT(A4,L4,N4,P4,X4,Y4)&gt;0,AVERAGE(A4,L4,N4,P4,X4,Y4),"")</f>
        <v>1.3333333333333333</v>
      </c>
      <c r="AD4" s="69">
        <f>IF(COUNT(B4,D4,M4,U4)&gt;0,AVERAGE(B4,D4,M4,U4),"")</f>
        <v>1.5</v>
      </c>
      <c r="AE4" s="69">
        <f>IF(COUNT(I4,T4,V4,W4)&gt;0,AVERAGE(I4,T4,V4,W4),"")</f>
        <v>2</v>
      </c>
      <c r="AF4" s="69">
        <f>IF(COUNT(H4,K4,Q4,S4)&gt;0,AVERAGE(H4,K4,Q4,S4),"")</f>
        <v>2.5</v>
      </c>
      <c r="AG4" s="69">
        <f>IF(COUNT(E4,F4,G4,R4)&gt;0,AVERAGE(E4,F4,G4,R4),"")</f>
        <v>1</v>
      </c>
      <c r="AH4" s="69">
        <f>IF(COUNT(C4,J4,O4,Z4)&gt;0,AVERAGE(C4,J4,O4,Z4),"")</f>
        <v>1.5</v>
      </c>
    </row>
    <row r="5" spans="1:34" x14ac:dyDescent="0.25">
      <c r="A5" s="1">
        <f>IF(Data!A5&gt;0,Data!A5-4,"")</f>
        <v>1</v>
      </c>
      <c r="B5" s="1">
        <f>IF(Data!B5&gt;0,Data!B5-4,"")</f>
        <v>2</v>
      </c>
      <c r="C5" s="1">
        <f>IF(Data!C5&gt;0,4-Data!C5,"")</f>
        <v>0</v>
      </c>
      <c r="D5" s="1">
        <f>IF(Data!D5&gt;0,4-Data!D5,"")</f>
        <v>2</v>
      </c>
      <c r="E5" s="1">
        <f>IF(Data!E5&gt;0,4-Data!E5,"")</f>
        <v>0</v>
      </c>
      <c r="F5" s="1">
        <f>IF(Data!F5&gt;0,Data!F5-4,"")</f>
        <v>0</v>
      </c>
      <c r="G5" s="1">
        <f>IF(Data!G5&gt;0,Data!G5-4,"")</f>
        <v>2</v>
      </c>
      <c r="H5" s="1">
        <f>IF(Data!H5&gt;0,Data!H5-4,"")</f>
        <v>2</v>
      </c>
      <c r="I5" s="1">
        <f>IF(Data!I5&gt;0,4-Data!I5,"")</f>
        <v>2</v>
      </c>
      <c r="J5" s="1">
        <f>IF(Data!J5&gt;0,4-Data!J5,"")</f>
        <v>1</v>
      </c>
      <c r="K5" s="1">
        <f>IF(Data!K5&gt;0,Data!K5-4,"")</f>
        <v>2</v>
      </c>
      <c r="L5" s="1">
        <f>IF(Data!L5&gt;0,4-Data!L5,"")</f>
        <v>2</v>
      </c>
      <c r="M5" s="1">
        <f>IF(Data!M5&gt;0,Data!M5-4,"")</f>
        <v>2</v>
      </c>
      <c r="N5" s="1">
        <f>IF(Data!N5&gt;0,Data!N5-4,"")</f>
        <v>1</v>
      </c>
      <c r="O5" s="1">
        <f>IF(Data!O5&gt;0,Data!O5-4,"")</f>
        <v>0</v>
      </c>
      <c r="P5" s="1">
        <f>IF(Data!P5&gt;0,Data!P5-4,"")</f>
        <v>2</v>
      </c>
      <c r="Q5" s="1">
        <f>IF(Data!Q5&gt;0,4-Data!Q5,"")</f>
        <v>2</v>
      </c>
      <c r="R5" s="1">
        <f>IF(Data!R5&gt;0,4-Data!R5,"")</f>
        <v>0</v>
      </c>
      <c r="S5" s="1">
        <f>IF(Data!S5&gt;0,4-Data!S5,"")</f>
        <v>2</v>
      </c>
      <c r="T5" s="1">
        <f>IF(Data!T5&gt;0,Data!T5-4,"")</f>
        <v>2</v>
      </c>
      <c r="U5" s="1">
        <f>IF(Data!U5&gt;0,4-Data!U5,"")</f>
        <v>2</v>
      </c>
      <c r="V5" s="1">
        <f>IF(Data!V5&gt;0,Data!V5-4,"")</f>
        <v>1</v>
      </c>
      <c r="W5" s="1">
        <f>IF(Data!W5&gt;0,4-Data!W5,"")</f>
        <v>0</v>
      </c>
      <c r="X5" s="1">
        <f>IF(Data!X5&gt;0,4-Data!X5,"")</f>
        <v>2</v>
      </c>
      <c r="Y5" s="1">
        <f>IF(Data!Y5&gt;0,4-Data!Y5,"")</f>
        <v>2</v>
      </c>
      <c r="Z5" s="1">
        <f>IF(Data!Z5&gt;0,Data!Z5-4,"")</f>
        <v>1</v>
      </c>
      <c r="AC5" s="7">
        <f t="shared" si="0"/>
        <v>1.6666666666666667</v>
      </c>
      <c r="AD5" s="7">
        <f t="shared" ref="AD5:AD68" si="1">IF(COUNT(B5,D5,M5,U5)&gt;0,AVERAGE(B5,D5,M5,U5),"")</f>
        <v>2</v>
      </c>
      <c r="AE5" s="7">
        <f t="shared" ref="AE5:AE68" si="2">IF(COUNT(I5,T5,V5,W5)&gt;0,AVERAGE(I5,T5,V5,W5),"")</f>
        <v>1.25</v>
      </c>
      <c r="AF5" s="7">
        <f t="shared" ref="AF5:AF68" si="3">IF(COUNT(H5,K5,Q5,S5)&gt;0,AVERAGE(H5,K5,Q5,S5),"")</f>
        <v>2</v>
      </c>
      <c r="AG5" s="7">
        <f t="shared" ref="AG5:AG68" si="4">IF(COUNT(E5,F5,G5,R5)&gt;0,AVERAGE(E5,F5,G5,R5),"")</f>
        <v>0.5</v>
      </c>
      <c r="AH5" s="7">
        <f t="shared" ref="AH5:AH68" si="5">IF(COUNT(C5,J5,O5,Z5)&gt;0,AVERAGE(C5,J5,O5,Z5),"")</f>
        <v>0.5</v>
      </c>
    </row>
    <row r="6" spans="1:34" x14ac:dyDescent="0.25">
      <c r="A6" s="1">
        <f>IF(Data!A6&gt;0,Data!A6-4,"")</f>
        <v>2</v>
      </c>
      <c r="B6" s="1">
        <f>IF(Data!B6&gt;0,Data!B6-4,"")</f>
        <v>1</v>
      </c>
      <c r="C6" s="1">
        <f>IF(Data!C6&gt;0,4-Data!C6,"")</f>
        <v>2</v>
      </c>
      <c r="D6" s="1">
        <f>IF(Data!D6&gt;0,4-Data!D6,"")</f>
        <v>1</v>
      </c>
      <c r="E6" s="1">
        <f>IF(Data!E6&gt;0,4-Data!E6,"")</f>
        <v>1</v>
      </c>
      <c r="F6" s="1">
        <f>IF(Data!F6&gt;0,Data!F6-4,"")</f>
        <v>1</v>
      </c>
      <c r="G6" s="1">
        <f>IF(Data!G6&gt;0,Data!G6-4,"")</f>
        <v>1</v>
      </c>
      <c r="H6" s="1">
        <f>IF(Data!H6&gt;0,Data!H6-4,"")</f>
        <v>0</v>
      </c>
      <c r="I6" s="1">
        <f>IF(Data!I6&gt;0,4-Data!I6,"")</f>
        <v>0</v>
      </c>
      <c r="J6" s="1">
        <f>IF(Data!J6&gt;0,4-Data!J6,"")</f>
        <v>1</v>
      </c>
      <c r="K6" s="1">
        <f>IF(Data!K6&gt;0,Data!K6-4,"")</f>
        <v>2</v>
      </c>
      <c r="L6" s="1">
        <f>IF(Data!L6&gt;0,4-Data!L6,"")</f>
        <v>2</v>
      </c>
      <c r="M6" s="1">
        <f>IF(Data!M6&gt;0,Data!M6-4,"")</f>
        <v>2</v>
      </c>
      <c r="N6" s="1">
        <f>IF(Data!N6&gt;0,Data!N6-4,"")</f>
        <v>2</v>
      </c>
      <c r="O6" s="1">
        <f>IF(Data!O6&gt;0,Data!O6-4,"")</f>
        <v>3</v>
      </c>
      <c r="P6" s="1">
        <f>IF(Data!P6&gt;0,Data!P6-4,"")</f>
        <v>2</v>
      </c>
      <c r="Q6" s="1">
        <f>IF(Data!Q6&gt;0,4-Data!Q6,"")</f>
        <v>0</v>
      </c>
      <c r="R6" s="1">
        <f>IF(Data!R6&gt;0,4-Data!R6,"")</f>
        <v>1</v>
      </c>
      <c r="S6" s="1">
        <f>IF(Data!S6&gt;0,4-Data!S6,"")</f>
        <v>1</v>
      </c>
      <c r="T6" s="1">
        <f>IF(Data!T6&gt;0,Data!T6-4,"")</f>
        <v>1</v>
      </c>
      <c r="U6" s="1">
        <f>IF(Data!U6&gt;0,4-Data!U6,"")</f>
        <v>0</v>
      </c>
      <c r="V6" s="1">
        <f>IF(Data!V6&gt;0,Data!V6-4,"")</f>
        <v>0</v>
      </c>
      <c r="W6" s="1">
        <f>IF(Data!W6&gt;0,4-Data!W6,"")</f>
        <v>0</v>
      </c>
      <c r="X6" s="1">
        <f>IF(Data!X6&gt;0,4-Data!X6,"")</f>
        <v>1</v>
      </c>
      <c r="Y6" s="1">
        <f>IF(Data!Y6&gt;0,4-Data!Y6,"")</f>
        <v>0</v>
      </c>
      <c r="Z6" s="1">
        <f>IF(Data!Z6&gt;0,Data!Z6-4,"")</f>
        <v>1</v>
      </c>
      <c r="AC6" s="7">
        <f t="shared" si="0"/>
        <v>1.5</v>
      </c>
      <c r="AD6" s="7">
        <f t="shared" si="1"/>
        <v>1</v>
      </c>
      <c r="AE6" s="7">
        <f t="shared" si="2"/>
        <v>0.25</v>
      </c>
      <c r="AF6" s="7">
        <f t="shared" si="3"/>
        <v>0.75</v>
      </c>
      <c r="AG6" s="7">
        <f t="shared" si="4"/>
        <v>1</v>
      </c>
      <c r="AH6" s="7">
        <f t="shared" si="5"/>
        <v>1.75</v>
      </c>
    </row>
    <row r="7" spans="1:34" x14ac:dyDescent="0.25">
      <c r="A7" s="1">
        <f>IF(Data!A7&gt;0,Data!A7-4,"")</f>
        <v>0</v>
      </c>
      <c r="B7" s="1">
        <f>IF(Data!B7&gt;0,Data!B7-4,"")</f>
        <v>2</v>
      </c>
      <c r="C7" s="1">
        <f>IF(Data!C7&gt;0,4-Data!C7,"")</f>
        <v>0</v>
      </c>
      <c r="D7" s="1">
        <f>IF(Data!D7&gt;0,4-Data!D7,"")</f>
        <v>2</v>
      </c>
      <c r="E7" s="1">
        <f>IF(Data!E7&gt;0,4-Data!E7,"")</f>
        <v>1</v>
      </c>
      <c r="F7" s="1">
        <f>IF(Data!F7&gt;0,Data!F7-4,"")</f>
        <v>0</v>
      </c>
      <c r="G7" s="1">
        <f>IF(Data!G7&gt;0,Data!G7-4,"")</f>
        <v>1</v>
      </c>
      <c r="H7" s="1">
        <f>IF(Data!H7&gt;0,Data!H7-4,"")</f>
        <v>1</v>
      </c>
      <c r="I7" s="1">
        <f>IF(Data!I7&gt;0,4-Data!I7,"")</f>
        <v>0</v>
      </c>
      <c r="J7" s="1">
        <f>IF(Data!J7&gt;0,4-Data!J7,"")</f>
        <v>0</v>
      </c>
      <c r="K7" s="1">
        <f>IF(Data!K7&gt;0,Data!K7-4,"")</f>
        <v>2</v>
      </c>
      <c r="L7" s="1">
        <f>IF(Data!L7&gt;0,4-Data!L7,"")</f>
        <v>2</v>
      </c>
      <c r="M7" s="1">
        <f>IF(Data!M7&gt;0,Data!M7-4,"")</f>
        <v>1</v>
      </c>
      <c r="N7" s="1">
        <f>IF(Data!N7&gt;0,Data!N7-4,"")</f>
        <v>0</v>
      </c>
      <c r="O7" s="1">
        <f>IF(Data!O7&gt;0,Data!O7-4,"")</f>
        <v>2</v>
      </c>
      <c r="P7" s="1">
        <f>IF(Data!P7&gt;0,Data!P7-4,"")</f>
        <v>2</v>
      </c>
      <c r="Q7" s="1">
        <f>IF(Data!Q7&gt;0,4-Data!Q7,"")</f>
        <v>0</v>
      </c>
      <c r="R7" s="1">
        <f>IF(Data!R7&gt;0,4-Data!R7,"")</f>
        <v>0</v>
      </c>
      <c r="S7" s="1">
        <f>IF(Data!S7&gt;0,4-Data!S7,"")</f>
        <v>1</v>
      </c>
      <c r="T7" s="1">
        <f>IF(Data!T7&gt;0,Data!T7-4,"")</f>
        <v>1</v>
      </c>
      <c r="U7" s="1">
        <f>IF(Data!U7&gt;0,4-Data!U7,"")</f>
        <v>0</v>
      </c>
      <c r="V7" s="1">
        <f>IF(Data!V7&gt;0,Data!V7-4,"")</f>
        <v>1</v>
      </c>
      <c r="W7" s="1">
        <f>IF(Data!W7&gt;0,4-Data!W7,"")</f>
        <v>-1</v>
      </c>
      <c r="X7" s="1">
        <f>IF(Data!X7&gt;0,4-Data!X7,"")</f>
        <v>0</v>
      </c>
      <c r="Y7" s="1">
        <f>IF(Data!Y7&gt;0,4-Data!Y7,"")</f>
        <v>1</v>
      </c>
      <c r="Z7" s="1">
        <f>IF(Data!Z7&gt;0,Data!Z7-4,"")</f>
        <v>0</v>
      </c>
      <c r="AC7" s="7">
        <f t="shared" si="0"/>
        <v>0.83333333333333337</v>
      </c>
      <c r="AD7" s="7">
        <f t="shared" si="1"/>
        <v>1.25</v>
      </c>
      <c r="AE7" s="7">
        <f t="shared" si="2"/>
        <v>0.25</v>
      </c>
      <c r="AF7" s="7">
        <f t="shared" si="3"/>
        <v>1</v>
      </c>
      <c r="AG7" s="7">
        <f t="shared" si="4"/>
        <v>0.5</v>
      </c>
      <c r="AH7" s="7">
        <f t="shared" si="5"/>
        <v>0.5</v>
      </c>
    </row>
    <row r="8" spans="1:34" x14ac:dyDescent="0.25">
      <c r="A8" s="1">
        <f>IF(Data!A8&gt;0,Data!A8-4,"")</f>
        <v>0</v>
      </c>
      <c r="B8" s="1">
        <f>IF(Data!B8&gt;0,Data!B8-4,"")</f>
        <v>1</v>
      </c>
      <c r="C8" s="1">
        <f>IF(Data!C8&gt;0,4-Data!C8,"")</f>
        <v>-1</v>
      </c>
      <c r="D8" s="1">
        <f>IF(Data!D8&gt;0,4-Data!D8,"")</f>
        <v>1</v>
      </c>
      <c r="E8" s="1">
        <f>IF(Data!E8&gt;0,4-Data!E8,"")</f>
        <v>0</v>
      </c>
      <c r="F8" s="1">
        <f>IF(Data!F8&gt;0,Data!F8-4,"")</f>
        <v>1</v>
      </c>
      <c r="G8" s="1">
        <f>IF(Data!G8&gt;0,Data!G8-4,"")</f>
        <v>1</v>
      </c>
      <c r="H8" s="1">
        <f>IF(Data!H8&gt;0,Data!H8-4,"")</f>
        <v>0</v>
      </c>
      <c r="I8" s="1">
        <f>IF(Data!I8&gt;0,4-Data!I8,"")</f>
        <v>0</v>
      </c>
      <c r="J8" s="1">
        <f>IF(Data!J8&gt;0,4-Data!J8,"")</f>
        <v>1</v>
      </c>
      <c r="K8" s="1">
        <f>IF(Data!K8&gt;0,Data!K8-4,"")</f>
        <v>1</v>
      </c>
      <c r="L8" s="1">
        <f>IF(Data!L8&gt;0,4-Data!L8,"")</f>
        <v>1</v>
      </c>
      <c r="M8" s="1">
        <f>IF(Data!M8&gt;0,Data!M8-4,"")</f>
        <v>0</v>
      </c>
      <c r="N8" s="1">
        <f>IF(Data!N8&gt;0,Data!N8-4,"")</f>
        <v>0</v>
      </c>
      <c r="O8" s="1">
        <f>IF(Data!O8&gt;0,Data!O8-4,"")</f>
        <v>2</v>
      </c>
      <c r="P8" s="1">
        <f>IF(Data!P8&gt;0,Data!P8-4,"")</f>
        <v>1</v>
      </c>
      <c r="Q8" s="1">
        <f>IF(Data!Q8&gt;0,4-Data!Q8,"")</f>
        <v>0</v>
      </c>
      <c r="R8" s="1">
        <f>IF(Data!R8&gt;0,4-Data!R8,"")</f>
        <v>0</v>
      </c>
      <c r="S8" s="1">
        <f>IF(Data!S8&gt;0,4-Data!S8,"")</f>
        <v>1</v>
      </c>
      <c r="T8" s="1">
        <f>IF(Data!T8&gt;0,Data!T8-4,"")</f>
        <v>0</v>
      </c>
      <c r="U8" s="1">
        <f>IF(Data!U8&gt;0,4-Data!U8,"")</f>
        <v>0</v>
      </c>
      <c r="V8" s="1">
        <f>IF(Data!V8&gt;0,Data!V8-4,"")</f>
        <v>1</v>
      </c>
      <c r="W8" s="1">
        <f>IF(Data!W8&gt;0,4-Data!W8,"")</f>
        <v>-2</v>
      </c>
      <c r="X8" s="1">
        <f>IF(Data!X8&gt;0,4-Data!X8,"")</f>
        <v>0</v>
      </c>
      <c r="Y8" s="1">
        <f>IF(Data!Y8&gt;0,4-Data!Y8,"")</f>
        <v>1</v>
      </c>
      <c r="Z8" s="1">
        <f>IF(Data!Z8&gt;0,Data!Z8-4,"")</f>
        <v>1</v>
      </c>
      <c r="AC8" s="7">
        <f t="shared" si="0"/>
        <v>0.5</v>
      </c>
      <c r="AD8" s="7">
        <f t="shared" si="1"/>
        <v>0.5</v>
      </c>
      <c r="AE8" s="7">
        <f t="shared" si="2"/>
        <v>-0.25</v>
      </c>
      <c r="AF8" s="7">
        <f t="shared" si="3"/>
        <v>0.5</v>
      </c>
      <c r="AG8" s="7">
        <f t="shared" si="4"/>
        <v>0.5</v>
      </c>
      <c r="AH8" s="7">
        <f t="shared" si="5"/>
        <v>0.75</v>
      </c>
    </row>
    <row r="9" spans="1:34" x14ac:dyDescent="0.2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7" t="str">
        <f t="shared" si="0"/>
        <v/>
      </c>
      <c r="AD9" s="7" t="str">
        <f t="shared" si="1"/>
        <v/>
      </c>
      <c r="AE9" s="7" t="str">
        <f t="shared" si="2"/>
        <v/>
      </c>
      <c r="AF9" s="7" t="str">
        <f t="shared" si="3"/>
        <v/>
      </c>
      <c r="AG9" s="7" t="str">
        <f t="shared" si="4"/>
        <v/>
      </c>
      <c r="AH9" s="7" t="str">
        <f t="shared" si="5"/>
        <v/>
      </c>
    </row>
    <row r="10" spans="1:34" x14ac:dyDescent="0.2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7" t="str">
        <f t="shared" si="0"/>
        <v/>
      </c>
      <c r="AD10" s="7" t="str">
        <f t="shared" si="1"/>
        <v/>
      </c>
      <c r="AE10" s="7" t="str">
        <f t="shared" si="2"/>
        <v/>
      </c>
      <c r="AF10" s="7" t="str">
        <f t="shared" si="3"/>
        <v/>
      </c>
      <c r="AG10" s="7" t="str">
        <f t="shared" si="4"/>
        <v/>
      </c>
      <c r="AH10" s="7" t="str">
        <f t="shared" si="5"/>
        <v/>
      </c>
    </row>
    <row r="11" spans="1:34" x14ac:dyDescent="0.2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7" t="str">
        <f t="shared" si="0"/>
        <v/>
      </c>
      <c r="AD11" s="7" t="str">
        <f t="shared" si="1"/>
        <v/>
      </c>
      <c r="AE11" s="7" t="str">
        <f t="shared" si="2"/>
        <v/>
      </c>
      <c r="AF11" s="7" t="str">
        <f t="shared" si="3"/>
        <v/>
      </c>
      <c r="AG11" s="7" t="str">
        <f t="shared" si="4"/>
        <v/>
      </c>
      <c r="AH11" s="7" t="str">
        <f t="shared" si="5"/>
        <v/>
      </c>
    </row>
    <row r="12" spans="1:34" x14ac:dyDescent="0.2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x14ac:dyDescent="0.2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x14ac:dyDescent="0.2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x14ac:dyDescent="0.2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x14ac:dyDescent="0.2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x14ac:dyDescent="0.2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x14ac:dyDescent="0.2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x14ac:dyDescent="0.2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x14ac:dyDescent="0.2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x14ac:dyDescent="0.2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x14ac:dyDescent="0.2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x14ac:dyDescent="0.2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A3" sqref="A3:H28"/>
    </sheetView>
  </sheetViews>
  <sheetFormatPr baseColWidth="10" defaultColWidth="9.140625" defaultRowHeight="15" x14ac:dyDescent="0.2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x14ac:dyDescent="0.25">
      <c r="A1" s="157" t="s">
        <v>1290</v>
      </c>
      <c r="B1" s="158"/>
      <c r="C1" s="158"/>
      <c r="D1" s="158"/>
      <c r="E1" s="158"/>
      <c r="F1" s="158"/>
      <c r="G1" s="158"/>
      <c r="H1" s="158"/>
      <c r="I1" s="158"/>
      <c r="J1" s="158"/>
      <c r="K1" s="158"/>
      <c r="L1" s="158"/>
      <c r="M1" s="158"/>
      <c r="N1" s="158"/>
    </row>
    <row r="2" spans="1:18" x14ac:dyDescent="0.25">
      <c r="A2" s="77" t="s">
        <v>2</v>
      </c>
      <c r="B2" s="78" t="s">
        <v>106</v>
      </c>
      <c r="C2" s="79" t="s">
        <v>107</v>
      </c>
      <c r="D2" s="80" t="s">
        <v>108</v>
      </c>
      <c r="E2" s="79" t="s">
        <v>109</v>
      </c>
      <c r="F2" s="81" t="s">
        <v>117</v>
      </c>
      <c r="G2" s="82" t="s">
        <v>118</v>
      </c>
      <c r="H2" s="79" t="s">
        <v>110</v>
      </c>
      <c r="I2" s="83"/>
      <c r="K2" s="156" t="s">
        <v>1281</v>
      </c>
      <c r="L2" s="156"/>
      <c r="M2" s="156"/>
    </row>
    <row r="3" spans="1:18" x14ac:dyDescent="0.25">
      <c r="A3" s="71">
        <v>1</v>
      </c>
      <c r="B3" s="72">
        <f>AVERAGE(DT!A4:A1004)</f>
        <v>0.8</v>
      </c>
      <c r="C3" s="72">
        <f>VAR(DT!A4:A1004)</f>
        <v>0.7</v>
      </c>
      <c r="D3" s="72">
        <f>SQRT(C3)</f>
        <v>0.83666002653407556</v>
      </c>
      <c r="E3" s="73">
        <f>COUNTA(Data!A4:A1000)</f>
        <v>5</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1.1666666666666665</v>
      </c>
      <c r="M3" s="7">
        <f>VAR(DT!AC4:AC1004)</f>
        <v>0.23611111111111138</v>
      </c>
      <c r="R3" s="5"/>
    </row>
    <row r="4" spans="1:18" x14ac:dyDescent="0.25">
      <c r="A4" s="2">
        <v>2</v>
      </c>
      <c r="B4" s="3">
        <f>AVERAGE(DT!B4:B1004)</f>
        <v>1.4</v>
      </c>
      <c r="C4" s="3">
        <f>VAR(DT!B4:B1004)</f>
        <v>0.29999999999999982</v>
      </c>
      <c r="D4" s="3">
        <f t="shared" ref="D4:D28" si="0">SQRT(C4)</f>
        <v>0.54772255750516596</v>
      </c>
      <c r="E4" s="4">
        <f>COUNTA(Data!B4:B1000)</f>
        <v>5</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1.25</v>
      </c>
      <c r="M4" s="7">
        <f>VAR(DT!AD4:AD1004)</f>
        <v>0.3125</v>
      </c>
    </row>
    <row r="5" spans="1:18" x14ac:dyDescent="0.25">
      <c r="A5" s="2">
        <v>3</v>
      </c>
      <c r="B5" s="3">
        <f>AVERAGE(DT!C4:C1004)</f>
        <v>0.6</v>
      </c>
      <c r="C5" s="3">
        <f>VAR(DT!C4:C1004)</f>
        <v>1.8</v>
      </c>
      <c r="D5" s="3">
        <f t="shared" si="0"/>
        <v>1.3416407864998738</v>
      </c>
      <c r="E5" s="4">
        <f>COUNTA(Data!C4:C1000)</f>
        <v>5</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0.7</v>
      </c>
      <c r="M5" s="7">
        <f>VAR(DT!AE4:AE1004)</f>
        <v>0.82499999999999996</v>
      </c>
    </row>
    <row r="6" spans="1:18" x14ac:dyDescent="0.25">
      <c r="A6" s="2">
        <v>4</v>
      </c>
      <c r="B6" s="3">
        <f>AVERAGE(DT!D4:D1004)</f>
        <v>1.8</v>
      </c>
      <c r="C6" s="3">
        <f>VAR(DT!D4:D1004)</f>
        <v>0.70000000000000018</v>
      </c>
      <c r="D6" s="3">
        <f t="shared" si="0"/>
        <v>0.83666002653407567</v>
      </c>
      <c r="E6" s="4">
        <f>COUNTA(Data!D4:D1000)</f>
        <v>5</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1.35</v>
      </c>
      <c r="M6" s="7">
        <f>VAR(DT!AF4:AF1004)</f>
        <v>0.73749999999999982</v>
      </c>
    </row>
    <row r="7" spans="1:18" x14ac:dyDescent="0.25">
      <c r="A7" s="2">
        <v>5</v>
      </c>
      <c r="B7" s="3">
        <f>AVERAGE(DT!E4:E1004)</f>
        <v>0.6</v>
      </c>
      <c r="C7" s="3">
        <f>VAR(DT!E4:E1004)</f>
        <v>0.3</v>
      </c>
      <c r="D7" s="3">
        <f t="shared" si="0"/>
        <v>0.54772255750516607</v>
      </c>
      <c r="E7" s="4">
        <f>COUNTA(Data!E4:E1000)</f>
        <v>5</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0.7</v>
      </c>
      <c r="M7" s="7">
        <f>VAR(DT!AG4:AG1004)</f>
        <v>7.4999999999999956E-2</v>
      </c>
    </row>
    <row r="8" spans="1:18" x14ac:dyDescent="0.25">
      <c r="A8" s="2">
        <v>6</v>
      </c>
      <c r="B8" s="3">
        <f>AVERAGE(DT!F4:F1004)</f>
        <v>0.4</v>
      </c>
      <c r="C8" s="3">
        <f>VAR(DT!F4:F1004)</f>
        <v>0.3</v>
      </c>
      <c r="D8" s="3">
        <f t="shared" si="0"/>
        <v>0.54772255750516607</v>
      </c>
      <c r="E8" s="4">
        <f>COUNTA(Data!F4:F1000)</f>
        <v>5</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1</v>
      </c>
      <c r="M8" s="7">
        <f>VAR(DT!AH4:AH1004)</f>
        <v>0.34375</v>
      </c>
    </row>
    <row r="9" spans="1:18" x14ac:dyDescent="0.25">
      <c r="A9" s="2">
        <v>7</v>
      </c>
      <c r="B9" s="3">
        <f>AVERAGE(DT!G4:G1004)</f>
        <v>1.2</v>
      </c>
      <c r="C9" s="3">
        <f>VAR(DT!G4:G1004)</f>
        <v>0.19999999999999996</v>
      </c>
      <c r="D9" s="3">
        <f t="shared" si="0"/>
        <v>0.44721359549995787</v>
      </c>
      <c r="E9" s="4">
        <f>COUNTA(Data!G4:G1000)</f>
        <v>5</v>
      </c>
      <c r="F9" s="22" t="str">
        <f>VLOOKUP(Read_First!B5,Items!A1:BA50,14,FALSE)</f>
        <v>uninteressant</v>
      </c>
      <c r="G9" s="23" t="str">
        <f>VLOOKUP(Read_First!B5,Items!A1:BA50,15,FALSE)</f>
        <v>interessant</v>
      </c>
      <c r="H9" s="29" t="str">
        <f>VLOOKUP(Read_First!B5,Items!A1:BI50,58,FALSE)</f>
        <v>Stimulation</v>
      </c>
      <c r="I9" s="139"/>
    </row>
    <row r="10" spans="1:18" x14ac:dyDescent="0.25">
      <c r="A10" s="2">
        <v>8</v>
      </c>
      <c r="B10" s="3">
        <f>AVERAGE(DT!H4:H1004)</f>
        <v>1.2</v>
      </c>
      <c r="C10" s="3">
        <f>VAR(DT!H4:H1004)</f>
        <v>1.7</v>
      </c>
      <c r="D10" s="3">
        <f t="shared" si="0"/>
        <v>1.3038404810405297</v>
      </c>
      <c r="E10" s="4">
        <f>COUNTA(Data!H4:H1000)</f>
        <v>5</v>
      </c>
      <c r="F10" s="22" t="str">
        <f>VLOOKUP(Read_First!B5,Items!A1:BA50,16,FALSE)</f>
        <v>unberechenbar</v>
      </c>
      <c r="G10" s="23" t="str">
        <f>VLOOKUP(Read_First!B5,Items!A1:BA50,17,FALSE)</f>
        <v>voraussagbar</v>
      </c>
      <c r="H10" s="28" t="str">
        <f>VLOOKUP(Read_First!B5,Items!A1:BI50,57,FALSE)</f>
        <v>Steuerbarkeit</v>
      </c>
      <c r="I10" s="141"/>
    </row>
    <row r="11" spans="1:18" x14ac:dyDescent="0.25">
      <c r="A11" s="2">
        <v>9</v>
      </c>
      <c r="B11" s="3">
        <f>AVERAGE(DT!I4:I1004)</f>
        <v>0.8</v>
      </c>
      <c r="C11" s="3">
        <f>VAR(DT!I4:I1004)</f>
        <v>1.2</v>
      </c>
      <c r="D11" s="3">
        <f t="shared" si="0"/>
        <v>1.0954451150103321</v>
      </c>
      <c r="E11" s="4">
        <f>COUNTA(Data!I4:I1000)</f>
        <v>5</v>
      </c>
      <c r="F11" s="22" t="str">
        <f>VLOOKUP(Read_First!B5,Items!A1:BA50,18,FALSE)</f>
        <v>schnell</v>
      </c>
      <c r="G11" s="23" t="str">
        <f>VLOOKUP(Read_First!B5,Items!A1:BA50,19,FALSE)</f>
        <v>langsam</v>
      </c>
      <c r="H11" s="28" t="str">
        <f>VLOOKUP(Read_First!B5,Items!A1:BI50,56,FALSE)</f>
        <v>Effizienz</v>
      </c>
      <c r="I11" s="140"/>
    </row>
    <row r="12" spans="1:18" x14ac:dyDescent="0.25">
      <c r="A12" s="2">
        <v>10</v>
      </c>
      <c r="B12" s="3">
        <f>AVERAGE(DT!J4:J1004)</f>
        <v>0.8</v>
      </c>
      <c r="C12" s="3">
        <f>VAR(DT!J4:J1004)</f>
        <v>0.19999999999999996</v>
      </c>
      <c r="D12" s="3">
        <f t="shared" si="0"/>
        <v>0.44721359549995787</v>
      </c>
      <c r="E12" s="4">
        <f>COUNTA(Data!J4:J1000)</f>
        <v>5</v>
      </c>
      <c r="F12" s="22" t="str">
        <f>VLOOKUP(Read_First!B5,Items!A1:BA50,20,FALSE)</f>
        <v>originell</v>
      </c>
      <c r="G12" s="23" t="str">
        <f>VLOOKUP(Read_First!B5,Items!A1:BA50,21,FALSE)</f>
        <v>konventionell</v>
      </c>
      <c r="H12" s="28" t="str">
        <f>VLOOKUP(Read_First!B5,Items!A1:BI50,59,FALSE)</f>
        <v>Originalität</v>
      </c>
      <c r="I12" s="138"/>
    </row>
    <row r="13" spans="1:18" x14ac:dyDescent="0.25">
      <c r="A13" s="2">
        <v>11</v>
      </c>
      <c r="B13" s="3">
        <f>AVERAGE(DT!K4:K1004)</f>
        <v>1.8</v>
      </c>
      <c r="C13" s="3">
        <f>VAR(DT!K4:K1004)</f>
        <v>0.20000000000000018</v>
      </c>
      <c r="D13" s="3">
        <f t="shared" si="0"/>
        <v>0.44721359549995815</v>
      </c>
      <c r="E13" s="4">
        <f>COUNTA(Data!K4:K1000)</f>
        <v>5</v>
      </c>
      <c r="F13" s="22" t="str">
        <f>VLOOKUP(Read_First!B5,Items!A1:BA50,22,FALSE)</f>
        <v>behindernd</v>
      </c>
      <c r="G13" s="23" t="str">
        <f>VLOOKUP(Read_First!B5,Items!A1:BA50,23,FALSE)</f>
        <v>unterstützend</v>
      </c>
      <c r="H13" s="28" t="str">
        <f>VLOOKUP(Read_First!B5,Items!A1:BI50,57,FALSE)</f>
        <v>Steuerbarkeit</v>
      </c>
      <c r="I13" s="141"/>
    </row>
    <row r="14" spans="1:18" x14ac:dyDescent="0.25">
      <c r="A14" s="2">
        <v>12</v>
      </c>
      <c r="B14" s="3">
        <f>AVERAGE(DT!L4:L1004)</f>
        <v>1.6</v>
      </c>
      <c r="C14" s="3">
        <f>VAR(DT!L4:L1004)</f>
        <v>0.29999999999999982</v>
      </c>
      <c r="D14" s="3">
        <f t="shared" si="0"/>
        <v>0.54772255750516596</v>
      </c>
      <c r="E14" s="4">
        <f>COUNTA(Data!L4:L1000)</f>
        <v>5</v>
      </c>
      <c r="F14" s="22" t="str">
        <f>VLOOKUP(Read_First!B5,Items!A1:BA50,24,FALSE)</f>
        <v xml:space="preserve">gut </v>
      </c>
      <c r="G14" s="23" t="str">
        <f>VLOOKUP(Read_First!B5,Items!A1:BA50,25,FALSE)</f>
        <v>schlecht</v>
      </c>
      <c r="H14" s="28" t="str">
        <f>VLOOKUP(Read_First!B5,Items!A1:BI50,54,FALSE)</f>
        <v>Attraktivität</v>
      </c>
      <c r="I14" s="137"/>
    </row>
    <row r="15" spans="1:18" x14ac:dyDescent="0.25">
      <c r="A15" s="2">
        <v>13</v>
      </c>
      <c r="B15" s="3">
        <f>AVERAGE(DT!M4:M1004)</f>
        <v>1.4</v>
      </c>
      <c r="C15" s="3">
        <f>VAR(DT!M4:M1004)</f>
        <v>0.79999999999999982</v>
      </c>
      <c r="D15" s="3">
        <f t="shared" si="0"/>
        <v>0.89442719099991574</v>
      </c>
      <c r="E15" s="4">
        <f>COUNTA(Data!M4:M1000)</f>
        <v>5</v>
      </c>
      <c r="F15" s="22" t="str">
        <f>VLOOKUP(Read_First!B5,Items!A1:BA50,26,FALSE)</f>
        <v>kompliziert</v>
      </c>
      <c r="G15" s="23" t="str">
        <f>VLOOKUP(Read_First!B5,Items!A1:BA50,27,FALSE)</f>
        <v>einfach</v>
      </c>
      <c r="H15" s="28" t="str">
        <f>VLOOKUP(Read_First!B5,Items!A1:BI50,55,FALSE)</f>
        <v>Durchschaubarkeit</v>
      </c>
      <c r="I15" s="9"/>
    </row>
    <row r="16" spans="1:18" x14ac:dyDescent="0.25">
      <c r="A16" s="2">
        <v>14</v>
      </c>
      <c r="B16" s="3">
        <f>AVERAGE(DT!N4:N1004)</f>
        <v>0.6</v>
      </c>
      <c r="C16" s="3">
        <f>VAR(DT!N4:N1004)</f>
        <v>0.8</v>
      </c>
      <c r="D16" s="3">
        <f t="shared" si="0"/>
        <v>0.89442719099991586</v>
      </c>
      <c r="E16" s="4">
        <f>COUNTA(Data!N4:N1000)</f>
        <v>5</v>
      </c>
      <c r="F16" s="22" t="str">
        <f>VLOOKUP(Read_First!B5,Items!A1:BA50,28,FALSE)</f>
        <v>abstoßend</v>
      </c>
      <c r="G16" s="23" t="str">
        <f>VLOOKUP(Read_First!B5,Items!A1:BA50,29,FALSE)</f>
        <v>anziehend</v>
      </c>
      <c r="H16" s="28" t="str">
        <f>VLOOKUP(Read_First!B5,Items!A1:BI50,54,FALSE)</f>
        <v>Attraktivität</v>
      </c>
      <c r="I16" s="137"/>
    </row>
    <row r="17" spans="1:9" x14ac:dyDescent="0.25">
      <c r="A17" s="2">
        <v>15</v>
      </c>
      <c r="B17" s="3">
        <f>AVERAGE(DT!O4:O1004)</f>
        <v>1.8</v>
      </c>
      <c r="C17" s="3">
        <f>VAR(DT!O4:O1004)</f>
        <v>1.2000000000000002</v>
      </c>
      <c r="D17" s="3">
        <f t="shared" si="0"/>
        <v>1.0954451150103324</v>
      </c>
      <c r="E17" s="4">
        <f>COUNTA(Data!O4:O1000)</f>
        <v>5</v>
      </c>
      <c r="F17" s="22" t="str">
        <f>VLOOKUP(Read_First!B5,Items!A1:BA50,30,FALSE)</f>
        <v>herkömmlich</v>
      </c>
      <c r="G17" s="23" t="str">
        <f>VLOOKUP(Read_First!B5,Items!A1:BA50,31,FALSE)</f>
        <v>neuartig</v>
      </c>
      <c r="H17" s="28" t="str">
        <f>VLOOKUP(Read_First!B5,Items!A1:BI50,59,FALSE)</f>
        <v>Originalität</v>
      </c>
      <c r="I17" s="138"/>
    </row>
    <row r="18" spans="1:9" x14ac:dyDescent="0.25">
      <c r="A18" s="2">
        <v>16</v>
      </c>
      <c r="B18" s="3">
        <f>AVERAGE(DT!P4:P1004)</f>
        <v>1.8</v>
      </c>
      <c r="C18" s="3">
        <f>VAR(DT!P4:P1004)</f>
        <v>0.20000000000000018</v>
      </c>
      <c r="D18" s="3">
        <f t="shared" si="0"/>
        <v>0.44721359549995815</v>
      </c>
      <c r="E18" s="4">
        <f>COUNTA(Data!P4:P1000)</f>
        <v>5</v>
      </c>
      <c r="F18" s="22" t="str">
        <f>VLOOKUP(Read_First!B5,Items!A1:BA50,32,FALSE)</f>
        <v>unangenehm</v>
      </c>
      <c r="G18" s="23" t="str">
        <f>VLOOKUP(Read_First!B5,Items!A1:BA50,33,FALSE)</f>
        <v>angenehm</v>
      </c>
      <c r="H18" s="28" t="str">
        <f>VLOOKUP(Read_First!B5,Items!A1:BI50,54,FALSE)</f>
        <v>Attraktivität</v>
      </c>
      <c r="I18" s="137"/>
    </row>
    <row r="19" spans="1:9" x14ac:dyDescent="0.25">
      <c r="A19" s="2">
        <v>17</v>
      </c>
      <c r="B19" s="3">
        <f>AVERAGE(DT!Q4:Q1004)</f>
        <v>1</v>
      </c>
      <c r="C19" s="3">
        <f>VAR(DT!Q4:Q1004)</f>
        <v>2</v>
      </c>
      <c r="D19" s="3">
        <f t="shared" si="0"/>
        <v>1.4142135623730951</v>
      </c>
      <c r="E19" s="4">
        <f>COUNTA(Data!Q4:Q1000)</f>
        <v>5</v>
      </c>
      <c r="F19" s="22" t="str">
        <f>VLOOKUP(Read_First!B5,Items!A1:BA50,34,FALSE)</f>
        <v xml:space="preserve">sicher </v>
      </c>
      <c r="G19" s="23" t="str">
        <f>VLOOKUP(Read_First!B5,Items!A1:BA50,35,FALSE)</f>
        <v>unsicher</v>
      </c>
      <c r="H19" s="28" t="str">
        <f>VLOOKUP(Read_First!B5,Items!A1:BI50,57,FALSE)</f>
        <v>Steuerbarkeit</v>
      </c>
      <c r="I19" s="141"/>
    </row>
    <row r="20" spans="1:9" x14ac:dyDescent="0.25">
      <c r="A20" s="2">
        <v>18</v>
      </c>
      <c r="B20" s="3">
        <f>AVERAGE(DT!R4:R1004)</f>
        <v>0.6</v>
      </c>
      <c r="C20" s="3">
        <f>VAR(DT!R4:R1004)</f>
        <v>0.8</v>
      </c>
      <c r="D20" s="3">
        <f t="shared" si="0"/>
        <v>0.89442719099991586</v>
      </c>
      <c r="E20" s="4">
        <f>COUNTA(Data!R4:R1000)</f>
        <v>5</v>
      </c>
      <c r="F20" s="22" t="str">
        <f>VLOOKUP(Read_First!B5,Items!A1:BA50,36,FALSE)</f>
        <v>aktivierend</v>
      </c>
      <c r="G20" s="23" t="str">
        <f>VLOOKUP(Read_First!B5,Items!A1:BA50,37,FALSE)</f>
        <v>einschläfernd</v>
      </c>
      <c r="H20" s="29" t="str">
        <f>VLOOKUP(Read_First!B5,Items!A1:BI50,58,FALSE)</f>
        <v>Stimulation</v>
      </c>
      <c r="I20" s="139"/>
    </row>
    <row r="21" spans="1:9" x14ac:dyDescent="0.25">
      <c r="A21" s="2">
        <v>19</v>
      </c>
      <c r="B21" s="3">
        <f>AVERAGE(DT!S4:S1004)</f>
        <v>1.4</v>
      </c>
      <c r="C21" s="3">
        <f>VAR(DT!S4:S1004)</f>
        <v>0.29999999999999982</v>
      </c>
      <c r="D21" s="3">
        <f t="shared" si="0"/>
        <v>0.54772255750516596</v>
      </c>
      <c r="E21" s="4">
        <f>COUNTA(Data!S4:S1000)</f>
        <v>5</v>
      </c>
      <c r="F21" s="22" t="str">
        <f>VLOOKUP(Read_First!B5,Items!A1:BA50,38,FALSE)</f>
        <v>erwartungskonform</v>
      </c>
      <c r="G21" s="23" t="str">
        <f>VLOOKUP(Read_First!B5,Items!A1:BA50,39,FALSE)</f>
        <v>nicht erwartungskonform</v>
      </c>
      <c r="H21" s="28" t="str">
        <f>VLOOKUP(Read_First!B5,Items!A1:BI50,57,FALSE)</f>
        <v>Steuerbarkeit</v>
      </c>
      <c r="I21" s="141"/>
    </row>
    <row r="22" spans="1:9" x14ac:dyDescent="0.25">
      <c r="A22" s="2">
        <v>20</v>
      </c>
      <c r="B22" s="3">
        <f>AVERAGE(DT!T4:T1004)</f>
        <v>1.2</v>
      </c>
      <c r="C22" s="3">
        <f>VAR(DT!T4:T1004)</f>
        <v>0.7</v>
      </c>
      <c r="D22" s="3">
        <f t="shared" si="0"/>
        <v>0.83666002653407556</v>
      </c>
      <c r="E22" s="4">
        <f>COUNTA(Data!T4:T1000)</f>
        <v>5</v>
      </c>
      <c r="F22" s="22" t="str">
        <f>VLOOKUP(Read_First!B5,Items!A1:BA50,40,FALSE)</f>
        <v>ineffizient</v>
      </c>
      <c r="G22" s="23" t="str">
        <f>VLOOKUP(Read_First!B5,Items!A1:BA50,41,FALSE)</f>
        <v>effizient</v>
      </c>
      <c r="H22" s="28" t="str">
        <f>VLOOKUP(Read_First!B5,Items!A1:BI50,56,FALSE)</f>
        <v>Effizienz</v>
      </c>
      <c r="I22" s="140"/>
    </row>
    <row r="23" spans="1:9" x14ac:dyDescent="0.25">
      <c r="A23" s="6">
        <v>21</v>
      </c>
      <c r="B23" s="3">
        <f>AVERAGE(DT!U4:U1004)</f>
        <v>0.4</v>
      </c>
      <c r="C23" s="3">
        <f>VAR(DT!U4:U1004)</f>
        <v>0.8</v>
      </c>
      <c r="D23" s="3">
        <f t="shared" si="0"/>
        <v>0.89442719099991586</v>
      </c>
      <c r="E23" s="4">
        <f>COUNTA(Data!U4:U1000)</f>
        <v>5</v>
      </c>
      <c r="F23" s="22" t="str">
        <f>VLOOKUP(Read_First!B5,Items!A1:BA50,42,FALSE)</f>
        <v>übersichtlich</v>
      </c>
      <c r="G23" s="23" t="str">
        <f>VLOOKUP(Read_First!B5,Items!A1:BA50,43,FALSE)</f>
        <v>verwirrend</v>
      </c>
      <c r="H23" s="28" t="str">
        <f>VLOOKUP(Read_First!B5,Items!A1:BI50,55,FALSE)</f>
        <v>Durchschaubarkeit</v>
      </c>
      <c r="I23" s="9"/>
    </row>
    <row r="24" spans="1:9" x14ac:dyDescent="0.25">
      <c r="A24" s="6">
        <v>22</v>
      </c>
      <c r="B24" s="3">
        <f>AVERAGE(DT!V4:V1004)</f>
        <v>0.8</v>
      </c>
      <c r="C24" s="3">
        <f>VAR(DT!V4:V1004)</f>
        <v>0.19999999999999996</v>
      </c>
      <c r="D24" s="3">
        <f t="shared" si="0"/>
        <v>0.44721359549995787</v>
      </c>
      <c r="E24" s="4">
        <f>COUNTA(Data!V4:V1000)</f>
        <v>5</v>
      </c>
      <c r="F24" s="22" t="str">
        <f>VLOOKUP(Read_First!B5,Items!A1:BA50,44,FALSE)</f>
        <v>unpragmatisch</v>
      </c>
      <c r="G24" s="23" t="str">
        <f>VLOOKUP(Read_First!B5,Items!A1:BA50,45,FALSE)</f>
        <v>pragmatisch</v>
      </c>
      <c r="H24" s="28" t="str">
        <f>VLOOKUP(Read_First!B5,Items!A1:BI50,56,FALSE)</f>
        <v>Effizienz</v>
      </c>
      <c r="I24" s="140"/>
    </row>
    <row r="25" spans="1:9" x14ac:dyDescent="0.25">
      <c r="A25" s="6">
        <v>23</v>
      </c>
      <c r="B25" s="3">
        <f>AVERAGE(DT!W4:W1004)</f>
        <v>0</v>
      </c>
      <c r="C25" s="3">
        <f>VAR(DT!W4:W1004)</f>
        <v>3.5</v>
      </c>
      <c r="D25" s="3">
        <f t="shared" si="0"/>
        <v>1.8708286933869707</v>
      </c>
      <c r="E25" s="4">
        <f>COUNTA(Data!W4:W1000)</f>
        <v>5</v>
      </c>
      <c r="F25" s="22" t="str">
        <f>VLOOKUP(Read_First!B5,Items!A1:BA50,46,FALSE)</f>
        <v>aufgeräumt</v>
      </c>
      <c r="G25" s="23" t="str">
        <f>VLOOKUP(Read_First!B5,Items!A1:BA50,47,FALSE)</f>
        <v>überladen</v>
      </c>
      <c r="H25" s="28" t="str">
        <f>VLOOKUP(Read_First!B5,Items!A1:BI50,56,FALSE)</f>
        <v>Effizienz</v>
      </c>
      <c r="I25" s="140"/>
    </row>
    <row r="26" spans="1:9" x14ac:dyDescent="0.25">
      <c r="A26" s="6">
        <v>24</v>
      </c>
      <c r="B26" s="3">
        <f>AVERAGE(DT!X4:X1004)</f>
        <v>1</v>
      </c>
      <c r="C26" s="3">
        <f>VAR(DT!X4:X1004)</f>
        <v>1</v>
      </c>
      <c r="D26" s="3">
        <f t="shared" si="0"/>
        <v>1</v>
      </c>
      <c r="E26" s="4">
        <f>COUNTA(Data!X4:X1000)</f>
        <v>5</v>
      </c>
      <c r="F26" s="22" t="str">
        <f>VLOOKUP(Read_First!B5,Items!A1:BA50,48,FALSE)</f>
        <v>attraktiv</v>
      </c>
      <c r="G26" s="23" t="str">
        <f>VLOOKUP(Read_First!B5,Items!A1:BA50,49,FALSE)</f>
        <v>unattraktiv</v>
      </c>
      <c r="H26" s="28" t="str">
        <f>VLOOKUP(Read_First!B5,Items!A1:BI50,54,FALSE)</f>
        <v>Attraktivität</v>
      </c>
      <c r="I26" s="137"/>
    </row>
    <row r="27" spans="1:9" x14ac:dyDescent="0.25">
      <c r="A27" s="6">
        <v>25</v>
      </c>
      <c r="B27" s="3">
        <f>AVERAGE(DT!Y4:Y1004)</f>
        <v>1.2</v>
      </c>
      <c r="C27" s="3">
        <f>VAR(DT!Y4:Y1004)</f>
        <v>0.7</v>
      </c>
      <c r="D27" s="3">
        <f t="shared" si="0"/>
        <v>0.83666002653407556</v>
      </c>
      <c r="E27" s="4">
        <f>COUNTA(Data!Y4:Y1000)</f>
        <v>5</v>
      </c>
      <c r="F27" s="22" t="str">
        <f>VLOOKUP(Read_First!B5,Items!A1:BA50,50,FALSE)</f>
        <v>sympathisch</v>
      </c>
      <c r="G27" s="23" t="str">
        <f>VLOOKUP(Read_First!B5,Items!A1:BA50,51,FALSE)</f>
        <v>unsympathisch</v>
      </c>
      <c r="H27" s="28" t="str">
        <f>VLOOKUP(Read_First!B5,Items!A1:BI50,54,FALSE)</f>
        <v>Attraktivität</v>
      </c>
      <c r="I27" s="137"/>
    </row>
    <row r="28" spans="1:9" x14ac:dyDescent="0.25">
      <c r="A28" s="6">
        <v>26</v>
      </c>
      <c r="B28" s="3">
        <f>AVERAGE(DT!Z4:Z1004)</f>
        <v>0.8</v>
      </c>
      <c r="C28" s="3">
        <f>VAR(DT!Z4:Z1004)</f>
        <v>0.19999999999999996</v>
      </c>
      <c r="D28" s="3">
        <f t="shared" si="0"/>
        <v>0.44721359549995787</v>
      </c>
      <c r="E28" s="4">
        <f>COUNTA(Data!Z4:Z1000)</f>
        <v>5</v>
      </c>
      <c r="F28" s="22" t="str">
        <f>VLOOKUP(Read_First!B5,Items!A1:BA50,52,FALSE)</f>
        <v>konservativ</v>
      </c>
      <c r="G28" s="23" t="str">
        <f>VLOOKUP(Read_First!B5,Items!A1:BA50,53,FALSE)</f>
        <v>innovativ</v>
      </c>
      <c r="H28" s="28" t="str">
        <f>VLOOKUP(Read_First!B5,Items!A1:BI50,59,FALSE)</f>
        <v>Originalität</v>
      </c>
      <c r="I28" s="138"/>
    </row>
    <row r="39" spans="11:15" x14ac:dyDescent="0.25">
      <c r="K39" s="156" t="s">
        <v>823</v>
      </c>
      <c r="L39" s="156"/>
    </row>
    <row r="40" spans="11:15" x14ac:dyDescent="0.25">
      <c r="K40" s="43" t="str">
        <f>VLOOKUP(Read_First!B5,Items!A1:BI50,54,FALSE)</f>
        <v>Attraktivität</v>
      </c>
      <c r="L40" s="44">
        <f>AVERAGE(DT!AC4:AC1004)</f>
        <v>1.1666666666666665</v>
      </c>
    </row>
    <row r="41" spans="11:15" x14ac:dyDescent="0.25">
      <c r="K41" s="1" t="str">
        <f>VLOOKUP(Read_First!B5,Items!A1:BI50,60,FALSE)</f>
        <v>Pragmatische Qualität</v>
      </c>
      <c r="L41" s="45">
        <f>(L4+L5+L6)/3</f>
        <v>1.0999999999999999</v>
      </c>
    </row>
    <row r="42" spans="11:15" x14ac:dyDescent="0.25">
      <c r="K42" s="1" t="str">
        <f>VLOOKUP(Read_First!B5,Items!A1:BI50,61,FALSE)</f>
        <v>Hedonische Qualität</v>
      </c>
      <c r="L42" s="45">
        <f>(L7+L8)/2</f>
        <v>0.85</v>
      </c>
    </row>
    <row r="44" spans="11:15" ht="102.75" customHeight="1" x14ac:dyDescent="0.25">
      <c r="K44" s="145" t="s">
        <v>824</v>
      </c>
      <c r="L44" s="145"/>
      <c r="M44" s="145"/>
      <c r="N44" s="145"/>
      <c r="O44" s="145"/>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25" workbookViewId="0">
      <selection activeCell="J15" sqref="J15"/>
    </sheetView>
  </sheetViews>
  <sheetFormatPr baseColWidth="10" defaultColWidth="9.140625" defaultRowHeight="15" x14ac:dyDescent="0.25"/>
  <cols>
    <col min="5" max="5" width="12.7109375" customWidth="1"/>
    <col min="9" max="9" width="18.7109375" customWidth="1"/>
    <col min="13" max="13" width="11.85546875" customWidth="1"/>
    <col min="15" max="15" width="9.5703125" customWidth="1"/>
  </cols>
  <sheetData>
    <row r="1" spans="1:15" ht="100.9" customHeight="1" x14ac:dyDescent="0.25">
      <c r="A1" s="162" t="s">
        <v>1291</v>
      </c>
      <c r="B1" s="163"/>
      <c r="C1" s="163"/>
      <c r="D1" s="163"/>
      <c r="E1" s="163"/>
      <c r="F1" s="163"/>
      <c r="G1" s="163"/>
      <c r="H1" s="163"/>
      <c r="I1" s="163"/>
      <c r="J1" s="163"/>
      <c r="K1" s="163"/>
      <c r="L1" s="163"/>
      <c r="M1" s="163"/>
      <c r="N1" s="163"/>
      <c r="O1" s="163"/>
    </row>
    <row r="3" spans="1:15" x14ac:dyDescent="0.25">
      <c r="A3" s="159" t="s">
        <v>114</v>
      </c>
      <c r="B3" s="159"/>
      <c r="C3" s="159"/>
      <c r="D3" s="159"/>
      <c r="E3" s="159"/>
      <c r="F3" s="159"/>
      <c r="G3" s="159"/>
      <c r="I3" s="159" t="s">
        <v>111</v>
      </c>
      <c r="J3" s="159"/>
      <c r="K3" s="159"/>
      <c r="L3" s="159"/>
      <c r="M3" s="159"/>
      <c r="N3" s="159"/>
      <c r="O3" s="159"/>
    </row>
    <row r="4" spans="1:15" x14ac:dyDescent="0.25">
      <c r="A4" s="116" t="s">
        <v>2</v>
      </c>
      <c r="B4" s="117" t="s">
        <v>106</v>
      </c>
      <c r="C4" s="117" t="s">
        <v>108</v>
      </c>
      <c r="D4" s="118" t="s">
        <v>3</v>
      </c>
      <c r="E4" s="117" t="s">
        <v>112</v>
      </c>
      <c r="F4" s="160" t="s">
        <v>113</v>
      </c>
      <c r="G4" s="161"/>
      <c r="I4" s="119" t="s">
        <v>110</v>
      </c>
      <c r="J4" s="118" t="s">
        <v>106</v>
      </c>
      <c r="K4" s="118" t="s">
        <v>108</v>
      </c>
      <c r="L4" s="118" t="s">
        <v>3</v>
      </c>
      <c r="M4" s="120" t="s">
        <v>112</v>
      </c>
      <c r="N4" s="160" t="s">
        <v>113</v>
      </c>
      <c r="O4" s="161"/>
    </row>
    <row r="5" spans="1:15" x14ac:dyDescent="0.25">
      <c r="A5" s="86">
        <v>1</v>
      </c>
      <c r="B5" s="85">
        <f>Results!B3</f>
        <v>0.8</v>
      </c>
      <c r="C5" s="85">
        <f>Results!D3</f>
        <v>0.83666002653407556</v>
      </c>
      <c r="D5" s="73">
        <f>Results!E3</f>
        <v>5</v>
      </c>
      <c r="E5" s="85">
        <f t="shared" ref="E5:E24" si="0">CONFIDENCE(0.05, C5, D5)</f>
        <v>0.73335137205651779</v>
      </c>
      <c r="F5" s="85">
        <f t="shared" ref="F5:F24" si="1">B5-E5</f>
        <v>6.6648627943482253E-2</v>
      </c>
      <c r="G5" s="85">
        <f t="shared" ref="G5:G24" si="2">B5+E5</f>
        <v>1.5333513720565177</v>
      </c>
      <c r="I5" s="87" t="str">
        <f>VLOOKUP(Read_First!B5,Items!A1:BI50,54,FALSE)</f>
        <v>Attraktivität</v>
      </c>
      <c r="J5" s="85">
        <f>AVERAGE(DT!AC4:AC1004)</f>
        <v>1.1666666666666665</v>
      </c>
      <c r="K5" s="85">
        <f>STDEV(DT!AC4:AC1004)</f>
        <v>0.4859126579037753</v>
      </c>
      <c r="L5" s="73">
        <f>MAX(D5:D24)</f>
        <v>5</v>
      </c>
      <c r="M5" s="85">
        <f t="shared" ref="M5:M10" si="3">CONFIDENCE(0.05, K5, L5)</f>
        <v>0.42591339740413636</v>
      </c>
      <c r="N5" s="85">
        <f t="shared" ref="N5:N10" si="4">J5-M5</f>
        <v>0.74075326926253016</v>
      </c>
      <c r="O5" s="85">
        <f t="shared" ref="O5:O10" si="5">J5+M5</f>
        <v>1.5925800640708028</v>
      </c>
    </row>
    <row r="6" spans="1:15" x14ac:dyDescent="0.25">
      <c r="A6" s="13">
        <v>2</v>
      </c>
      <c r="B6" s="11">
        <f>Results!B4</f>
        <v>1.4</v>
      </c>
      <c r="C6" s="11">
        <f>Results!D4</f>
        <v>0.54772255750516596</v>
      </c>
      <c r="D6" s="4">
        <f>Results!E4</f>
        <v>5</v>
      </c>
      <c r="E6" s="11">
        <f t="shared" si="0"/>
        <v>0.48009116763553072</v>
      </c>
      <c r="F6" s="11">
        <f t="shared" si="1"/>
        <v>0.91990883236446919</v>
      </c>
      <c r="G6" s="11">
        <f t="shared" si="2"/>
        <v>1.8800911676355305</v>
      </c>
      <c r="I6" s="10" t="str">
        <f>VLOOKUP(Read_First!B5,Items!A1:BI50,55,FALSE)</f>
        <v>Durchschaubarkeit</v>
      </c>
      <c r="J6" s="11">
        <f>AVERAGE(DT!AD4:AD1004)</f>
        <v>1.25</v>
      </c>
      <c r="K6" s="11">
        <f>STDEV(DT!AD4:AD1004)</f>
        <v>0.55901699437494745</v>
      </c>
      <c r="L6" s="4">
        <f>L5</f>
        <v>5</v>
      </c>
      <c r="M6" s="11">
        <f t="shared" si="3"/>
        <v>0.4899909961350134</v>
      </c>
      <c r="N6" s="11">
        <f t="shared" si="4"/>
        <v>0.7600090038649866</v>
      </c>
      <c r="O6" s="11">
        <f t="shared" si="5"/>
        <v>1.7399909961350133</v>
      </c>
    </row>
    <row r="7" spans="1:15" x14ac:dyDescent="0.25">
      <c r="A7" s="13">
        <v>3</v>
      </c>
      <c r="B7" s="11">
        <f>Results!B5</f>
        <v>0.6</v>
      </c>
      <c r="C7" s="11">
        <f>Results!D5</f>
        <v>1.3416407864998738</v>
      </c>
      <c r="D7" s="4">
        <f>Results!E5</f>
        <v>5</v>
      </c>
      <c r="E7" s="11">
        <f t="shared" si="0"/>
        <v>1.1759783907240322</v>
      </c>
      <c r="F7" s="11">
        <f t="shared" si="1"/>
        <v>-0.57597839072403223</v>
      </c>
      <c r="G7" s="11">
        <f t="shared" si="2"/>
        <v>1.7759783907240321</v>
      </c>
      <c r="I7" s="10" t="str">
        <f>VLOOKUP(Read_First!B5,Items!A1:BI50,56,FALSE)</f>
        <v>Effizienz</v>
      </c>
      <c r="J7" s="11">
        <f>AVERAGE(DT!AE4:AE1004)</f>
        <v>0.7</v>
      </c>
      <c r="K7" s="11">
        <f>STDEV(DT!AE4:AE1004)</f>
        <v>0.90829510622924747</v>
      </c>
      <c r="L7" s="4">
        <f>L6</f>
        <v>5</v>
      </c>
      <c r="M7" s="11">
        <f t="shared" si="3"/>
        <v>0.79614113410533571</v>
      </c>
      <c r="N7" s="11">
        <f t="shared" si="4"/>
        <v>-9.6141134105335757E-2</v>
      </c>
      <c r="O7" s="11">
        <f t="shared" si="5"/>
        <v>1.4961411341053357</v>
      </c>
    </row>
    <row r="8" spans="1:15" x14ac:dyDescent="0.25">
      <c r="A8" s="13">
        <v>4</v>
      </c>
      <c r="B8" s="11">
        <f>Results!B6</f>
        <v>1.8</v>
      </c>
      <c r="C8" s="11">
        <f>Results!D6</f>
        <v>0.83666002653407567</v>
      </c>
      <c r="D8" s="4">
        <f>Results!E6</f>
        <v>5</v>
      </c>
      <c r="E8" s="11">
        <f t="shared" si="0"/>
        <v>0.7333513720565179</v>
      </c>
      <c r="F8" s="11">
        <f t="shared" si="1"/>
        <v>1.0666486279434821</v>
      </c>
      <c r="G8" s="11">
        <f t="shared" si="2"/>
        <v>2.5333513720565177</v>
      </c>
      <c r="I8" s="12" t="str">
        <f>VLOOKUP(Read_First!B5,Items!A1:BI50,57,FALSE)</f>
        <v>Steuerbarkeit</v>
      </c>
      <c r="J8" s="11">
        <f>AVERAGE(DT!AF4:AF1004)</f>
        <v>1.35</v>
      </c>
      <c r="K8" s="11">
        <f>STDEV(DT!AF4:AF1004)</f>
        <v>0.85877820186588327</v>
      </c>
      <c r="L8" s="4">
        <f>L7</f>
        <v>5</v>
      </c>
      <c r="M8" s="11">
        <f t="shared" si="3"/>
        <v>0.75273845129127215</v>
      </c>
      <c r="N8" s="11">
        <f t="shared" si="4"/>
        <v>0.59726154870872794</v>
      </c>
      <c r="O8" s="11">
        <f t="shared" si="5"/>
        <v>2.1027384512912723</v>
      </c>
    </row>
    <row r="9" spans="1:15" x14ac:dyDescent="0.25">
      <c r="A9" s="13">
        <v>5</v>
      </c>
      <c r="B9" s="11">
        <f>Results!B7</f>
        <v>0.6</v>
      </c>
      <c r="C9" s="11">
        <f>Results!D7</f>
        <v>0.54772255750516607</v>
      </c>
      <c r="D9" s="4">
        <f>Results!E7</f>
        <v>5</v>
      </c>
      <c r="E9" s="11">
        <f t="shared" si="0"/>
        <v>0.48009116763553078</v>
      </c>
      <c r="F9" s="11">
        <f t="shared" si="1"/>
        <v>0.1199088323644692</v>
      </c>
      <c r="G9" s="11">
        <f t="shared" si="2"/>
        <v>1.0800911676355307</v>
      </c>
      <c r="I9" s="12" t="str">
        <f>VLOOKUP(Read_First!B5,Items!A1:BI50,58,FALSE)</f>
        <v>Stimulation</v>
      </c>
      <c r="J9" s="11">
        <f>AVERAGE(DT!AG4:AG1004)</f>
        <v>0.7</v>
      </c>
      <c r="K9" s="11">
        <f>STDEV(DT!AG4:AG1004)</f>
        <v>0.27386127875258298</v>
      </c>
      <c r="L9" s="4">
        <f>L8</f>
        <v>5</v>
      </c>
      <c r="M9" s="11">
        <f t="shared" si="3"/>
        <v>0.24004558381776536</v>
      </c>
      <c r="N9" s="11">
        <f t="shared" si="4"/>
        <v>0.45995441618223459</v>
      </c>
      <c r="O9" s="11">
        <f t="shared" si="5"/>
        <v>0.94004558381776526</v>
      </c>
    </row>
    <row r="10" spans="1:15" x14ac:dyDescent="0.25">
      <c r="A10" s="13">
        <v>6</v>
      </c>
      <c r="B10" s="11">
        <f>Results!B8</f>
        <v>0.4</v>
      </c>
      <c r="C10" s="11">
        <f>Results!D8</f>
        <v>0.54772255750516607</v>
      </c>
      <c r="D10" s="4">
        <f>Results!E8</f>
        <v>5</v>
      </c>
      <c r="E10" s="11">
        <f t="shared" si="0"/>
        <v>0.48009116763553078</v>
      </c>
      <c r="F10" s="11">
        <f t="shared" si="1"/>
        <v>-8.0091167635530758E-2</v>
      </c>
      <c r="G10" s="11">
        <f t="shared" si="2"/>
        <v>0.88009116763553075</v>
      </c>
      <c r="I10" s="10" t="str">
        <f>VLOOKUP(Read_First!B5,Items!A1:BI50,59,FALSE)</f>
        <v>Originalität</v>
      </c>
      <c r="J10" s="11">
        <f>AVERAGE(DT!AH4:AH1004)</f>
        <v>1</v>
      </c>
      <c r="K10" s="11">
        <f>STDEV(DT!AH4:AH1004)</f>
        <v>0.58630196997792872</v>
      </c>
      <c r="L10" s="4">
        <f>L9</f>
        <v>5</v>
      </c>
      <c r="M10" s="11">
        <f t="shared" si="3"/>
        <v>0.51390689227010866</v>
      </c>
      <c r="N10" s="11">
        <f t="shared" si="4"/>
        <v>0.48609310772989134</v>
      </c>
      <c r="O10" s="11">
        <f t="shared" si="5"/>
        <v>1.5139068922701087</v>
      </c>
    </row>
    <row r="11" spans="1:15" x14ac:dyDescent="0.25">
      <c r="A11" s="13">
        <v>7</v>
      </c>
      <c r="B11" s="11">
        <f>Results!B9</f>
        <v>1.2</v>
      </c>
      <c r="C11" s="11">
        <f>Results!D9</f>
        <v>0.44721359549995787</v>
      </c>
      <c r="D11" s="4">
        <f>Results!E9</f>
        <v>5</v>
      </c>
      <c r="E11" s="11">
        <f t="shared" si="0"/>
        <v>0.39199279690801064</v>
      </c>
      <c r="F11" s="11">
        <f t="shared" si="1"/>
        <v>0.80800720309198937</v>
      </c>
      <c r="G11" s="11">
        <f t="shared" si="2"/>
        <v>1.5919927969080105</v>
      </c>
    </row>
    <row r="12" spans="1:15" x14ac:dyDescent="0.25">
      <c r="A12" s="13">
        <v>8</v>
      </c>
      <c r="B12" s="11">
        <f>Results!B10</f>
        <v>1.2</v>
      </c>
      <c r="C12" s="11">
        <f>Results!D10</f>
        <v>1.3038404810405297</v>
      </c>
      <c r="D12" s="4">
        <f>Results!E10</f>
        <v>5</v>
      </c>
      <c r="E12" s="11">
        <f t="shared" si="0"/>
        <v>1.142845570948237</v>
      </c>
      <c r="F12" s="11">
        <f t="shared" si="1"/>
        <v>5.7154429051762934E-2</v>
      </c>
      <c r="G12" s="11">
        <f t="shared" si="2"/>
        <v>2.3428455709482368</v>
      </c>
    </row>
    <row r="13" spans="1:15" x14ac:dyDescent="0.25">
      <c r="A13" s="13">
        <v>9</v>
      </c>
      <c r="B13" s="11">
        <f>Results!B11</f>
        <v>0.8</v>
      </c>
      <c r="C13" s="11">
        <f>Results!D11</f>
        <v>1.0954451150103321</v>
      </c>
      <c r="D13" s="4">
        <f>Results!E11</f>
        <v>5</v>
      </c>
      <c r="E13" s="11">
        <f t="shared" si="0"/>
        <v>0.96018233527106156</v>
      </c>
      <c r="F13" s="11">
        <f t="shared" si="1"/>
        <v>-0.16018233527106152</v>
      </c>
      <c r="G13" s="11">
        <f t="shared" si="2"/>
        <v>1.7601823352710615</v>
      </c>
      <c r="I13" s="15"/>
    </row>
    <row r="14" spans="1:15" x14ac:dyDescent="0.25">
      <c r="A14" s="13">
        <v>10</v>
      </c>
      <c r="B14" s="11">
        <f>Results!B12</f>
        <v>0.8</v>
      </c>
      <c r="C14" s="11">
        <f>Results!D12</f>
        <v>0.44721359549995787</v>
      </c>
      <c r="D14" s="4">
        <f>Results!E12</f>
        <v>5</v>
      </c>
      <c r="E14" s="11">
        <f t="shared" si="0"/>
        <v>0.39199279690801064</v>
      </c>
      <c r="F14" s="11">
        <f t="shared" si="1"/>
        <v>0.4080072030919894</v>
      </c>
      <c r="G14" s="11">
        <f t="shared" si="2"/>
        <v>1.1919927969080106</v>
      </c>
    </row>
    <row r="15" spans="1:15" x14ac:dyDescent="0.25">
      <c r="A15" s="13">
        <v>11</v>
      </c>
      <c r="B15" s="11">
        <f>Results!B13</f>
        <v>1.8</v>
      </c>
      <c r="C15" s="11">
        <f>Results!D13</f>
        <v>0.44721359549995815</v>
      </c>
      <c r="D15" s="4">
        <f>Results!E13</f>
        <v>5</v>
      </c>
      <c r="E15" s="11">
        <f t="shared" si="0"/>
        <v>0.39199279690801092</v>
      </c>
      <c r="F15" s="11">
        <f t="shared" si="1"/>
        <v>1.408007203091989</v>
      </c>
      <c r="G15" s="11">
        <f t="shared" si="2"/>
        <v>2.1919927969080111</v>
      </c>
      <c r="J15" s="84"/>
    </row>
    <row r="16" spans="1:15" x14ac:dyDescent="0.25">
      <c r="A16" s="13">
        <v>12</v>
      </c>
      <c r="B16" s="11">
        <f>Results!B14</f>
        <v>1.6</v>
      </c>
      <c r="C16" s="11">
        <f>Results!D14</f>
        <v>0.54772255750516596</v>
      </c>
      <c r="D16" s="4">
        <f>Results!E14</f>
        <v>5</v>
      </c>
      <c r="E16" s="11">
        <f t="shared" si="0"/>
        <v>0.48009116763553072</v>
      </c>
      <c r="F16" s="11">
        <f t="shared" si="1"/>
        <v>1.1199088323644695</v>
      </c>
      <c r="G16" s="11">
        <f t="shared" si="2"/>
        <v>2.0800911676355307</v>
      </c>
    </row>
    <row r="17" spans="1:7" x14ac:dyDescent="0.25">
      <c r="A17" s="13">
        <v>13</v>
      </c>
      <c r="B17" s="11">
        <f>Results!B15</f>
        <v>1.4</v>
      </c>
      <c r="C17" s="11">
        <f>Results!D15</f>
        <v>0.89442719099991574</v>
      </c>
      <c r="D17" s="4">
        <f>Results!E15</f>
        <v>5</v>
      </c>
      <c r="E17" s="11">
        <f t="shared" si="0"/>
        <v>0.78398559381602129</v>
      </c>
      <c r="F17" s="11">
        <f t="shared" si="1"/>
        <v>0.61601440618397862</v>
      </c>
      <c r="G17" s="11">
        <f t="shared" si="2"/>
        <v>2.1839855938160211</v>
      </c>
    </row>
    <row r="18" spans="1:7" x14ac:dyDescent="0.25">
      <c r="A18" s="13">
        <v>14</v>
      </c>
      <c r="B18" s="11">
        <f>Results!B16</f>
        <v>0.6</v>
      </c>
      <c r="C18" s="11">
        <f>Results!D16</f>
        <v>0.89442719099991586</v>
      </c>
      <c r="D18" s="4">
        <f>Results!E16</f>
        <v>5</v>
      </c>
      <c r="E18" s="11">
        <f t="shared" si="0"/>
        <v>0.7839855938160214</v>
      </c>
      <c r="F18" s="11">
        <f t="shared" si="1"/>
        <v>-0.18398559381602142</v>
      </c>
      <c r="G18" s="11">
        <f t="shared" si="2"/>
        <v>1.3839855938160213</v>
      </c>
    </row>
    <row r="19" spans="1:7" x14ac:dyDescent="0.25">
      <c r="A19" s="13">
        <v>15</v>
      </c>
      <c r="B19" s="11">
        <f>Results!B17</f>
        <v>1.8</v>
      </c>
      <c r="C19" s="11">
        <f>Results!D17</f>
        <v>1.0954451150103324</v>
      </c>
      <c r="D19" s="4">
        <f>Results!E17</f>
        <v>5</v>
      </c>
      <c r="E19" s="11">
        <f t="shared" si="0"/>
        <v>0.96018233527106178</v>
      </c>
      <c r="F19" s="11">
        <f t="shared" si="1"/>
        <v>0.83981766472893826</v>
      </c>
      <c r="G19" s="11">
        <f t="shared" si="2"/>
        <v>2.7601823352710619</v>
      </c>
    </row>
    <row r="20" spans="1:7" x14ac:dyDescent="0.25">
      <c r="A20" s="13">
        <v>16</v>
      </c>
      <c r="B20" s="11">
        <f>Results!B18</f>
        <v>1.8</v>
      </c>
      <c r="C20" s="11">
        <f>Results!D18</f>
        <v>0.44721359549995815</v>
      </c>
      <c r="D20" s="4">
        <f>Results!E18</f>
        <v>5</v>
      </c>
      <c r="E20" s="11">
        <f t="shared" si="0"/>
        <v>0.39199279690801092</v>
      </c>
      <c r="F20" s="11">
        <f t="shared" si="1"/>
        <v>1.408007203091989</v>
      </c>
      <c r="G20" s="11">
        <f t="shared" si="2"/>
        <v>2.1919927969080111</v>
      </c>
    </row>
    <row r="21" spans="1:7" x14ac:dyDescent="0.25">
      <c r="A21" s="13">
        <v>17</v>
      </c>
      <c r="B21" s="11">
        <f>Results!B19</f>
        <v>1</v>
      </c>
      <c r="C21" s="11">
        <f>Results!D19</f>
        <v>1.4142135623730951</v>
      </c>
      <c r="D21" s="4">
        <f>Results!E19</f>
        <v>5</v>
      </c>
      <c r="E21" s="11">
        <f t="shared" si="0"/>
        <v>1.2395900646091229</v>
      </c>
      <c r="F21" s="11">
        <f t="shared" si="1"/>
        <v>-0.23959006460912291</v>
      </c>
      <c r="G21" s="11">
        <f t="shared" si="2"/>
        <v>2.2395900646091231</v>
      </c>
    </row>
    <row r="22" spans="1:7" x14ac:dyDescent="0.25">
      <c r="A22" s="13">
        <v>18</v>
      </c>
      <c r="B22" s="11">
        <f>Results!B20</f>
        <v>0.6</v>
      </c>
      <c r="C22" s="11">
        <f>Results!D20</f>
        <v>0.89442719099991586</v>
      </c>
      <c r="D22" s="4">
        <f>Results!E20</f>
        <v>5</v>
      </c>
      <c r="E22" s="11">
        <f t="shared" si="0"/>
        <v>0.7839855938160214</v>
      </c>
      <c r="F22" s="11">
        <f t="shared" si="1"/>
        <v>-0.18398559381602142</v>
      </c>
      <c r="G22" s="11">
        <f t="shared" si="2"/>
        <v>1.3839855938160213</v>
      </c>
    </row>
    <row r="23" spans="1:7" x14ac:dyDescent="0.25">
      <c r="A23" s="13">
        <v>19</v>
      </c>
      <c r="B23" s="11">
        <f>Results!B21</f>
        <v>1.4</v>
      </c>
      <c r="C23" s="11">
        <f>Results!D21</f>
        <v>0.54772255750516596</v>
      </c>
      <c r="D23" s="4">
        <f>Results!E21</f>
        <v>5</v>
      </c>
      <c r="E23" s="11">
        <f t="shared" si="0"/>
        <v>0.48009116763553072</v>
      </c>
      <c r="F23" s="11">
        <f t="shared" si="1"/>
        <v>0.91990883236446919</v>
      </c>
      <c r="G23" s="11">
        <f t="shared" si="2"/>
        <v>1.8800911676355305</v>
      </c>
    </row>
    <row r="24" spans="1:7" x14ac:dyDescent="0.25">
      <c r="A24" s="13">
        <v>20</v>
      </c>
      <c r="B24" s="11">
        <f>Results!B22</f>
        <v>1.2</v>
      </c>
      <c r="C24" s="11">
        <f>Results!D22</f>
        <v>0.83666002653407556</v>
      </c>
      <c r="D24" s="4">
        <f>Results!E22</f>
        <v>5</v>
      </c>
      <c r="E24" s="11">
        <f t="shared" si="0"/>
        <v>0.73335137205651779</v>
      </c>
      <c r="F24" s="11">
        <f t="shared" si="1"/>
        <v>0.46664862794348216</v>
      </c>
      <c r="G24" s="11">
        <f t="shared" si="2"/>
        <v>1.9333513720565176</v>
      </c>
    </row>
    <row r="25" spans="1:7" x14ac:dyDescent="0.25">
      <c r="A25" s="14">
        <v>21</v>
      </c>
      <c r="B25" s="11">
        <f>Results!B23</f>
        <v>0.4</v>
      </c>
      <c r="C25" s="11">
        <f>Results!D23</f>
        <v>0.89442719099991586</v>
      </c>
      <c r="D25" s="4">
        <f>Results!E23</f>
        <v>5</v>
      </c>
      <c r="E25" s="11">
        <f t="shared" ref="E25:E30" si="6">CONFIDENCE(0.05, C25, D25)</f>
        <v>0.7839855938160214</v>
      </c>
      <c r="F25" s="11">
        <f t="shared" ref="F25:F30" si="7">B25-E25</f>
        <v>-0.38398559381602138</v>
      </c>
      <c r="G25" s="11">
        <f t="shared" ref="G25:G30" si="8">B25+E25</f>
        <v>1.1839855938160215</v>
      </c>
    </row>
    <row r="26" spans="1:7" x14ac:dyDescent="0.25">
      <c r="A26" s="14">
        <v>22</v>
      </c>
      <c r="B26" s="11">
        <f>Results!B24</f>
        <v>0.8</v>
      </c>
      <c r="C26" s="11">
        <f>Results!D24</f>
        <v>0.44721359549995787</v>
      </c>
      <c r="D26" s="4">
        <f>Results!E24</f>
        <v>5</v>
      </c>
      <c r="E26" s="11">
        <f t="shared" si="6"/>
        <v>0.39199279690801064</v>
      </c>
      <c r="F26" s="11">
        <f t="shared" si="7"/>
        <v>0.4080072030919894</v>
      </c>
      <c r="G26" s="11">
        <f t="shared" si="8"/>
        <v>1.1919927969080106</v>
      </c>
    </row>
    <row r="27" spans="1:7" x14ac:dyDescent="0.25">
      <c r="A27" s="14">
        <v>23</v>
      </c>
      <c r="B27" s="11">
        <f>Results!B25</f>
        <v>0</v>
      </c>
      <c r="C27" s="11">
        <f>Results!D25</f>
        <v>1.8708286933869707</v>
      </c>
      <c r="D27" s="4">
        <f>Results!E25</f>
        <v>5</v>
      </c>
      <c r="E27" s="11">
        <f t="shared" si="6"/>
        <v>1.6398235193111135</v>
      </c>
      <c r="F27" s="11">
        <f t="shared" si="7"/>
        <v>-1.6398235193111135</v>
      </c>
      <c r="G27" s="11">
        <f t="shared" si="8"/>
        <v>1.6398235193111135</v>
      </c>
    </row>
    <row r="28" spans="1:7" x14ac:dyDescent="0.25">
      <c r="A28" s="14">
        <v>24</v>
      </c>
      <c r="B28" s="11">
        <f>Results!B26</f>
        <v>1</v>
      </c>
      <c r="C28" s="11">
        <f>Results!D26</f>
        <v>1</v>
      </c>
      <c r="D28" s="4">
        <f>Results!E26</f>
        <v>5</v>
      </c>
      <c r="E28" s="11">
        <f t="shared" si="6"/>
        <v>0.8765225405765813</v>
      </c>
      <c r="F28" s="11">
        <f t="shared" si="7"/>
        <v>0.1234774594234187</v>
      </c>
      <c r="G28" s="11">
        <f t="shared" si="8"/>
        <v>1.8765225405765813</v>
      </c>
    </row>
    <row r="29" spans="1:7" x14ac:dyDescent="0.25">
      <c r="A29" s="14">
        <v>25</v>
      </c>
      <c r="B29" s="11">
        <f>Results!B27</f>
        <v>1.2</v>
      </c>
      <c r="C29" s="11">
        <f>Results!D27</f>
        <v>0.83666002653407556</v>
      </c>
      <c r="D29" s="4">
        <f>Results!E27</f>
        <v>5</v>
      </c>
      <c r="E29" s="11">
        <f t="shared" si="6"/>
        <v>0.73335137205651779</v>
      </c>
      <c r="F29" s="11">
        <f t="shared" si="7"/>
        <v>0.46664862794348216</v>
      </c>
      <c r="G29" s="11">
        <f t="shared" si="8"/>
        <v>1.9333513720565176</v>
      </c>
    </row>
    <row r="30" spans="1:7" x14ac:dyDescent="0.25">
      <c r="A30" s="14">
        <v>26</v>
      </c>
      <c r="B30" s="11">
        <f>Results!B28</f>
        <v>0.8</v>
      </c>
      <c r="C30" s="11">
        <f>Results!D28</f>
        <v>0.44721359549995787</v>
      </c>
      <c r="D30" s="4">
        <f>Results!E28</f>
        <v>5</v>
      </c>
      <c r="E30" s="11">
        <f t="shared" si="6"/>
        <v>0.39199279690801064</v>
      </c>
      <c r="F30" s="11">
        <f t="shared" si="7"/>
        <v>0.4080072030919894</v>
      </c>
      <c r="G30" s="11">
        <f t="shared" si="8"/>
        <v>1.1919927969080106</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 workbookViewId="0">
      <selection activeCell="B3" sqref="B3:B28"/>
    </sheetView>
  </sheetViews>
  <sheetFormatPr baseColWidth="10" defaultColWidth="8.85546875" defaultRowHeight="15" x14ac:dyDescent="0.2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x14ac:dyDescent="0.25">
      <c r="A1" s="164" t="s">
        <v>1292</v>
      </c>
      <c r="B1" s="158"/>
      <c r="C1" s="158"/>
      <c r="D1" s="158"/>
      <c r="E1" s="158"/>
      <c r="F1" s="158"/>
      <c r="G1" s="158"/>
      <c r="H1" s="158"/>
      <c r="I1" s="158"/>
      <c r="J1" s="158"/>
      <c r="K1" s="158"/>
    </row>
    <row r="2" spans="1:11" x14ac:dyDescent="0.25">
      <c r="A2" s="88" t="s">
        <v>1299</v>
      </c>
      <c r="B2" s="89" t="s">
        <v>2</v>
      </c>
      <c r="C2" s="90">
        <v>1</v>
      </c>
      <c r="D2" s="92">
        <v>2</v>
      </c>
      <c r="E2" s="92">
        <v>3</v>
      </c>
      <c r="F2" s="92">
        <v>4</v>
      </c>
      <c r="G2" s="92">
        <v>5</v>
      </c>
      <c r="H2" s="92">
        <v>6</v>
      </c>
      <c r="I2" s="92">
        <v>7</v>
      </c>
      <c r="J2" s="70" t="s">
        <v>110</v>
      </c>
    </row>
    <row r="3" spans="1:11" x14ac:dyDescent="0.25">
      <c r="A3" s="2">
        <v>1</v>
      </c>
      <c r="B3" s="1" t="str">
        <f>_xlfn.CONCAT(Results!F3,"/",Results!G3)</f>
        <v>unerfreulich/erfreulich</v>
      </c>
      <c r="C3" s="1">
        <f>COUNTIF(DT!A4:A1004,"-3")</f>
        <v>0</v>
      </c>
      <c r="D3" s="1">
        <f>COUNTIF(DT!A4:A1004,"-2")</f>
        <v>0</v>
      </c>
      <c r="E3" s="1">
        <f>COUNTIF(DT!A4:A1004,"-1")</f>
        <v>0</v>
      </c>
      <c r="F3" s="1">
        <f>COUNTIF(DT!A4:A1004,"0")</f>
        <v>2</v>
      </c>
      <c r="G3" s="1">
        <f>COUNTIF(DT!A4:A1004,"1")</f>
        <v>2</v>
      </c>
      <c r="H3" s="1">
        <f>COUNTIF(DT!A4:A1004,"2")</f>
        <v>1</v>
      </c>
      <c r="I3" s="1">
        <f>COUNTIF(DT!A4:A1004,"3")</f>
        <v>0</v>
      </c>
      <c r="J3" s="28" t="str">
        <f>Results!H3</f>
        <v>Attraktivität</v>
      </c>
    </row>
    <row r="4" spans="1:11" x14ac:dyDescent="0.25">
      <c r="A4" s="2">
        <v>2</v>
      </c>
      <c r="B4" s="1" t="str">
        <f>_xlfn.CONCAT(Results!F4,"/",Results!G4)</f>
        <v>unverständlich/verständlich</v>
      </c>
      <c r="C4" s="1">
        <f>COUNTIF(DT!B4:B1004,"-3")</f>
        <v>0</v>
      </c>
      <c r="D4" s="1">
        <f>COUNTIF(DT!B4:B1004,"-2")</f>
        <v>0</v>
      </c>
      <c r="E4" s="1">
        <f>COUNTIF(DT!B4:B1004,"-1")</f>
        <v>0</v>
      </c>
      <c r="F4" s="1">
        <f>COUNTIF(DT!B4:B1004,"0")</f>
        <v>0</v>
      </c>
      <c r="G4" s="1">
        <f>COUNTIF(DT!B4:B1004,"1")</f>
        <v>3</v>
      </c>
      <c r="H4" s="1">
        <f>COUNTIF(DT!B4:B1004,"2")</f>
        <v>2</v>
      </c>
      <c r="I4" s="1">
        <f>COUNTIF(DT!B4:B1004,"3")</f>
        <v>0</v>
      </c>
      <c r="J4" s="28" t="str">
        <f>Results!H4</f>
        <v>Durchschaubarkeit</v>
      </c>
    </row>
    <row r="5" spans="1:11" x14ac:dyDescent="0.25">
      <c r="A5" s="2">
        <v>3</v>
      </c>
      <c r="B5" s="1" t="str">
        <f>_xlfn.CONCAT(Results!G5,"/",Results!F5)</f>
        <v>phantasielos/kreativ</v>
      </c>
      <c r="C5" s="1">
        <f>COUNTIF(DT!C4:C1004,"-3")</f>
        <v>0</v>
      </c>
      <c r="D5" s="1">
        <f>COUNTIF(DT!C4:C1004,"-2")</f>
        <v>0</v>
      </c>
      <c r="E5" s="1">
        <f>COUNTIF(DT!C4:C1004,"-1")</f>
        <v>1</v>
      </c>
      <c r="F5" s="1">
        <f>COUNTIF(DT!C4:C1004,"0")</f>
        <v>2</v>
      </c>
      <c r="G5" s="1">
        <f>COUNTIF(DT!C4:C1004,"1")</f>
        <v>0</v>
      </c>
      <c r="H5" s="1">
        <f>COUNTIF(DT!C4:C1004,"2")</f>
        <v>2</v>
      </c>
      <c r="I5" s="1">
        <f>COUNTIF(DT!C4:C1004,"3")</f>
        <v>0</v>
      </c>
      <c r="J5" s="28" t="str">
        <f>Results!H5</f>
        <v>Originalität</v>
      </c>
    </row>
    <row r="6" spans="1:11" x14ac:dyDescent="0.25">
      <c r="A6" s="2">
        <v>4</v>
      </c>
      <c r="B6" s="1" t="str">
        <f>_xlfn.CONCAT(Results!G6,"/",Results!F6)</f>
        <v>schwer zu lernen/leicht zu lernen</v>
      </c>
      <c r="C6" s="1">
        <f>COUNTIF(DT!D4:D1004,"-3")</f>
        <v>0</v>
      </c>
      <c r="D6" s="1">
        <f>COUNTIF(DT!D4:D1004,"-2")</f>
        <v>0</v>
      </c>
      <c r="E6" s="1">
        <f>COUNTIF(DT!D4:D1004,"-1")</f>
        <v>0</v>
      </c>
      <c r="F6" s="1">
        <f>COUNTIF(DT!D4:D1004,"0")</f>
        <v>0</v>
      </c>
      <c r="G6" s="1">
        <f>COUNTIF(DT!D4:D1004,"1")</f>
        <v>2</v>
      </c>
      <c r="H6" s="1">
        <f>COUNTIF(DT!D4:D1004,"2")</f>
        <v>2</v>
      </c>
      <c r="I6" s="1">
        <f>COUNTIF(DT!D4:D1004,"3")</f>
        <v>1</v>
      </c>
      <c r="J6" s="28" t="str">
        <f>Results!H6</f>
        <v>Durchschaubarkeit</v>
      </c>
    </row>
    <row r="7" spans="1:11" x14ac:dyDescent="0.25">
      <c r="A7" s="2">
        <v>5</v>
      </c>
      <c r="B7" s="1" t="str">
        <f>_xlfn.CONCAT(Results!G7,"/",Results!F7)</f>
        <v>minderwertig/wertvoll</v>
      </c>
      <c r="C7" s="1">
        <f>COUNTIF(DT!E4:E1004,"-3")</f>
        <v>0</v>
      </c>
      <c r="D7" s="1">
        <f>COUNTIF(DT!E4:E1004,"-2")</f>
        <v>0</v>
      </c>
      <c r="E7" s="1">
        <f>COUNTIF(DT!E4:E1004,"-1")</f>
        <v>0</v>
      </c>
      <c r="F7" s="1">
        <f>COUNTIF(DT!E4:E1004,"0")</f>
        <v>2</v>
      </c>
      <c r="G7" s="1">
        <f>COUNTIF(DT!E4:E1004,"1")</f>
        <v>3</v>
      </c>
      <c r="H7" s="1">
        <f>COUNTIF(DT!E4:E1004,"2")</f>
        <v>0</v>
      </c>
      <c r="I7" s="1">
        <f>COUNTIF(DT!E4:E1004,"3")</f>
        <v>0</v>
      </c>
      <c r="J7" s="29" t="str">
        <f>Results!H7</f>
        <v>Stimulation</v>
      </c>
    </row>
    <row r="8" spans="1:11" x14ac:dyDescent="0.25">
      <c r="A8" s="2">
        <v>6</v>
      </c>
      <c r="B8" s="1" t="str">
        <f>_xlfn.CONCAT(Results!F8,"/",Results!G8)</f>
        <v>langweilig/spannend</v>
      </c>
      <c r="C8" s="1">
        <f>COUNTIF(DT!F4:F1004,"-3")</f>
        <v>0</v>
      </c>
      <c r="D8" s="1">
        <f>COUNTIF(DT!F4:F1004,"-2")</f>
        <v>0</v>
      </c>
      <c r="E8" s="1">
        <f>COUNTIF(DT!F4:F1004,"-1")</f>
        <v>0</v>
      </c>
      <c r="F8" s="1">
        <f>COUNTIF(DT!F4:F1004,"0")</f>
        <v>3</v>
      </c>
      <c r="G8" s="1">
        <f>COUNTIF(DT!F4:F1004,"1")</f>
        <v>2</v>
      </c>
      <c r="H8" s="1">
        <f>COUNTIF(DT!F4:F1004,"2")</f>
        <v>0</v>
      </c>
      <c r="I8" s="1">
        <f>COUNTIF(DT!F4:F1004,"3")</f>
        <v>0</v>
      </c>
      <c r="J8" s="29" t="str">
        <f>Results!H8</f>
        <v>Stimulation</v>
      </c>
    </row>
    <row r="9" spans="1:11" x14ac:dyDescent="0.25">
      <c r="A9" s="2">
        <v>7</v>
      </c>
      <c r="B9" s="1" t="str">
        <f>_xlfn.CONCAT(Results!F9,"/",Results!G9)</f>
        <v>uninteressant/interessant</v>
      </c>
      <c r="C9" s="1">
        <f>COUNTIF(DT!G4:G1004,"-3")</f>
        <v>0</v>
      </c>
      <c r="D9" s="1">
        <f>COUNTIF(DT!G4:G1004,"-2")</f>
        <v>0</v>
      </c>
      <c r="E9" s="1">
        <f>COUNTIF(DT!G4:G1004,"-1")</f>
        <v>0</v>
      </c>
      <c r="F9" s="1">
        <f>COUNTIF(DT!G4:G1004,"0")</f>
        <v>0</v>
      </c>
      <c r="G9" s="1">
        <f>COUNTIF(DT!G4:G1004,"1")</f>
        <v>4</v>
      </c>
      <c r="H9" s="1">
        <f>COUNTIF(DT!G4:G1004,"2")</f>
        <v>1</v>
      </c>
      <c r="I9" s="1">
        <f>COUNTIF(DT!G4:G1004,"3")</f>
        <v>0</v>
      </c>
      <c r="J9" s="29" t="str">
        <f>Results!H9</f>
        <v>Stimulation</v>
      </c>
    </row>
    <row r="10" spans="1:11" x14ac:dyDescent="0.25">
      <c r="A10" s="2">
        <v>8</v>
      </c>
      <c r="B10" s="1" t="str">
        <f>_xlfn.CONCAT(Results!F10,"/",Results!G10)</f>
        <v>unberechenbar/voraussagbar</v>
      </c>
      <c r="C10" s="1">
        <f>COUNTIF(DT!H4:H1004,"-3")</f>
        <v>0</v>
      </c>
      <c r="D10" s="1">
        <f>COUNTIF(DT!H4:H1004,"-2")</f>
        <v>0</v>
      </c>
      <c r="E10" s="1">
        <f>COUNTIF(DT!H4:H1004,"-1")</f>
        <v>0</v>
      </c>
      <c r="F10" s="1">
        <f>COUNTIF(DT!H4:H1004,"0")</f>
        <v>2</v>
      </c>
      <c r="G10" s="1">
        <f>COUNTIF(DT!H4:H1004,"1")</f>
        <v>1</v>
      </c>
      <c r="H10" s="1">
        <f>COUNTIF(DT!H4:H1004,"2")</f>
        <v>1</v>
      </c>
      <c r="I10" s="1">
        <f>COUNTIF(DT!H4:H1004,"3")</f>
        <v>1</v>
      </c>
      <c r="J10" s="28" t="str">
        <f>Results!H10</f>
        <v>Steuerbarkeit</v>
      </c>
    </row>
    <row r="11" spans="1:11" x14ac:dyDescent="0.25">
      <c r="A11" s="2">
        <v>9</v>
      </c>
      <c r="B11" s="1" t="str">
        <f>_xlfn.CONCAT(Results!G11,"/",Results!F11)</f>
        <v>langsam/schnell</v>
      </c>
      <c r="C11" s="1">
        <f>COUNTIF(DT!I4:I1004,"-3")</f>
        <v>0</v>
      </c>
      <c r="D11" s="1">
        <f>COUNTIF(DT!I4:I1004,"-2")</f>
        <v>0</v>
      </c>
      <c r="E11" s="1">
        <f>COUNTIF(DT!I4:I1004,"-1")</f>
        <v>0</v>
      </c>
      <c r="F11" s="1">
        <f>COUNTIF(DT!I4:I1004,"0")</f>
        <v>3</v>
      </c>
      <c r="G11" s="1">
        <f>COUNTIF(DT!I4:I1004,"1")</f>
        <v>0</v>
      </c>
      <c r="H11" s="1">
        <f>COUNTIF(DT!I4:I1004,"2")</f>
        <v>2</v>
      </c>
      <c r="I11" s="1">
        <f>COUNTIF(DT!I4:I1004,"3")</f>
        <v>0</v>
      </c>
      <c r="J11" s="28" t="str">
        <f>Results!H11</f>
        <v>Effizienz</v>
      </c>
    </row>
    <row r="12" spans="1:11" x14ac:dyDescent="0.25">
      <c r="A12" s="2">
        <v>10</v>
      </c>
      <c r="B12" s="1" t="str">
        <f>_xlfn.CONCAT(Results!G12,"/",Results!F12)</f>
        <v>konventionell/originell</v>
      </c>
      <c r="C12" s="1">
        <f>COUNTIF(DT!J4:J1004,"-3")</f>
        <v>0</v>
      </c>
      <c r="D12" s="1">
        <f>COUNTIF(DT!J4:J1004,"-2")</f>
        <v>0</v>
      </c>
      <c r="E12" s="1">
        <f>COUNTIF(DT!J4:J1004,"-1")</f>
        <v>0</v>
      </c>
      <c r="F12" s="1">
        <f>COUNTIF(DT!J4:J1004,"0")</f>
        <v>1</v>
      </c>
      <c r="G12" s="1">
        <f>COUNTIF(DT!J4:J1004,"1")</f>
        <v>4</v>
      </c>
      <c r="H12" s="1">
        <f>COUNTIF(DT!J4:J1004,"2")</f>
        <v>0</v>
      </c>
      <c r="I12" s="1">
        <f>COUNTIF(DT!J4:J1004,"3")</f>
        <v>0</v>
      </c>
      <c r="J12" s="28" t="str">
        <f>Results!H12</f>
        <v>Originalität</v>
      </c>
    </row>
    <row r="13" spans="1:11" x14ac:dyDescent="0.25">
      <c r="A13" s="2">
        <v>11</v>
      </c>
      <c r="B13" s="1" t="str">
        <f>_xlfn.CONCAT(Results!F13,"/",Results!G13)</f>
        <v>behindernd/unterstützend</v>
      </c>
      <c r="C13" s="1">
        <f>COUNTIF(DT!K4:K1004,"-3")</f>
        <v>0</v>
      </c>
      <c r="D13" s="1">
        <f>COUNTIF(DT!K4:K1004,"-2")</f>
        <v>0</v>
      </c>
      <c r="E13" s="1">
        <f>COUNTIF(DT!K4:K1004,"-1")</f>
        <v>0</v>
      </c>
      <c r="F13" s="1">
        <f>COUNTIF(DT!K4:K1004,"0")</f>
        <v>0</v>
      </c>
      <c r="G13" s="1">
        <f>COUNTIF(DT!K4:K1004,"1")</f>
        <v>1</v>
      </c>
      <c r="H13" s="1">
        <f>COUNTIF(DT!K4:K1004,"2")</f>
        <v>4</v>
      </c>
      <c r="I13" s="1">
        <f>COUNTIF(DT!K4:K1004,"3")</f>
        <v>0</v>
      </c>
      <c r="J13" s="28" t="str">
        <f>Results!H13</f>
        <v>Steuerbarkeit</v>
      </c>
    </row>
    <row r="14" spans="1:11" x14ac:dyDescent="0.25">
      <c r="A14" s="2">
        <v>12</v>
      </c>
      <c r="B14" s="1" t="str">
        <f>_xlfn.CONCAT(Results!G14,"/",Results!F14)</f>
        <v xml:space="preserve">schlecht/gut </v>
      </c>
      <c r="C14" s="1">
        <f>COUNTIF(DT!L4:L1004,"-3")</f>
        <v>0</v>
      </c>
      <c r="D14" s="1">
        <f>COUNTIF(DT!L4:L1004,"-2")</f>
        <v>0</v>
      </c>
      <c r="E14" s="1">
        <f>COUNTIF(DT!L4:L1004,"-1")</f>
        <v>0</v>
      </c>
      <c r="F14" s="1">
        <f>COUNTIF(DT!L4:L1004,"0")</f>
        <v>0</v>
      </c>
      <c r="G14" s="1">
        <f>COUNTIF(DT!L4:L1004,"1")</f>
        <v>2</v>
      </c>
      <c r="H14" s="1">
        <f>COUNTIF(DT!L4:L1004,"2")</f>
        <v>3</v>
      </c>
      <c r="I14" s="1">
        <f>COUNTIF(DT!L4:L1004,"3")</f>
        <v>0</v>
      </c>
      <c r="J14" s="28" t="str">
        <f>Results!H14</f>
        <v>Attraktivität</v>
      </c>
    </row>
    <row r="15" spans="1:11" x14ac:dyDescent="0.25">
      <c r="A15" s="2">
        <v>13</v>
      </c>
      <c r="B15" s="1" t="str">
        <f>_xlfn.CONCAT(Results!F15,"/",Results!G15)</f>
        <v>kompliziert/einfach</v>
      </c>
      <c r="C15" s="1">
        <f>COUNTIF(DT!M4:M1004,"-3")</f>
        <v>0</v>
      </c>
      <c r="D15" s="1">
        <f>COUNTIF(DT!M4:M1004,"-2")</f>
        <v>0</v>
      </c>
      <c r="E15" s="1">
        <f>COUNTIF(DT!M4:M1004,"-1")</f>
        <v>0</v>
      </c>
      <c r="F15" s="1">
        <f>COUNTIF(DT!M4:M1004,"0")</f>
        <v>1</v>
      </c>
      <c r="G15" s="1">
        <f>COUNTIF(DT!M4:M1004,"1")</f>
        <v>1</v>
      </c>
      <c r="H15" s="1">
        <f>COUNTIF(DT!M4:M1004,"2")</f>
        <v>3</v>
      </c>
      <c r="I15" s="1">
        <f>COUNTIF(DT!M4:M1004,"3")</f>
        <v>0</v>
      </c>
      <c r="J15" s="28" t="str">
        <f>Results!H15</f>
        <v>Durchschaubarkeit</v>
      </c>
    </row>
    <row r="16" spans="1:11" x14ac:dyDescent="0.25">
      <c r="A16" s="2">
        <v>14</v>
      </c>
      <c r="B16" s="1" t="str">
        <f>_xlfn.CONCAT(Results!F16,"/",Results!G16)</f>
        <v>abstoßend/anziehend</v>
      </c>
      <c r="C16" s="1">
        <f>COUNTIF(DT!N4:N1004,"-3")</f>
        <v>0</v>
      </c>
      <c r="D16" s="1">
        <f>COUNTIF(DT!N4:N1004,"-2")</f>
        <v>0</v>
      </c>
      <c r="E16" s="1">
        <f>COUNTIF(DT!N4:N1004,"-1")</f>
        <v>0</v>
      </c>
      <c r="F16" s="1">
        <f>COUNTIF(DT!N4:N1004,"0")</f>
        <v>3</v>
      </c>
      <c r="G16" s="1">
        <f>COUNTIF(DT!N4:N1004,"1")</f>
        <v>1</v>
      </c>
      <c r="H16" s="1">
        <f>COUNTIF(DT!N4:N1004,"2")</f>
        <v>1</v>
      </c>
      <c r="I16" s="1">
        <f>COUNTIF(DT!N4:N1004,"3")</f>
        <v>0</v>
      </c>
      <c r="J16" s="28" t="str">
        <f>Results!H16</f>
        <v>Attraktivität</v>
      </c>
    </row>
    <row r="17" spans="1:10" x14ac:dyDescent="0.25">
      <c r="A17" s="2">
        <v>15</v>
      </c>
      <c r="B17" s="1" t="str">
        <f>_xlfn.CONCAT(Results!F17,"/",Results!G17)</f>
        <v>herkömmlich/neuartig</v>
      </c>
      <c r="C17" s="1">
        <f>COUNTIF(DT!O4:O1004,"-3")</f>
        <v>0</v>
      </c>
      <c r="D17" s="1">
        <f>COUNTIF(DT!O4:O1004,"-2")</f>
        <v>0</v>
      </c>
      <c r="E17" s="1">
        <f>COUNTIF(DT!O4:O1004,"-1")</f>
        <v>0</v>
      </c>
      <c r="F17" s="1">
        <f>COUNTIF(DT!O4:O1004,"0")</f>
        <v>1</v>
      </c>
      <c r="G17" s="1">
        <f>COUNTIF(DT!O4:O1004,"1")</f>
        <v>0</v>
      </c>
      <c r="H17" s="1">
        <f>COUNTIF(DT!O4:O1004,"2")</f>
        <v>3</v>
      </c>
      <c r="I17" s="1">
        <f>COUNTIF(DT!O4:O1004,"3")</f>
        <v>1</v>
      </c>
      <c r="J17" s="28" t="str">
        <f>Results!H17</f>
        <v>Originalität</v>
      </c>
    </row>
    <row r="18" spans="1:10" x14ac:dyDescent="0.25">
      <c r="A18" s="2">
        <v>16</v>
      </c>
      <c r="B18" s="1" t="str">
        <f>_xlfn.CONCAT(Results!F18,"/",Results!G18)</f>
        <v>unangenehm/angenehm</v>
      </c>
      <c r="C18" s="1">
        <f>COUNTIF(DT!P4:P1004,"-3")</f>
        <v>0</v>
      </c>
      <c r="D18" s="1">
        <f>COUNTIF(DT!P4:P1004,"-2")</f>
        <v>0</v>
      </c>
      <c r="E18" s="1">
        <f>COUNTIF(DT!P4:P1004,"-1")</f>
        <v>0</v>
      </c>
      <c r="F18" s="1">
        <f>COUNTIF(DT!P4:P1004,"0")</f>
        <v>0</v>
      </c>
      <c r="G18" s="1">
        <f>COUNTIF(DT!P4:P1004,"1")</f>
        <v>1</v>
      </c>
      <c r="H18" s="1">
        <f>COUNTIF(DT!P4:P1004,"2")</f>
        <v>4</v>
      </c>
      <c r="I18" s="1">
        <f>COUNTIF(DT!P4:P1004,"3")</f>
        <v>0</v>
      </c>
      <c r="J18" s="28" t="str">
        <f>Results!H18</f>
        <v>Attraktivität</v>
      </c>
    </row>
    <row r="19" spans="1:10" x14ac:dyDescent="0.25">
      <c r="A19" s="2">
        <v>17</v>
      </c>
      <c r="B19" s="1" t="str">
        <f>_xlfn.CONCAT(Results!G19,"/",Results!F19)</f>
        <v xml:space="preserve">unsicher/sicher </v>
      </c>
      <c r="C19" s="1">
        <f>COUNTIF(DT!Q4:Q1004,"-3")</f>
        <v>0</v>
      </c>
      <c r="D19" s="1">
        <f>COUNTIF(DT!Q4:Q1004,"-2")</f>
        <v>0</v>
      </c>
      <c r="E19" s="1">
        <f>COUNTIF(DT!Q4:Q1004,"-1")</f>
        <v>0</v>
      </c>
      <c r="F19" s="1">
        <f>COUNTIF(DT!Q4:Q1004,"0")</f>
        <v>3</v>
      </c>
      <c r="G19" s="1">
        <f>COUNTIF(DT!Q4:Q1004,"1")</f>
        <v>0</v>
      </c>
      <c r="H19" s="1">
        <f>COUNTIF(DT!Q4:Q1004,"2")</f>
        <v>1</v>
      </c>
      <c r="I19" s="1">
        <f>COUNTIF(DT!Q4:Q1004,"3")</f>
        <v>1</v>
      </c>
      <c r="J19" s="28" t="str">
        <f>Results!H19</f>
        <v>Steuerbarkeit</v>
      </c>
    </row>
    <row r="20" spans="1:10" x14ac:dyDescent="0.25">
      <c r="A20" s="2">
        <v>18</v>
      </c>
      <c r="B20" s="1" t="str">
        <f>_xlfn.CONCAT(Results!F20,"/",Results!G20)</f>
        <v>aktivierend/einschläfernd</v>
      </c>
      <c r="C20" s="1">
        <f>COUNTIF(DT!R4:R1004,"-3")</f>
        <v>0</v>
      </c>
      <c r="D20" s="1">
        <f>COUNTIF(DT!R4:R1004,"-2")</f>
        <v>0</v>
      </c>
      <c r="E20" s="1">
        <f>COUNTIF(DT!R4:R1004,"-1")</f>
        <v>0</v>
      </c>
      <c r="F20" s="1">
        <f>COUNTIF(DT!R4:R1004,"0")</f>
        <v>3</v>
      </c>
      <c r="G20" s="1">
        <f>COUNTIF(DT!R4:R1004,"1")</f>
        <v>1</v>
      </c>
      <c r="H20" s="1">
        <f>COUNTIF(DT!R4:R1004,"2")</f>
        <v>1</v>
      </c>
      <c r="I20" s="1">
        <f>COUNTIF(DT!R4:R1004,"3")</f>
        <v>0</v>
      </c>
      <c r="J20" s="29" t="str">
        <f>Results!H20</f>
        <v>Stimulation</v>
      </c>
    </row>
    <row r="21" spans="1:10" x14ac:dyDescent="0.25">
      <c r="A21" s="2">
        <v>19</v>
      </c>
      <c r="B21" s="1" t="str">
        <f>_xlfn.CONCAT(Results!G21,"/",Results!F21)</f>
        <v>nicht erwartungskonform/erwartungskonform</v>
      </c>
      <c r="C21" s="1">
        <f>COUNTIF(DT!S4:S1004,"-3")</f>
        <v>0</v>
      </c>
      <c r="D21" s="1">
        <f>COUNTIF(DT!S4:S1004,"-2")</f>
        <v>0</v>
      </c>
      <c r="E21" s="1">
        <f>COUNTIF(DT!S4:S1004,"-1")</f>
        <v>0</v>
      </c>
      <c r="F21" s="1">
        <f>COUNTIF(DT!S4:S1004,"0")</f>
        <v>0</v>
      </c>
      <c r="G21" s="1">
        <f>COUNTIF(DT!S4:S1004,"1")</f>
        <v>3</v>
      </c>
      <c r="H21" s="1">
        <f>COUNTIF(DT!S4:S1004,"2")</f>
        <v>2</v>
      </c>
      <c r="I21" s="1">
        <f>COUNTIF(DT!S4:S1004,"3")</f>
        <v>0</v>
      </c>
      <c r="J21" s="28" t="str">
        <f>Results!H21</f>
        <v>Steuerbarkeit</v>
      </c>
    </row>
    <row r="22" spans="1:10" x14ac:dyDescent="0.25">
      <c r="A22" s="2">
        <v>20</v>
      </c>
      <c r="B22" s="1" t="str">
        <f>_xlfn.CONCAT(Results!F22,"/",Results!G22)</f>
        <v>ineffizient/effizient</v>
      </c>
      <c r="C22" s="1">
        <f>COUNTIF(DT!T4:T1004,"-3")</f>
        <v>0</v>
      </c>
      <c r="D22" s="1">
        <f>COUNTIF(DT!T4:T1004,"-2")</f>
        <v>0</v>
      </c>
      <c r="E22" s="1">
        <f>COUNTIF(DT!T4:T1004,"-1")</f>
        <v>0</v>
      </c>
      <c r="F22" s="1">
        <f>COUNTIF(DT!T4:T1004,"0")</f>
        <v>1</v>
      </c>
      <c r="G22" s="1">
        <f>COUNTIF(DT!T4:T1004,"1")</f>
        <v>2</v>
      </c>
      <c r="H22" s="1">
        <f>COUNTIF(DT!T4:T1004,"2")</f>
        <v>2</v>
      </c>
      <c r="I22" s="1">
        <f>COUNTIF(DT!T4:T1004,"3")</f>
        <v>0</v>
      </c>
      <c r="J22" s="28" t="str">
        <f>Results!H22</f>
        <v>Effizienz</v>
      </c>
    </row>
    <row r="23" spans="1:10" x14ac:dyDescent="0.25">
      <c r="A23" s="6">
        <v>21</v>
      </c>
      <c r="B23" s="1" t="str">
        <f>_xlfn.CONCAT(Results!G23,"/",Results!F23)</f>
        <v>verwirrend/übersichtlich</v>
      </c>
      <c r="C23" s="1">
        <f>COUNTIF(DT!U4:U1004,"-3")</f>
        <v>0</v>
      </c>
      <c r="D23" s="1">
        <f>COUNTIF(DT!U4:U1004,"-2")</f>
        <v>0</v>
      </c>
      <c r="E23" s="1">
        <f>COUNTIF(DT!U4:U1004,"-1")</f>
        <v>0</v>
      </c>
      <c r="F23" s="1">
        <f>COUNTIF(DT!U4:U1004,"0")</f>
        <v>4</v>
      </c>
      <c r="G23" s="1">
        <f>COUNTIF(DT!U4:U1004,"1")</f>
        <v>0</v>
      </c>
      <c r="H23" s="1">
        <f>COUNTIF(DT!U4:U1004,"2")</f>
        <v>1</v>
      </c>
      <c r="I23" s="1">
        <f>COUNTIF(DT!U4:U1004,"3")</f>
        <v>0</v>
      </c>
      <c r="J23" s="28" t="str">
        <f>Results!H23</f>
        <v>Durchschaubarkeit</v>
      </c>
    </row>
    <row r="24" spans="1:10" x14ac:dyDescent="0.25">
      <c r="A24" s="6">
        <v>22</v>
      </c>
      <c r="B24" s="1" t="str">
        <f>_xlfn.CONCAT(Results!F24,"/",Results!G24)</f>
        <v>unpragmatisch/pragmatisch</v>
      </c>
      <c r="C24" s="1">
        <f>COUNTIF(DT!V4:V1004,"-3")</f>
        <v>0</v>
      </c>
      <c r="D24" s="1">
        <f>COUNTIF(DT!V4:V1004,"-2")</f>
        <v>0</v>
      </c>
      <c r="E24" s="1">
        <f>COUNTIF(DT!V4:V1004,"-1")</f>
        <v>0</v>
      </c>
      <c r="F24" s="1">
        <f>COUNTIF(DT!V4:V1004,"0")</f>
        <v>1</v>
      </c>
      <c r="G24" s="1">
        <f>COUNTIF(DT!V4:V1004,"1")</f>
        <v>4</v>
      </c>
      <c r="H24" s="1">
        <f>COUNTIF(DT!V4:V1004,"2")</f>
        <v>0</v>
      </c>
      <c r="I24" s="1">
        <f>COUNTIF(DT!V4:V1004,"3")</f>
        <v>0</v>
      </c>
      <c r="J24" s="28" t="str">
        <f>Results!H24</f>
        <v>Effizienz</v>
      </c>
    </row>
    <row r="25" spans="1:10" x14ac:dyDescent="0.25">
      <c r="A25" s="6">
        <v>23</v>
      </c>
      <c r="B25" s="1" t="str">
        <f>_xlfn.CONCAT(Results!G25,"/",Results!F25)</f>
        <v>überladen/aufgeräumt</v>
      </c>
      <c r="C25" s="1">
        <f>COUNTIF(DT!W4:W1004,"-3")</f>
        <v>0</v>
      </c>
      <c r="D25" s="1">
        <f>COUNTIF(DT!W4:W1004,"-2")</f>
        <v>1</v>
      </c>
      <c r="E25" s="1">
        <f>COUNTIF(DT!W4:W1004,"-1")</f>
        <v>1</v>
      </c>
      <c r="F25" s="1">
        <f>COUNTIF(DT!W4:W1004,"0")</f>
        <v>2</v>
      </c>
      <c r="G25" s="1">
        <f>COUNTIF(DT!W4:W1004,"1")</f>
        <v>0</v>
      </c>
      <c r="H25" s="1">
        <f>COUNTIF(DT!W4:W1004,"2")</f>
        <v>0</v>
      </c>
      <c r="I25" s="1">
        <f>COUNTIF(DT!W4:W1004,"3")</f>
        <v>1</v>
      </c>
      <c r="J25" s="28" t="str">
        <f>Results!H25</f>
        <v>Effizienz</v>
      </c>
    </row>
    <row r="26" spans="1:10" x14ac:dyDescent="0.25">
      <c r="A26" s="6">
        <v>24</v>
      </c>
      <c r="B26" s="1" t="str">
        <f>_xlfn.CONCAT(Results!G26,"/",Results!F26)</f>
        <v>unattraktiv/attraktiv</v>
      </c>
      <c r="C26" s="1">
        <f>COUNTIF(DT!X4:X1004,"-3")</f>
        <v>0</v>
      </c>
      <c r="D26" s="1">
        <f>COUNTIF(DT!X4:X1004,"-2")</f>
        <v>0</v>
      </c>
      <c r="E26" s="1">
        <f>COUNTIF(DT!X4:X1004,"-1")</f>
        <v>0</v>
      </c>
      <c r="F26" s="1">
        <f>COUNTIF(DT!X4:X1004,"0")</f>
        <v>2</v>
      </c>
      <c r="G26" s="1">
        <f>COUNTIF(DT!X4:X1004,"1")</f>
        <v>1</v>
      </c>
      <c r="H26" s="1">
        <f>COUNTIF(DT!X4:X1004,"2")</f>
        <v>2</v>
      </c>
      <c r="I26" s="1">
        <f>COUNTIF(DT!X4:X1004,"3")</f>
        <v>0</v>
      </c>
      <c r="J26" s="28" t="str">
        <f>Results!H26</f>
        <v>Attraktivität</v>
      </c>
    </row>
    <row r="27" spans="1:10" x14ac:dyDescent="0.25">
      <c r="A27" s="6">
        <v>25</v>
      </c>
      <c r="B27" s="1" t="str">
        <f>_xlfn.CONCAT(Results!G27,"/",Results!F27)</f>
        <v>unsympathisch/sympathisch</v>
      </c>
      <c r="C27" s="1">
        <f>COUNTIF(DT!Y4:Y1004,"-3")</f>
        <v>0</v>
      </c>
      <c r="D27" s="1">
        <f>COUNTIF(DT!Y4:Y1004,"-2")</f>
        <v>0</v>
      </c>
      <c r="E27" s="1">
        <f>COUNTIF(DT!Y4:Y1004,"-1")</f>
        <v>0</v>
      </c>
      <c r="F27" s="1">
        <f>COUNTIF(DT!Y4:Y1004,"0")</f>
        <v>1</v>
      </c>
      <c r="G27" s="1">
        <f>COUNTIF(DT!Y4:Y1004,"1")</f>
        <v>2</v>
      </c>
      <c r="H27" s="1">
        <f>COUNTIF(DT!Y4:Y1004,"2")</f>
        <v>2</v>
      </c>
      <c r="I27" s="1">
        <f>COUNTIF(DT!Y4:Y1004,"3")</f>
        <v>0</v>
      </c>
      <c r="J27" s="28" t="str">
        <f>Results!H27</f>
        <v>Attraktivität</v>
      </c>
    </row>
    <row r="28" spans="1:10" x14ac:dyDescent="0.25">
      <c r="A28" s="6">
        <v>26</v>
      </c>
      <c r="B28" s="1" t="str">
        <f>_xlfn.CONCAT(Results!F28,"/",Results!G28)</f>
        <v>konservativ/innovativ</v>
      </c>
      <c r="C28" s="1">
        <f>COUNTIF(DT!Z4:Z1004,"-3")</f>
        <v>0</v>
      </c>
      <c r="D28" s="1">
        <f>COUNTIF(DT!Z4:Z1004,"-2")</f>
        <v>0</v>
      </c>
      <c r="E28" s="1">
        <f>COUNTIF(DT!Z4:Z1004,"-1")</f>
        <v>0</v>
      </c>
      <c r="F28" s="1">
        <f>COUNTIF(DT!Z4:Z1004,"0")</f>
        <v>1</v>
      </c>
      <c r="G28" s="1">
        <f>COUNTIF(DT!Z4:Z1004,"1")</f>
        <v>4</v>
      </c>
      <c r="H28" s="1">
        <f>COUNTIF(DT!Z4:Z1004,"2")</f>
        <v>0</v>
      </c>
      <c r="I28" s="1">
        <f>COUNTIF(DT!Z4:Z1004,"3")</f>
        <v>0</v>
      </c>
      <c r="J28" s="28" t="str">
        <f>Results!H28</f>
        <v>Originalität</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baseColWidth="10" defaultColWidth="9.140625" defaultRowHeight="15" x14ac:dyDescent="0.2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x14ac:dyDescent="0.25">
      <c r="A1" s="145" t="s">
        <v>1286</v>
      </c>
      <c r="B1" s="168"/>
      <c r="C1" s="168"/>
      <c r="D1" s="168"/>
      <c r="E1" s="168"/>
      <c r="F1" s="168"/>
      <c r="G1" s="168"/>
      <c r="H1" s="168"/>
      <c r="I1" s="168"/>
      <c r="J1" s="168"/>
      <c r="K1" s="168"/>
      <c r="L1" s="168"/>
      <c r="M1" s="168"/>
      <c r="N1" s="168"/>
      <c r="O1" s="168"/>
      <c r="P1" s="168"/>
      <c r="Q1" s="168"/>
      <c r="R1" s="168"/>
    </row>
    <row r="2" spans="1:18" s="46" customFormat="1" ht="18.600000000000001" customHeight="1" x14ac:dyDescent="0.25">
      <c r="A2" s="55"/>
      <c r="B2" s="56"/>
      <c r="C2" s="56"/>
      <c r="D2" s="56"/>
      <c r="E2" s="56"/>
      <c r="F2" s="56"/>
      <c r="G2" s="56"/>
      <c r="H2" s="56"/>
      <c r="I2" s="56"/>
      <c r="J2" s="56"/>
      <c r="K2" s="56"/>
      <c r="L2" s="56"/>
      <c r="M2" s="56"/>
      <c r="N2" s="56"/>
      <c r="O2" s="56"/>
      <c r="P2" s="56"/>
      <c r="Q2" s="56"/>
      <c r="R2" s="56"/>
    </row>
    <row r="3" spans="1:18" s="46" customFormat="1" ht="157.9" customHeight="1" x14ac:dyDescent="0.25">
      <c r="A3" s="169" t="s">
        <v>1293</v>
      </c>
      <c r="B3" s="164"/>
      <c r="C3" s="164"/>
      <c r="D3" s="164"/>
      <c r="E3" s="164"/>
      <c r="F3" s="164"/>
      <c r="G3" s="164"/>
      <c r="H3" s="164"/>
      <c r="I3" s="164"/>
      <c r="J3" s="164"/>
      <c r="K3" s="164"/>
      <c r="L3" s="164"/>
      <c r="M3" s="164"/>
      <c r="N3" s="164"/>
      <c r="O3" s="164"/>
      <c r="P3" s="164"/>
      <c r="Q3" s="164"/>
      <c r="R3" s="56"/>
    </row>
    <row r="5" spans="1:18" x14ac:dyDescent="0.25">
      <c r="A5" s="149" t="str">
        <f>VLOOKUP(Read_First!B5,Items!A1:BI50,54,FALSE)</f>
        <v>Attraktivität</v>
      </c>
      <c r="B5" s="149"/>
      <c r="D5" s="153" t="str">
        <f>VLOOKUP(Read_First!B5,Items!A1:BI50,55,FALSE)</f>
        <v>Durchschaubarkeit</v>
      </c>
      <c r="E5" s="153"/>
      <c r="G5" s="153" t="str">
        <f>VLOOKUP(Read_First!B5,Items!A1:BI50,56,FALSE)</f>
        <v>Effizienz</v>
      </c>
      <c r="H5" s="153"/>
      <c r="J5" s="153" t="str">
        <f>VLOOKUP(Read_First!B5,Items!A1:BI50,57,FALSE)</f>
        <v>Steuerbarkeit</v>
      </c>
      <c r="K5" s="153"/>
      <c r="M5" s="153" t="str">
        <f>VLOOKUP(Read_First!B5,Items!A1:BI50,58,FALSE)</f>
        <v>Stimulation</v>
      </c>
      <c r="N5" s="153"/>
      <c r="P5" s="153" t="str">
        <f>VLOOKUP(Read_First!B5,Items!A1:BI50,59,FALSE)</f>
        <v>Originalität</v>
      </c>
      <c r="Q5" s="153"/>
    </row>
    <row r="6" spans="1:18" x14ac:dyDescent="0.25">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f>CORREL(DT!A4:A1004,DT!L4:L1004)</f>
        <v>0.32732683535398854</v>
      </c>
      <c r="D7" s="94" t="s">
        <v>5</v>
      </c>
      <c r="E7" s="95">
        <f>CORREL(DT!B4:B1004,DT!D4:D1004)</f>
        <v>0.21821789023599239</v>
      </c>
      <c r="G7" s="94" t="s">
        <v>11</v>
      </c>
      <c r="H7" s="95">
        <f>CORREL(DT!I4:I1004,DT!T4:T1004)</f>
        <v>0.87287156094396945</v>
      </c>
      <c r="J7" s="94" t="s">
        <v>17</v>
      </c>
      <c r="K7" s="95">
        <f>CORREL(DT!H4:H1004,DT!K4:K1004)</f>
        <v>0.51449575542752635</v>
      </c>
      <c r="M7" s="94" t="s">
        <v>24</v>
      </c>
      <c r="N7" s="95">
        <f>CORREL(DT!E4:E1004,DT!F4:F1004)</f>
        <v>-0.16666666666666669</v>
      </c>
      <c r="P7" s="94" t="s">
        <v>34</v>
      </c>
      <c r="Q7" s="95">
        <f>CORREL(DT!C4:C1004,DT!J4:J1004)</f>
        <v>0.24999999999999994</v>
      </c>
    </row>
    <row r="8" spans="1:18" x14ac:dyDescent="0.25">
      <c r="A8" s="40" t="s">
        <v>37</v>
      </c>
      <c r="B8" s="41">
        <f>CORREL(DT!A4:A1004,DT!N4:N1004)</f>
        <v>0.86859903621537926</v>
      </c>
      <c r="D8" s="40" t="s">
        <v>6</v>
      </c>
      <c r="E8" s="41">
        <f>CORREL(DT!B4:B1004,DT!M4:M1004)</f>
        <v>0.10206207261596574</v>
      </c>
      <c r="G8" s="40" t="s">
        <v>12</v>
      </c>
      <c r="H8" s="41">
        <f>CORREL(DT!I4:I1004,DT!V4:V1004)</f>
        <v>0.40824829046386307</v>
      </c>
      <c r="J8" s="40" t="s">
        <v>18</v>
      </c>
      <c r="K8" s="41">
        <f>CORREL(DT!H4:H1004,DT!Q4:Q1004)</f>
        <v>0.94907075295662069</v>
      </c>
      <c r="M8" s="40" t="s">
        <v>25</v>
      </c>
      <c r="N8" s="41">
        <f>CORREL(DT!E4:E1004,DT!G4:G1004)</f>
        <v>-0.61237243569579414</v>
      </c>
      <c r="P8" s="40" t="s">
        <v>33</v>
      </c>
      <c r="Q8" s="41">
        <f>CORREL(DT!C4:C1004,DT!O4:O1004)</f>
        <v>0.44226898133585163</v>
      </c>
    </row>
    <row r="9" spans="1:18" x14ac:dyDescent="0.25">
      <c r="A9" s="40" t="s">
        <v>38</v>
      </c>
      <c r="B9" s="41">
        <f>CORREL(DT!A4:A1004,DT!P4:P1004)</f>
        <v>0.53452248382484879</v>
      </c>
      <c r="D9" s="40" t="s">
        <v>7</v>
      </c>
      <c r="E9" s="41">
        <f>CORREL(DT!B4:B1004,DT!U4:U1004)</f>
        <v>0.61237243569579436</v>
      </c>
      <c r="G9" s="40" t="s">
        <v>13</v>
      </c>
      <c r="H9" s="41">
        <f>CORREL(DT!I4:I1004,DT!W4:W1004)</f>
        <v>0.73192505471139979</v>
      </c>
      <c r="J9" s="40" t="s">
        <v>19</v>
      </c>
      <c r="K9" s="41">
        <f>CORREL(DT!H4:H1004,DT!S4:S1004)</f>
        <v>0.91018205461820645</v>
      </c>
      <c r="M9" s="40" t="s">
        <v>26</v>
      </c>
      <c r="N9" s="41">
        <f>CORREL(DT!E4:E1004,DT!R4:R1004)</f>
        <v>0.61237243569579458</v>
      </c>
      <c r="P9" s="40" t="s">
        <v>32</v>
      </c>
      <c r="Q9" s="41">
        <f>CORREL(DT!C4:C1004,DT!Z4:Z1004)</f>
        <v>0.24999999999999994</v>
      </c>
    </row>
    <row r="10" spans="1:18" x14ac:dyDescent="0.25">
      <c r="A10" s="40" t="s">
        <v>39</v>
      </c>
      <c r="B10" s="41">
        <f>CORREL(DT!A4:A1004,DT!X4:X1004)</f>
        <v>0.59761430466719689</v>
      </c>
      <c r="D10" s="40" t="s">
        <v>8</v>
      </c>
      <c r="E10" s="41">
        <f>CORREL(DT!D4:D1004,DT!M4:M1004)</f>
        <v>0.46770717334674261</v>
      </c>
      <c r="G10" s="40" t="s">
        <v>14</v>
      </c>
      <c r="H10" s="41">
        <f>CORREL(DT!T4:T1004,DT!V4:V1004)</f>
        <v>0.1336306209562122</v>
      </c>
      <c r="J10" s="40" t="s">
        <v>20</v>
      </c>
      <c r="K10" s="41">
        <f>CORREL(DT!K4:K1004,DT!Q4:Q1004)</f>
        <v>0.39528470752104738</v>
      </c>
      <c r="M10" s="40" t="s">
        <v>27</v>
      </c>
      <c r="N10" s="41">
        <f>CORREL(DT!F4:F1004,DT!G4:G1004)</f>
        <v>-0.40824829046386291</v>
      </c>
      <c r="P10" s="40" t="s">
        <v>31</v>
      </c>
      <c r="Q10" s="41">
        <f>CORREL(DT!J4:J1004,DT!O4:O1004)</f>
        <v>-0.10206207261596574</v>
      </c>
    </row>
    <row r="11" spans="1:18" x14ac:dyDescent="0.25">
      <c r="A11" s="40" t="s">
        <v>40</v>
      </c>
      <c r="B11" s="41">
        <f>CORREL(DT!A4:A1004,DT!Y4:Y1004)</f>
        <v>-0.28571428571428581</v>
      </c>
      <c r="D11" s="40" t="s">
        <v>9</v>
      </c>
      <c r="E11" s="41">
        <f>CORREL(DT!D4:D1004,DT!U4:U1004)</f>
        <v>0.1336306209562122</v>
      </c>
      <c r="G11" s="40" t="s">
        <v>15</v>
      </c>
      <c r="H11" s="41">
        <f>CORREL(DT!T4:T1004,DT!W4:W1004)</f>
        <v>0.79859570624992482</v>
      </c>
      <c r="J11" s="40" t="s">
        <v>21</v>
      </c>
      <c r="K11" s="41">
        <f>CORREL(DT!K4:K1004,DT!S4:S1004)</f>
        <v>0.40824829046386302</v>
      </c>
      <c r="M11" s="40" t="s">
        <v>28</v>
      </c>
      <c r="N11" s="41">
        <f>CORREL(DT!F4:F1004,DT!R4:R1004)</f>
        <v>-0.10206207261596574</v>
      </c>
      <c r="P11" s="40" t="s">
        <v>30</v>
      </c>
      <c r="Q11" s="41">
        <f>CORREL(DT!J4:J1004,DT!Z4:Z1004)</f>
        <v>0.99999999999999978</v>
      </c>
    </row>
    <row r="12" spans="1:18" x14ac:dyDescent="0.25">
      <c r="A12" s="40" t="s">
        <v>41</v>
      </c>
      <c r="B12" s="41">
        <f>CORREL(DT!L4:L1004,DT!N4:N1004)</f>
        <v>0.61237243569579458</v>
      </c>
      <c r="D12" s="40" t="s">
        <v>10</v>
      </c>
      <c r="E12" s="41">
        <f>CORREL(DT!M4:M1004,DT!U4:U1004)</f>
        <v>0.375</v>
      </c>
      <c r="G12" s="40" t="s">
        <v>16</v>
      </c>
      <c r="H12" s="41">
        <f>CORREL(DT!V4:V1004,DT!W4:W1004)</f>
        <v>0</v>
      </c>
      <c r="J12" s="40" t="s">
        <v>22</v>
      </c>
      <c r="K12" s="41">
        <f>CORREL(DT!Q4:Q1004,DT!S4:S1004)</f>
        <v>0.96824583655185414</v>
      </c>
      <c r="M12" s="40" t="s">
        <v>23</v>
      </c>
      <c r="N12" s="41">
        <f>CORREL(DT!G4:G1004,DT!R4:R1004)</f>
        <v>-0.37499999999999983</v>
      </c>
      <c r="P12" s="40" t="s">
        <v>29</v>
      </c>
      <c r="Q12" s="41">
        <f>CORREL(DT!O4:O1004,DT!Z4:Z1004)</f>
        <v>-0.10206207261596574</v>
      </c>
    </row>
    <row r="13" spans="1:18" x14ac:dyDescent="0.25">
      <c r="A13" s="40" t="s">
        <v>42</v>
      </c>
      <c r="B13" s="41">
        <f>CORREL(DT!L4:L1004,DT!P4:P1004)</f>
        <v>0.61237243569579447</v>
      </c>
      <c r="D13" s="42" t="s">
        <v>829</v>
      </c>
      <c r="E13" s="41">
        <f>AVERAGE(E7:E12)</f>
        <v>0.31816503214178454</v>
      </c>
      <c r="G13" s="42" t="s">
        <v>829</v>
      </c>
      <c r="H13" s="41">
        <f>AVERAGE(H7:H12)</f>
        <v>0.49087853888756161</v>
      </c>
      <c r="J13" s="42" t="s">
        <v>829</v>
      </c>
      <c r="K13" s="41">
        <f>AVERAGE(K7:K12)</f>
        <v>0.6909212329231863</v>
      </c>
      <c r="M13" s="42" t="s">
        <v>829</v>
      </c>
      <c r="N13" s="41">
        <f>AVERAGE(N7:N12)</f>
        <v>-0.17532950495774913</v>
      </c>
      <c r="P13" s="42" t="s">
        <v>829</v>
      </c>
      <c r="Q13" s="41">
        <f>AVERAGE(Q7:Q12)</f>
        <v>0.28969080601731995</v>
      </c>
    </row>
    <row r="14" spans="1:18" x14ac:dyDescent="0.25">
      <c r="A14" s="40" t="s">
        <v>43</v>
      </c>
      <c r="B14" s="41">
        <f>CORREL(DT!L4:L1004,DT!X4:X1004)</f>
        <v>0</v>
      </c>
      <c r="C14" s="8"/>
      <c r="D14" s="57" t="s">
        <v>4</v>
      </c>
      <c r="E14" s="58">
        <f>(4*E13)/(1+(3*E13))</f>
        <v>0.65114521438030315</v>
      </c>
      <c r="F14" s="60"/>
      <c r="G14" s="57" t="s">
        <v>4</v>
      </c>
      <c r="H14" s="58">
        <f>(4*H13)/(1+(3*H13))</f>
        <v>0.79409765932288912</v>
      </c>
      <c r="I14" s="60"/>
      <c r="J14" s="57" t="s">
        <v>4</v>
      </c>
      <c r="K14" s="58">
        <f>(4*K13)/(1+(3*K13))</f>
        <v>0.89941342798322588</v>
      </c>
      <c r="L14" s="60"/>
      <c r="M14" s="57" t="s">
        <v>4</v>
      </c>
      <c r="N14" s="58">
        <f>(4*N13)/(1+(3*N13))</f>
        <v>-1.4795380319602618</v>
      </c>
      <c r="O14" s="59"/>
      <c r="P14" s="57" t="s">
        <v>4</v>
      </c>
      <c r="Q14" s="58">
        <f>(4*Q13)/(1+(3*Q13))</f>
        <v>0.61996700228287593</v>
      </c>
    </row>
    <row r="15" spans="1:18" x14ac:dyDescent="0.25">
      <c r="A15" s="40" t="s">
        <v>44</v>
      </c>
      <c r="B15" s="41">
        <f>CORREL(DT!L4:L1004,DT!Y4:Y1004)</f>
        <v>-0.32732683535398854</v>
      </c>
      <c r="D15" s="46"/>
      <c r="E15" s="46"/>
      <c r="F15" s="46"/>
      <c r="G15" s="46"/>
      <c r="H15" s="46"/>
      <c r="I15" s="46"/>
      <c r="J15" s="46"/>
      <c r="K15" s="46"/>
      <c r="L15" s="46"/>
      <c r="M15" s="46"/>
      <c r="N15" s="46"/>
      <c r="O15" s="46"/>
      <c r="P15" s="46"/>
      <c r="Q15" s="46"/>
    </row>
    <row r="16" spans="1:18" x14ac:dyDescent="0.25">
      <c r="A16" s="40" t="s">
        <v>45</v>
      </c>
      <c r="B16" s="41">
        <f>CORREL(DT!N4:N1004,DT!P4:P1004)</f>
        <v>0.375</v>
      </c>
    </row>
    <row r="17" spans="1:18" x14ac:dyDescent="0.25">
      <c r="A17" s="40" t="s">
        <v>46</v>
      </c>
      <c r="B17" s="41">
        <f>CORREL(DT!N4:N1004,DT!X4:X1004)</f>
        <v>0.27950849718747378</v>
      </c>
    </row>
    <row r="18" spans="1:18" x14ac:dyDescent="0.25">
      <c r="A18" s="40" t="s">
        <v>47</v>
      </c>
      <c r="B18" s="41">
        <f>CORREL(DT!N4:N1004,DT!Y4:Y1004)</f>
        <v>-0.53452248382484879</v>
      </c>
    </row>
    <row r="19" spans="1:18" x14ac:dyDescent="0.25">
      <c r="A19" s="40" t="s">
        <v>48</v>
      </c>
      <c r="B19" s="41">
        <f>CORREL(DT!P4:P1004,DT!X4:X1004)</f>
        <v>0.55901699437494745</v>
      </c>
    </row>
    <row r="20" spans="1:18" x14ac:dyDescent="0.25">
      <c r="A20" s="40" t="s">
        <v>116</v>
      </c>
      <c r="B20" s="41">
        <f>CORREL(DT!P4:P1004,DT!Y4:Y1004)</f>
        <v>0.1336306209562122</v>
      </c>
    </row>
    <row r="21" spans="1:18" x14ac:dyDescent="0.25">
      <c r="A21" s="40" t="s">
        <v>35</v>
      </c>
      <c r="B21" s="41">
        <f>CORREL(DT!X4:X1004,DT!Y4:Y1004)</f>
        <v>0.59761430466719689</v>
      </c>
    </row>
    <row r="22" spans="1:18" x14ac:dyDescent="0.25">
      <c r="A22" s="42" t="s">
        <v>829</v>
      </c>
      <c r="B22" s="41">
        <f>AVERAGE(B7:B21)</f>
        <v>0.29000095624971406</v>
      </c>
    </row>
    <row r="23" spans="1:18" x14ac:dyDescent="0.25">
      <c r="A23" s="57" t="s">
        <v>4</v>
      </c>
      <c r="B23" s="58">
        <f>(6*B22)/(1+(5*B22))</f>
        <v>0.71020503748223018</v>
      </c>
    </row>
    <row r="24" spans="1:18" x14ac:dyDescent="0.25">
      <c r="A24" s="46"/>
      <c r="B24" s="46"/>
    </row>
    <row r="25" spans="1:18" x14ac:dyDescent="0.25">
      <c r="A25" s="46"/>
      <c r="B25" s="46"/>
    </row>
    <row r="26" spans="1:18" ht="66.599999999999994" customHeight="1" x14ac:dyDescent="0.25">
      <c r="A26" s="165" t="s">
        <v>1287</v>
      </c>
      <c r="B26" s="166"/>
      <c r="C26" s="166"/>
      <c r="D26" s="166"/>
      <c r="E26" s="166"/>
      <c r="F26" s="166"/>
      <c r="G26" s="166"/>
      <c r="H26" s="166"/>
      <c r="I26" s="166"/>
      <c r="J26" s="166"/>
      <c r="K26" s="166"/>
      <c r="L26" s="166"/>
      <c r="M26" s="166"/>
      <c r="N26" s="166"/>
      <c r="O26" s="166"/>
      <c r="P26" s="166"/>
      <c r="Q26" s="166"/>
      <c r="R26" s="166"/>
    </row>
    <row r="28" spans="1:18" x14ac:dyDescent="0.25">
      <c r="A28" s="167" t="str">
        <f>VLOOKUP(Read_First!B5,Items!A1:BI50,54,FALSE)</f>
        <v>Attraktivität</v>
      </c>
      <c r="B28" s="167"/>
      <c r="C28" s="46"/>
      <c r="D28" s="167" t="str">
        <f>VLOOKUP(Read_First!B5,Items!A1:BI50,55,FALSE)</f>
        <v>Durchschaubarkeit</v>
      </c>
      <c r="E28" s="167"/>
      <c r="F28" s="46"/>
      <c r="G28" s="167" t="str">
        <f>VLOOKUP(Read_First!B5,Items!A1:BI50,56,FALSE)</f>
        <v>Effizienz</v>
      </c>
      <c r="H28" s="167"/>
      <c r="I28" s="46"/>
      <c r="J28" s="167" t="str">
        <f>VLOOKUP(Read_First!B5,Items!A1:BI50,57,FALSE)</f>
        <v>Steuerbarkeit</v>
      </c>
      <c r="K28" s="167"/>
      <c r="L28" s="46"/>
      <c r="M28" s="167" t="str">
        <f>VLOOKUP(Read_First!B5,Items!A1:BI5,58,FALSE)</f>
        <v>Stimulation</v>
      </c>
      <c r="N28" s="167"/>
      <c r="O28" s="46"/>
      <c r="P28" s="167" t="str">
        <f>VLOOKUP(Read_First!B5,Items!A1:BI55,59,FALSE)</f>
        <v>Originalität</v>
      </c>
      <c r="Q28" s="167"/>
    </row>
    <row r="29" spans="1:18" x14ac:dyDescent="0.25">
      <c r="A29" s="53" t="s">
        <v>1285</v>
      </c>
      <c r="B29" s="53">
        <f>1-((Results!C3+Results!C14+Results!C16+Results!C18+Results!C26+Results!C27)/(36*(Results!M3)))</f>
        <v>0.56470588235294172</v>
      </c>
      <c r="C29" s="46"/>
      <c r="D29" s="53" t="s">
        <v>1285</v>
      </c>
      <c r="E29" s="53">
        <f>1-((Results!C4+Results!C6+Results!C15+Results!C23)/(16*(Results!M4)))</f>
        <v>0.48000000000000009</v>
      </c>
      <c r="F29" s="46"/>
      <c r="G29" s="53" t="s">
        <v>1285</v>
      </c>
      <c r="H29" s="53">
        <f>1-((Results!C11+Results!C22+Results!C24+Results!C25)/(16*(Results!M5)))</f>
        <v>0.57575757575757569</v>
      </c>
      <c r="I29" s="46"/>
      <c r="J29" s="53" t="s">
        <v>1285</v>
      </c>
      <c r="K29" s="53">
        <f>1-((Results!C10+Results!C13+Results!C19+Results!C21)/(16*(Results!M6)))</f>
        <v>0.64406779661016933</v>
      </c>
      <c r="L29" s="46"/>
      <c r="M29" s="53" t="s">
        <v>1285</v>
      </c>
      <c r="N29" s="53">
        <f>1-((Results!C7+Results!C8+Results!C9+Results!C20)/(16*(Results!M7)))</f>
        <v>-0.33333333333333415</v>
      </c>
      <c r="O29" s="46"/>
      <c r="P29" s="53" t="s">
        <v>1285</v>
      </c>
      <c r="Q29" s="53">
        <f>1-((Results!C5+Results!C12+Results!C17+Results!C28)/(16*(Results!M8)))</f>
        <v>0.38181818181818172</v>
      </c>
    </row>
    <row r="31" spans="1:18" x14ac:dyDescent="0.25">
      <c r="A31" s="97" t="s">
        <v>0</v>
      </c>
      <c r="B31" s="70" t="s">
        <v>1282</v>
      </c>
      <c r="D31" s="97" t="s">
        <v>0</v>
      </c>
      <c r="E31" s="70" t="s">
        <v>1282</v>
      </c>
      <c r="G31" s="97" t="s">
        <v>0</v>
      </c>
      <c r="H31" s="70" t="s">
        <v>1282</v>
      </c>
      <c r="J31" s="97" t="s">
        <v>0</v>
      </c>
      <c r="K31" s="70" t="s">
        <v>1282</v>
      </c>
      <c r="M31" s="97" t="s">
        <v>0</v>
      </c>
      <c r="N31" s="70" t="s">
        <v>1282</v>
      </c>
      <c r="P31" s="93" t="s">
        <v>0</v>
      </c>
      <c r="Q31" s="96" t="s">
        <v>1282</v>
      </c>
    </row>
    <row r="32" spans="1:18" x14ac:dyDescent="0.25">
      <c r="A32" s="40" t="s">
        <v>36</v>
      </c>
      <c r="B32" s="41">
        <f>COVAR(DT!A4:A1004,DT!L4:L1004)^2</f>
        <v>1.44E-2</v>
      </c>
      <c r="D32" s="40" t="s">
        <v>5</v>
      </c>
      <c r="E32" s="41">
        <f>_xlfn.COVARIANCE.S(DT!B4:B1004,DT!D4:D1004)^2</f>
        <v>1.0000000000000002E-2</v>
      </c>
      <c r="G32" s="40" t="s">
        <v>11</v>
      </c>
      <c r="H32" s="41">
        <f>COVAR(DT!I4:I1004,DT!T4:T1004)^2</f>
        <v>0.40960000000000002</v>
      </c>
      <c r="J32" s="40" t="s">
        <v>17</v>
      </c>
      <c r="K32" s="41">
        <f>COVAR(DT!H4:H1004,DT!K4:K1004)^2</f>
        <v>5.7599999999999998E-2</v>
      </c>
      <c r="M32" s="40" t="s">
        <v>24</v>
      </c>
      <c r="N32" s="41">
        <f>COVAR(DT!E4:E1004,DT!F4:F1004)^2</f>
        <v>1.6000000000000012E-3</v>
      </c>
      <c r="P32" s="40" t="s">
        <v>34</v>
      </c>
      <c r="Q32" s="41">
        <f>COVAR(DT!C4:C1004,DT!J4:J1004)^2</f>
        <v>1.4399999999999993E-2</v>
      </c>
    </row>
    <row r="33" spans="1:17" x14ac:dyDescent="0.25">
      <c r="A33" s="40" t="s">
        <v>37</v>
      </c>
      <c r="B33" s="41">
        <f>COVAR(DT!A4:A1004,DT!N4:N1004)^2</f>
        <v>0.27040000000000003</v>
      </c>
      <c r="D33" s="40" t="s">
        <v>6</v>
      </c>
      <c r="E33" s="41">
        <f>_xlfn.COVARIANCE.S(DT!B4:B1004,DT!M4:M1004)^2</f>
        <v>2.4999999999999988E-3</v>
      </c>
      <c r="G33" s="40" t="s">
        <v>12</v>
      </c>
      <c r="H33" s="41">
        <f>COVAR(DT!I4:I1004,DT!V4:V1004)^2</f>
        <v>2.5600000000000019E-2</v>
      </c>
      <c r="J33" s="40" t="s">
        <v>18</v>
      </c>
      <c r="K33" s="41">
        <f>COVAR(DT!H4:H1004,DT!Q4:Q1004)^2</f>
        <v>1.9600000000000004</v>
      </c>
      <c r="M33" s="40" t="s">
        <v>25</v>
      </c>
      <c r="N33" s="41">
        <f>COVAR(DT!E4:E1004,DT!G4:G1004)^2</f>
        <v>1.4399999999999993E-2</v>
      </c>
      <c r="P33" s="40" t="s">
        <v>33</v>
      </c>
      <c r="Q33" s="41">
        <f>COVAR(DT!C4:C1004,DT!O4:O1004)^2</f>
        <v>0.27040000000000003</v>
      </c>
    </row>
    <row r="34" spans="1:17" x14ac:dyDescent="0.25">
      <c r="A34" s="40" t="s">
        <v>38</v>
      </c>
      <c r="B34" s="41">
        <f>COVAR(DT!A4:A1004,DT!P4:P1004)^2</f>
        <v>2.5600000000000001E-2</v>
      </c>
      <c r="D34" s="40" t="s">
        <v>7</v>
      </c>
      <c r="E34" s="41">
        <f>_xlfn.COVARIANCE.S(DT!B4:B1004,DT!U4:U1004)^2</f>
        <v>0.09</v>
      </c>
      <c r="G34" s="40" t="s">
        <v>13</v>
      </c>
      <c r="H34" s="41">
        <f>COVAR(DT!I4:I1004,DT!W4:W1004)^2</f>
        <v>1.44</v>
      </c>
      <c r="J34" s="40" t="s">
        <v>19</v>
      </c>
      <c r="K34" s="41">
        <f>COVAR(DT!H4:H1004,DT!S4:S1004)^2</f>
        <v>0.27040000000000014</v>
      </c>
      <c r="M34" s="40" t="s">
        <v>26</v>
      </c>
      <c r="N34" s="41">
        <f>COVAR(DT!E4:E1004,DT!R4:R1004)^2</f>
        <v>5.7600000000000019E-2</v>
      </c>
      <c r="P34" s="40" t="s">
        <v>32</v>
      </c>
      <c r="Q34" s="41">
        <f>COVAR(DT!C4:C1004,DT!Z4:Z1004)^2</f>
        <v>1.4399999999999993E-2</v>
      </c>
    </row>
    <row r="35" spans="1:17" x14ac:dyDescent="0.25">
      <c r="A35" s="40" t="s">
        <v>39</v>
      </c>
      <c r="B35" s="41">
        <f>COVAR(DT!A4:A1004,DT!X4:X1004)^2</f>
        <v>0.16000000000000003</v>
      </c>
      <c r="D35" s="40" t="s">
        <v>8</v>
      </c>
      <c r="E35" s="41">
        <f>_xlfn.COVARIANCE.S(DT!D4:D1004,DT!M4:M1004)^2</f>
        <v>0.12249999999999998</v>
      </c>
      <c r="G35" s="40" t="s">
        <v>14</v>
      </c>
      <c r="H35" s="41">
        <f>COVAR(DT!T4:T1004,DT!V4:V1004)^2</f>
        <v>1.6000000000000001E-3</v>
      </c>
      <c r="J35" s="40" t="s">
        <v>20</v>
      </c>
      <c r="K35" s="41">
        <f>COVAR(DT!K4:K1004,DT!Q4:Q1004)^2</f>
        <v>4.0000000000000008E-2</v>
      </c>
      <c r="M35" s="40" t="s">
        <v>27</v>
      </c>
      <c r="N35" s="41">
        <f>COVAR(DT!F4:F1004,DT!G4:G1004)^2</f>
        <v>6.4000000000000003E-3</v>
      </c>
      <c r="P35" s="40" t="s">
        <v>31</v>
      </c>
      <c r="Q35" s="41">
        <f>COVAR(DT!J4:J1004,DT!O4:O1004)^2</f>
        <v>1.6000000000000001E-3</v>
      </c>
    </row>
    <row r="36" spans="1:17" x14ac:dyDescent="0.25">
      <c r="A36" s="40" t="s">
        <v>40</v>
      </c>
      <c r="B36" s="41">
        <f>COVAR(DT!A4:A1004,DT!Y4:Y1004)^2</f>
        <v>2.5600000000000019E-2</v>
      </c>
      <c r="D36" s="40" t="s">
        <v>9</v>
      </c>
      <c r="E36" s="41">
        <f>_xlfn.COVARIANCE.S(DT!D4:D1004,DT!U4:U1004)^2</f>
        <v>1.0000000000000007E-2</v>
      </c>
      <c r="G36" s="40" t="s">
        <v>15</v>
      </c>
      <c r="H36" s="41">
        <f>COVAR(DT!T4:T1004,DT!W4:W1004)^2</f>
        <v>1</v>
      </c>
      <c r="J36" s="40" t="s">
        <v>21</v>
      </c>
      <c r="K36" s="41">
        <f>COVAR(DT!K4:K1004,DT!S4:S1004)^2</f>
        <v>6.4000000000000003E-3</v>
      </c>
      <c r="M36" s="40" t="s">
        <v>28</v>
      </c>
      <c r="N36" s="41">
        <f>COVAR(DT!F4:F1004,DT!R4:R1004)^2</f>
        <v>1.5999999999999994E-3</v>
      </c>
      <c r="P36" s="40" t="s">
        <v>30</v>
      </c>
      <c r="Q36" s="41">
        <f>COVAR(DT!J4:J1004,DT!Z4:Z1004)^2</f>
        <v>2.5600000000000001E-2</v>
      </c>
    </row>
    <row r="37" spans="1:17" x14ac:dyDescent="0.25">
      <c r="A37" s="40" t="s">
        <v>41</v>
      </c>
      <c r="B37" s="41">
        <f>COVAR(DT!L4:L1004,DT!N4:N1004)^2</f>
        <v>5.7599999999999998E-2</v>
      </c>
      <c r="D37" s="40" t="s">
        <v>10</v>
      </c>
      <c r="E37" s="41">
        <f>_xlfn.COVARIANCE.S(DT!M4:M1004,DT!U4:U1004)^2</f>
        <v>9.0000000000000024E-2</v>
      </c>
      <c r="G37" s="40" t="s">
        <v>16</v>
      </c>
      <c r="H37" s="41">
        <f>COVAR(DT!V4:V1004,DT!W4:W1004)^2</f>
        <v>0</v>
      </c>
      <c r="J37" s="40" t="s">
        <v>22</v>
      </c>
      <c r="K37" s="41">
        <f>COVAR(DT!Q4:Q1004,DT!S4:S1004)^2</f>
        <v>0.36</v>
      </c>
      <c r="M37" s="40" t="s">
        <v>23</v>
      </c>
      <c r="N37" s="41">
        <f>COVAR(DT!G4:G1004,DT!R4:R1004)^2</f>
        <v>1.4399999999999993E-2</v>
      </c>
      <c r="P37" s="40" t="s">
        <v>29</v>
      </c>
      <c r="Q37" s="41">
        <f>COVAR(DT!O4:O1004,DT!Z4:Z1004)^2</f>
        <v>1.6000000000000001E-3</v>
      </c>
    </row>
    <row r="38" spans="1:17" x14ac:dyDescent="0.25">
      <c r="A38" s="40" t="s">
        <v>42</v>
      </c>
      <c r="B38" s="41">
        <f>COVAR(DT!L4:L1004,DT!P4:P1004)^2</f>
        <v>1.44E-2</v>
      </c>
      <c r="D38" s="40" t="s">
        <v>1283</v>
      </c>
      <c r="E38" s="54">
        <f>SUM(E32:E37)</f>
        <v>0.32500000000000001</v>
      </c>
      <c r="G38" s="40" t="s">
        <v>1283</v>
      </c>
      <c r="H38" s="54">
        <f>SUM(H32:H37)</f>
        <v>2.8768000000000002</v>
      </c>
      <c r="J38" s="40" t="s">
        <v>1283</v>
      </c>
      <c r="K38" s="54">
        <f>SUM(K32:K37)</f>
        <v>2.6944000000000004</v>
      </c>
      <c r="M38" s="40" t="s">
        <v>1283</v>
      </c>
      <c r="N38" s="54">
        <f>SUM(N32:N37)</f>
        <v>9.6000000000000016E-2</v>
      </c>
      <c r="P38" s="40" t="s">
        <v>1283</v>
      </c>
      <c r="Q38" s="54">
        <f>SUM(Q32:Q37)</f>
        <v>0.32799999999999996</v>
      </c>
    </row>
    <row r="39" spans="1:17" x14ac:dyDescent="0.25">
      <c r="A39" s="40" t="s">
        <v>43</v>
      </c>
      <c r="B39" s="41">
        <f>COVAR(DT!L4:L1004,DT!X4:X1004)^2</f>
        <v>0</v>
      </c>
      <c r="D39" s="42" t="s">
        <v>1284</v>
      </c>
      <c r="E39" s="52">
        <f>E29+SQRT((4/3)*2*E38)/(16*(Results!M4))</f>
        <v>0.66618986725025264</v>
      </c>
      <c r="G39" s="42" t="s">
        <v>1284</v>
      </c>
      <c r="H39" s="52">
        <f>H29+SQRT((4/3)*2*H38)/(16*(Results!M5))</f>
        <v>0.78558645935513183</v>
      </c>
      <c r="J39" s="42" t="s">
        <v>1284</v>
      </c>
      <c r="K39" s="52">
        <f>K29+SQRT((4/3)*2*K38)/(16*(Results!M6))</f>
        <v>0.8712285988362316</v>
      </c>
      <c r="M39" s="42" t="s">
        <v>1284</v>
      </c>
      <c r="N39" s="52">
        <f>N29+SQRT((4/3)*2*N38)/(16*(Results!M7))</f>
        <v>8.8303688022449978E-2</v>
      </c>
      <c r="P39" s="42" t="s">
        <v>1284</v>
      </c>
      <c r="Q39" s="52">
        <f>Q29+SQRT((4/3)*2*Q38)/(16*(Results!M8))</f>
        <v>0.55186111919272895</v>
      </c>
    </row>
    <row r="40" spans="1:17" x14ac:dyDescent="0.25">
      <c r="A40" s="40" t="s">
        <v>44</v>
      </c>
      <c r="B40" s="41">
        <f>COVAR(DT!L4:L1004,DT!Y4:Y1004)^2</f>
        <v>1.44E-2</v>
      </c>
    </row>
    <row r="41" spans="1:17" x14ac:dyDescent="0.25">
      <c r="A41" s="40" t="s">
        <v>45</v>
      </c>
      <c r="B41" s="41">
        <f>COVAR(DT!N4:N1004,DT!P4:P1004)^2</f>
        <v>1.44E-2</v>
      </c>
    </row>
    <row r="42" spans="1:17" x14ac:dyDescent="0.25">
      <c r="A42" s="40" t="s">
        <v>46</v>
      </c>
      <c r="B42" s="41">
        <f>COVAR(DT!N4:N1004,DT!X4:X1004)^2</f>
        <v>4.0000000000000008E-2</v>
      </c>
    </row>
    <row r="43" spans="1:17" x14ac:dyDescent="0.25">
      <c r="A43" s="40" t="s">
        <v>47</v>
      </c>
      <c r="B43" s="41">
        <f>COVAR(DT!N4:N1004,DT!Y4:Y1004)^2</f>
        <v>0.1024</v>
      </c>
    </row>
    <row r="44" spans="1:17" x14ac:dyDescent="0.25">
      <c r="A44" s="40" t="s">
        <v>48</v>
      </c>
      <c r="B44" s="41">
        <f>COVAR(DT!P4:P1004,DT!X4:X1004)^2</f>
        <v>4.0000000000000008E-2</v>
      </c>
    </row>
    <row r="45" spans="1:17" x14ac:dyDescent="0.25">
      <c r="A45" s="40" t="s">
        <v>116</v>
      </c>
      <c r="B45" s="41">
        <f>COVAR(DT!P4:P1004,DT!Y4:Y1004)^2</f>
        <v>1.6000000000000001E-3</v>
      </c>
    </row>
    <row r="46" spans="1:17" x14ac:dyDescent="0.25">
      <c r="A46" s="40" t="s">
        <v>35</v>
      </c>
      <c r="B46" s="41">
        <f>COVAR(DT!X4:X1004,DT!Y4:Y1004)^2</f>
        <v>0.16000000000000003</v>
      </c>
    </row>
    <row r="47" spans="1:17" x14ac:dyDescent="0.25">
      <c r="A47" s="40" t="s">
        <v>1283</v>
      </c>
      <c r="B47" s="54">
        <f>SUM(B32:B46)</f>
        <v>0.94080000000000019</v>
      </c>
    </row>
    <row r="48" spans="1:17" x14ac:dyDescent="0.25">
      <c r="A48" s="42" t="s">
        <v>1284</v>
      </c>
      <c r="B48" s="52">
        <f>B29+SQRT((6/5)*2*B47)/(36*(Results!M3))</f>
        <v>0.74148678598586604</v>
      </c>
    </row>
  </sheetData>
  <mergeCells count="15">
    <mergeCell ref="P5:Q5"/>
    <mergeCell ref="A1:R1"/>
    <mergeCell ref="A5:B5"/>
    <mergeCell ref="D5:E5"/>
    <mergeCell ref="G5:H5"/>
    <mergeCell ref="J5:K5"/>
    <mergeCell ref="M5:N5"/>
    <mergeCell ref="A3:Q3"/>
    <mergeCell ref="A26:R26"/>
    <mergeCell ref="A28:B28"/>
    <mergeCell ref="D28:E28"/>
    <mergeCell ref="G28:H28"/>
    <mergeCell ref="J28:K28"/>
    <mergeCell ref="M28:N28"/>
    <mergeCell ref="P28:Q2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4" workbookViewId="0">
      <selection activeCell="E7" sqref="E7"/>
    </sheetView>
  </sheetViews>
  <sheetFormatPr baseColWidth="10" defaultColWidth="9.140625" defaultRowHeight="15" x14ac:dyDescent="0.2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x14ac:dyDescent="0.25">
      <c r="A1" s="169" t="s">
        <v>843</v>
      </c>
      <c r="B1" s="170"/>
      <c r="C1" s="170"/>
      <c r="D1" s="170"/>
      <c r="E1" s="170"/>
      <c r="F1" s="170"/>
      <c r="G1" s="170"/>
      <c r="H1" s="170"/>
    </row>
    <row r="2" spans="1:8" x14ac:dyDescent="0.25">
      <c r="A2" s="124" t="s">
        <v>110</v>
      </c>
      <c r="B2" s="125" t="s">
        <v>106</v>
      </c>
      <c r="C2" s="125" t="s">
        <v>120</v>
      </c>
      <c r="D2" s="125" t="s">
        <v>121</v>
      </c>
    </row>
    <row r="3" spans="1:8" x14ac:dyDescent="0.25">
      <c r="A3" s="17" t="str">
        <f>VLOOKUP(Read_First!B5,Items!A1:BI50,54,FALSE)</f>
        <v>Attraktivität</v>
      </c>
      <c r="B3" s="63">
        <f>Results!L3</f>
        <v>1.1666666666666665</v>
      </c>
      <c r="C3" s="16" t="str">
        <f>IF(B3&gt;1.75,"Excellent",IF(B3&gt;1.52,"Good",IF(B3&gt;1.17,"Above average",IF(B3&gt;0.7,"Below average","Bad"))))</f>
        <v>Below average</v>
      </c>
      <c r="D3" s="15" t="str">
        <f>IF(B3&gt;1.75,"In the range of the 10% best results",IF(B3&gt;1.52,"10% of results better, 75% of results worse",IF(B3&gt;1.17,"25% of results better, 50% of results worse",IF(B3&gt;0.7,"50% of results better, 25% of results worse","In the range of the 25% worst results"))))</f>
        <v>50% of results better, 25% of results worse</v>
      </c>
    </row>
    <row r="4" spans="1:8" x14ac:dyDescent="0.25">
      <c r="A4" s="17" t="str">
        <f>VLOOKUP(Read_First!B5,Items!A1:BI50,55,FALSE)</f>
        <v>Durchschaubarkeit</v>
      </c>
      <c r="B4" s="63">
        <f>Results!L4</f>
        <v>1.25</v>
      </c>
      <c r="C4" s="16" t="str">
        <f>IF(B4&gt;1.9,"Excellent",IF(B4&gt;1.56,"Good",IF(B4&gt;1.08,"Above Average",IF(B4&gt;0.64,"Below Average","Bad"))))</f>
        <v>Above Average</v>
      </c>
      <c r="D4" s="15" t="str">
        <f>IF(B4&gt;1.9,"In the range of the 10% best results",IF(B4&gt;1.56,"10% of results better, 75% of results worse",IF(B4&gt;1.08,"25% of results better, 50% of results worse",IF(B4&gt;0.64,"50% of results better, 25% of results worse","In the range of the 25% worst results"))))</f>
        <v>25% of results better, 50% of results worse</v>
      </c>
    </row>
    <row r="5" spans="1:8" x14ac:dyDescent="0.25">
      <c r="A5" s="17" t="str">
        <f>VLOOKUP(Read_First!B5,Items!A1:BI50,56,FALSE)</f>
        <v>Effizienz</v>
      </c>
      <c r="B5" s="63">
        <f>Results!L5</f>
        <v>0.7</v>
      </c>
      <c r="C5" s="16" t="str">
        <f>IF(B5&gt;1.78,"Excellent",IF(B5&gt;1.47,"Good",IF(B5&gt;0.98,"Above Average",IF(B5&gt;0.54,"Below Average","Bad"))))</f>
        <v>Below Average</v>
      </c>
      <c r="D5" s="15" t="str">
        <f>IF(B5&gt;1.78,"In the range of the 10% best results",IF(B5&gt;1.47,"10% of results better, 75% of results worse",IF(B5&gt;0.98,"25% of results better, 50% of results worse",IF(B5&gt;0.54,"50% of results better, 25% of results worse","In the range of the 25% worst results"))))</f>
        <v>50% of results better, 25% of results worse</v>
      </c>
    </row>
    <row r="6" spans="1:8" x14ac:dyDescent="0.25">
      <c r="A6" s="18" t="str">
        <f>VLOOKUP(Read_First!B5,Items!A1:BI50,57,FALSE)</f>
        <v>Steuerbarkeit</v>
      </c>
      <c r="B6" s="63">
        <f>Results!L6</f>
        <v>1.35</v>
      </c>
      <c r="C6" s="16" t="str">
        <f>IF(B6&gt;1.65,"Excellent",IF(B6&gt;1.48,"Good",IF(B6&gt;1.14,"Above Average",IF(B6&gt;0.78,"Below Average","Bad"))))</f>
        <v>Above Average</v>
      </c>
      <c r="D6" s="15" t="str">
        <f>IF(B6&gt;1.65,"In the range of the 10% best results",IF(B6&gt;1.48,"10% of results better, 75% of results worse",IF(B6&gt;1.14,"25% of results better, 50% of results worse",IF(B6&gt;0.78,"50% of results better, 25% of results worse","In the range of the 25% worst results"))))</f>
        <v>25% of results better, 50% of results worse</v>
      </c>
    </row>
    <row r="7" spans="1:8" x14ac:dyDescent="0.25">
      <c r="A7" s="18" t="str">
        <f>VLOOKUP(Read_First!B5,Items!A1:BI50,58,FALSE)</f>
        <v>Stimulation</v>
      </c>
      <c r="B7" s="63">
        <f>Results!L7</f>
        <v>0.7</v>
      </c>
      <c r="C7" s="16" t="str">
        <f>IF(B7&gt;1.55,"Excellent",IF(B7&gt;1.31,"Good",IF(B7&gt;0.99,"Above Average",IF(B7&gt;0.5,"Below Average","Bad"))))</f>
        <v>Below Average</v>
      </c>
      <c r="D7" s="15" t="str">
        <f>IF(B7&gt;1.55,"In the range of the 10% best results",IF(B7&gt;1.31,"10% of results better, 75% of results worse",IF(B7&gt;0.99,"25% of results better, 50% of results worse",IF(B7&gt;0.5,"50% of results better, 25% of results worse","In the range of the 25% worst results"))))</f>
        <v>50% of results better, 25% of results worse</v>
      </c>
    </row>
    <row r="8" spans="1:8" x14ac:dyDescent="0.25">
      <c r="A8" s="17" t="str">
        <f>VLOOKUP(Read_First!B5,Items!A1:BI50,59,FALSE)</f>
        <v>Originalität</v>
      </c>
      <c r="B8" s="63">
        <f>Results!L8</f>
        <v>1</v>
      </c>
      <c r="C8" s="16" t="str">
        <f>IF(B8&gt;1.4,"Excellent",IF(B8&gt;1.05,"Good",IF(B8&gt;0.71,"Above Average",IF(B8&gt;0.3,"Below Average","Bad"))))</f>
        <v>Above Average</v>
      </c>
      <c r="D8" s="15" t="str">
        <f>IF(B8&gt;1.4,"In the range of the 10% best results",IF(B8&gt;1.05,"10% of results better, 75% of results worse",IF(B8&gt;0.71,"25% of results better, 50% of results worse",IF(B8&gt;0.3,"50% of results better, 25% of results worse","In the range of the 25% worst results"))))</f>
        <v>25% of results better, 50% of results worse</v>
      </c>
    </row>
    <row r="26" spans="1:8" x14ac:dyDescent="0.25">
      <c r="A26" s="171" t="s">
        <v>825</v>
      </c>
      <c r="B26" s="171"/>
      <c r="C26" s="171"/>
      <c r="D26" s="171"/>
      <c r="E26" s="171"/>
      <c r="F26" s="171"/>
      <c r="G26" s="171"/>
      <c r="H26" s="171"/>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Attraktivität</v>
      </c>
      <c r="B28" s="35">
        <v>-1</v>
      </c>
      <c r="C28" s="36">
        <v>0.7</v>
      </c>
      <c r="D28" s="36">
        <v>0.47</v>
      </c>
      <c r="E28" s="36">
        <v>0.35</v>
      </c>
      <c r="F28" s="36">
        <v>0.23</v>
      </c>
      <c r="G28" s="36">
        <v>0.75</v>
      </c>
      <c r="H28" s="64">
        <f>Results!L3</f>
        <v>1.1666666666666665</v>
      </c>
    </row>
    <row r="29" spans="1:8" x14ac:dyDescent="0.25">
      <c r="A29" s="17" t="str">
        <f>VLOOKUP(Read_First!B5,Items!A1:BI50,55,FALSE)</f>
        <v>Durchschaubarkeit</v>
      </c>
      <c r="B29" s="35">
        <v>-1</v>
      </c>
      <c r="C29" s="36">
        <v>0.64</v>
      </c>
      <c r="D29" s="36">
        <v>0.44</v>
      </c>
      <c r="E29" s="36">
        <v>0.48</v>
      </c>
      <c r="F29" s="36">
        <v>0.34</v>
      </c>
      <c r="G29" s="36">
        <v>0.6</v>
      </c>
      <c r="H29" s="64">
        <f>Results!L4</f>
        <v>1.25</v>
      </c>
    </row>
    <row r="30" spans="1:8" x14ac:dyDescent="0.25">
      <c r="A30" s="17" t="str">
        <f>VLOOKUP(Read_First!B5,Items!A1:BI50,56,FALSE)</f>
        <v>Effizienz</v>
      </c>
      <c r="B30" s="35">
        <v>-1</v>
      </c>
      <c r="C30" s="36">
        <v>0.54</v>
      </c>
      <c r="D30" s="36">
        <v>0.44</v>
      </c>
      <c r="E30" s="36">
        <v>0.49</v>
      </c>
      <c r="F30" s="36">
        <v>0.31</v>
      </c>
      <c r="G30" s="36">
        <v>0.72</v>
      </c>
      <c r="H30" s="64">
        <f>Results!L5</f>
        <v>0.7</v>
      </c>
    </row>
    <row r="31" spans="1:8" x14ac:dyDescent="0.25">
      <c r="A31" s="18" t="str">
        <f>VLOOKUP(Read_First!B5,Items!A1:BI50,57,FALSE)</f>
        <v>Steuerbarkeit</v>
      </c>
      <c r="B31" s="35">
        <v>-1</v>
      </c>
      <c r="C31" s="36">
        <v>0.78</v>
      </c>
      <c r="D31" s="36">
        <v>0.36</v>
      </c>
      <c r="E31" s="36">
        <v>0.34</v>
      </c>
      <c r="F31" s="36">
        <v>0.17</v>
      </c>
      <c r="G31" s="36">
        <v>0.85</v>
      </c>
      <c r="H31" s="64">
        <f>Results!L6</f>
        <v>1.35</v>
      </c>
    </row>
    <row r="32" spans="1:8" x14ac:dyDescent="0.25">
      <c r="A32" s="18" t="str">
        <f>VLOOKUP(Read_First!B5,Items!A1:BI50,58,FALSE)</f>
        <v>Stimulation</v>
      </c>
      <c r="B32" s="35">
        <v>-1</v>
      </c>
      <c r="C32" s="36">
        <v>0.5</v>
      </c>
      <c r="D32" s="36">
        <v>0.49</v>
      </c>
      <c r="E32" s="36">
        <v>0.32</v>
      </c>
      <c r="F32" s="36">
        <v>0.24</v>
      </c>
      <c r="G32" s="36">
        <v>0.95</v>
      </c>
      <c r="H32" s="64">
        <f>Results!L7</f>
        <v>0.7</v>
      </c>
    </row>
    <row r="33" spans="1:8" x14ac:dyDescent="0.25">
      <c r="A33" s="17" t="str">
        <f>VLOOKUP(Read_First!B5,Items!A1:BI50,59,FALSE)</f>
        <v>Originalität</v>
      </c>
      <c r="B33" s="35">
        <v>-1</v>
      </c>
      <c r="C33" s="36">
        <v>0.3</v>
      </c>
      <c r="D33" s="36">
        <v>0.41</v>
      </c>
      <c r="E33" s="36">
        <v>0.34</v>
      </c>
      <c r="F33" s="36">
        <v>0.35</v>
      </c>
      <c r="G33" s="36">
        <v>1.1000000000000001</v>
      </c>
      <c r="H33" s="64">
        <f>Results!L8</f>
        <v>1</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40625" defaultRowHeight="15" x14ac:dyDescent="0.25"/>
  <cols>
    <col min="1" max="26" width="3.7109375" style="1" customWidth="1"/>
    <col min="29" max="35" width="13.7109375" style="1" customWidth="1"/>
  </cols>
  <sheetData>
    <row r="1" spans="1:35" ht="192.75" customHeight="1" x14ac:dyDescent="0.25">
      <c r="A1" s="150" t="s">
        <v>1294</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C1" s="37"/>
      <c r="AD1" s="38"/>
      <c r="AE1" s="38"/>
      <c r="AF1" s="38"/>
      <c r="AG1" s="38"/>
      <c r="AH1" s="39"/>
      <c r="AI1" s="1" t="s">
        <v>828</v>
      </c>
    </row>
    <row r="2" spans="1:35"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49" t="s">
        <v>826</v>
      </c>
      <c r="AD2" s="149"/>
      <c r="AE2" s="149"/>
      <c r="AF2" s="149"/>
      <c r="AG2" s="149"/>
      <c r="AH2" s="149"/>
      <c r="AI2" s="149"/>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827</v>
      </c>
    </row>
    <row r="4" spans="1:35" x14ac:dyDescent="0.25">
      <c r="A4" s="68">
        <f>IF(Data!A4&gt;0,Data!A4-4,"")</f>
        <v>1</v>
      </c>
      <c r="B4" s="68">
        <f>IF(Data!B4&gt;0,Data!B4-4,"")</f>
        <v>1</v>
      </c>
      <c r="C4" s="68">
        <f>IF(Data!C4&gt;0,4-Data!C4,"")</f>
        <v>2</v>
      </c>
      <c r="D4" s="68">
        <f>IF(Data!D4&gt;0,4-Data!D4,"")</f>
        <v>3</v>
      </c>
      <c r="E4" s="68">
        <f>IF(Data!E4&gt;0,4-Data!E4,"")</f>
        <v>1</v>
      </c>
      <c r="F4" s="68">
        <f>IF(Data!F4&gt;0,Data!F4-4,"")</f>
        <v>0</v>
      </c>
      <c r="G4" s="68">
        <f>IF(Data!G4&gt;0,Data!G4-4,"")</f>
        <v>1</v>
      </c>
      <c r="H4" s="68">
        <f>IF(Data!H4&gt;0,Data!H4-4,"")</f>
        <v>3</v>
      </c>
      <c r="I4" s="68">
        <f>IF(Data!I4&gt;0,4-Data!I4,"")</f>
        <v>2</v>
      </c>
      <c r="J4" s="68">
        <f>IF(Data!J4&gt;0,4-Data!J4,"")</f>
        <v>1</v>
      </c>
      <c r="K4" s="68">
        <f>IF(Data!K4&gt;0,Data!K4-4,"")</f>
        <v>2</v>
      </c>
      <c r="L4" s="68">
        <f>IF(Data!L4&gt;0,4-Data!L4,"")</f>
        <v>1</v>
      </c>
      <c r="M4" s="68">
        <f>IF(Data!M4&gt;0,Data!M4-4,"")</f>
        <v>2</v>
      </c>
      <c r="N4" s="68">
        <f>IF(Data!N4&gt;0,Data!N4-4,"")</f>
        <v>0</v>
      </c>
      <c r="O4" s="68">
        <f>IF(Data!O4&gt;0,Data!O4-4,"")</f>
        <v>2</v>
      </c>
      <c r="P4" s="68">
        <f>IF(Data!P4&gt;0,Data!P4-4,"")</f>
        <v>2</v>
      </c>
      <c r="Q4" s="68">
        <f>IF(Data!Q4&gt;0,4-Data!Q4,"")</f>
        <v>3</v>
      </c>
      <c r="R4" s="1">
        <f>IF(Data!R4&gt;0,4-Data!R4,"")</f>
        <v>2</v>
      </c>
      <c r="S4" s="68">
        <f>IF(Data!S4&gt;0,4-Data!S4,"")</f>
        <v>2</v>
      </c>
      <c r="T4" s="68">
        <f>IF(Data!T4&gt;0,Data!T4-4,"")</f>
        <v>2</v>
      </c>
      <c r="U4" s="68">
        <f>IF(Data!U4&gt;0,4-Data!U4,"")</f>
        <v>0</v>
      </c>
      <c r="V4" s="68">
        <f>IF(Data!V4&gt;0,Data!V4-4,"")</f>
        <v>1</v>
      </c>
      <c r="W4" s="68">
        <f>IF(Data!W4&gt;0,4-Data!W4,"")</f>
        <v>3</v>
      </c>
      <c r="X4" s="68">
        <f>IF(Data!X4&gt;0,4-Data!X4,"")</f>
        <v>2</v>
      </c>
      <c r="Y4" s="68">
        <f>IF(Data!Y4&gt;0,4-Data!Y4,"")</f>
        <v>2</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5">
      <c r="A5" s="1">
        <f>IF(Data!A5&gt;0,Data!A5-4,"")</f>
        <v>1</v>
      </c>
      <c r="B5" s="1">
        <f>IF(Data!B5&gt;0,Data!B5-4,"")</f>
        <v>2</v>
      </c>
      <c r="C5" s="1">
        <f>IF(Data!C5&gt;0,4-Data!C5,"")</f>
        <v>0</v>
      </c>
      <c r="D5" s="1">
        <f>IF(Data!D5&gt;0,4-Data!D5,"")</f>
        <v>2</v>
      </c>
      <c r="E5" s="1">
        <f>IF(Data!E5&gt;0,4-Data!E5,"")</f>
        <v>0</v>
      </c>
      <c r="F5" s="1">
        <f>IF(Data!F5&gt;0,Data!F5-4,"")</f>
        <v>0</v>
      </c>
      <c r="G5" s="1">
        <f>IF(Data!G5&gt;0,Data!G5-4,"")</f>
        <v>2</v>
      </c>
      <c r="H5" s="1">
        <f>IF(Data!H5&gt;0,Data!H5-4,"")</f>
        <v>2</v>
      </c>
      <c r="I5" s="1">
        <f>IF(Data!I5&gt;0,4-Data!I5,"")</f>
        <v>2</v>
      </c>
      <c r="J5" s="1">
        <f>IF(Data!J5&gt;0,4-Data!J5,"")</f>
        <v>1</v>
      </c>
      <c r="K5" s="1">
        <f>IF(Data!K5&gt;0,Data!K5-4,"")</f>
        <v>2</v>
      </c>
      <c r="L5" s="1">
        <f>IF(Data!L5&gt;0,4-Data!L5,"")</f>
        <v>2</v>
      </c>
      <c r="M5" s="1">
        <f>IF(Data!M5&gt;0,Data!M5-4,"")</f>
        <v>2</v>
      </c>
      <c r="N5" s="1">
        <f>IF(Data!N5&gt;0,Data!N5-4,"")</f>
        <v>1</v>
      </c>
      <c r="O5" s="1">
        <f>IF(Data!O5&gt;0,Data!O5-4,"")</f>
        <v>0</v>
      </c>
      <c r="P5" s="1">
        <f>IF(Data!P5&gt;0,Data!P5-4,"")</f>
        <v>2</v>
      </c>
      <c r="Q5" s="1">
        <f>IF(Data!Q5&gt;0,4-Data!Q5,"")</f>
        <v>2</v>
      </c>
      <c r="R5" s="1">
        <f>IF(Data!R5&gt;0,4-Data!R5,"")</f>
        <v>0</v>
      </c>
      <c r="S5" s="1">
        <f>IF(Data!S5&gt;0,4-Data!S5,"")</f>
        <v>2</v>
      </c>
      <c r="T5" s="1">
        <f>IF(Data!T5&gt;0,Data!T5-4,"")</f>
        <v>2</v>
      </c>
      <c r="U5" s="1">
        <f>IF(Data!U5&gt;0,4-Data!U5,"")</f>
        <v>2</v>
      </c>
      <c r="V5" s="1">
        <f>IF(Data!V5&gt;0,Data!V5-4,"")</f>
        <v>1</v>
      </c>
      <c r="W5" s="1">
        <f>IF(Data!W5&gt;0,4-Data!W5,"")</f>
        <v>0</v>
      </c>
      <c r="X5" s="1">
        <f>IF(Data!X5&gt;0,4-Data!X5,"")</f>
        <v>2</v>
      </c>
      <c r="Y5" s="1">
        <f>IF(Data!Y5&gt;0,4-Data!Y5,"")</f>
        <v>2</v>
      </c>
      <c r="Z5" s="1">
        <f>IF(Data!Z5&gt;0,Data!Z5-4,"")</f>
        <v>1</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25">
      <c r="A6" s="1">
        <f>IF(Data!A6&gt;0,Data!A6-4,"")</f>
        <v>2</v>
      </c>
      <c r="B6" s="1">
        <f>IF(Data!B6&gt;0,Data!B6-4,"")</f>
        <v>1</v>
      </c>
      <c r="C6" s="1">
        <f>IF(Data!C6&gt;0,4-Data!C6,"")</f>
        <v>2</v>
      </c>
      <c r="D6" s="1">
        <f>IF(Data!D6&gt;0,4-Data!D6,"")</f>
        <v>1</v>
      </c>
      <c r="E6" s="1">
        <f>IF(Data!E6&gt;0,4-Data!E6,"")</f>
        <v>1</v>
      </c>
      <c r="F6" s="1">
        <f>IF(Data!F6&gt;0,Data!F6-4,"")</f>
        <v>1</v>
      </c>
      <c r="G6" s="1">
        <f>IF(Data!G6&gt;0,Data!G6-4,"")</f>
        <v>1</v>
      </c>
      <c r="H6" s="1">
        <f>IF(Data!H6&gt;0,Data!H6-4,"")</f>
        <v>0</v>
      </c>
      <c r="I6" s="1">
        <f>IF(Data!I6&gt;0,4-Data!I6,"")</f>
        <v>0</v>
      </c>
      <c r="J6" s="1">
        <f>IF(Data!J6&gt;0,4-Data!J6,"")</f>
        <v>1</v>
      </c>
      <c r="K6" s="1">
        <f>IF(Data!K6&gt;0,Data!K6-4,"")</f>
        <v>2</v>
      </c>
      <c r="L6" s="1">
        <f>IF(Data!L6&gt;0,4-Data!L6,"")</f>
        <v>2</v>
      </c>
      <c r="M6" s="1">
        <f>IF(Data!M6&gt;0,Data!M6-4,"")</f>
        <v>2</v>
      </c>
      <c r="N6" s="1">
        <f>IF(Data!N6&gt;0,Data!N6-4,"")</f>
        <v>2</v>
      </c>
      <c r="O6" s="1">
        <f>IF(Data!O6&gt;0,Data!O6-4,"")</f>
        <v>3</v>
      </c>
      <c r="P6" s="1">
        <f>IF(Data!P6&gt;0,Data!P6-4,"")</f>
        <v>2</v>
      </c>
      <c r="Q6" s="1">
        <f>IF(Data!Q6&gt;0,4-Data!Q6,"")</f>
        <v>0</v>
      </c>
      <c r="R6" s="1">
        <f>IF(Data!R6&gt;0,4-Data!R6,"")</f>
        <v>1</v>
      </c>
      <c r="S6" s="1">
        <f>IF(Data!S6&gt;0,4-Data!S6,"")</f>
        <v>1</v>
      </c>
      <c r="T6" s="1">
        <f>IF(Data!T6&gt;0,Data!T6-4,"")</f>
        <v>1</v>
      </c>
      <c r="U6" s="1">
        <f>IF(Data!U6&gt;0,4-Data!U6,"")</f>
        <v>0</v>
      </c>
      <c r="V6" s="1">
        <f>IF(Data!V6&gt;0,Data!V6-4,"")</f>
        <v>0</v>
      </c>
      <c r="W6" s="1">
        <f>IF(Data!W6&gt;0,4-Data!W6,"")</f>
        <v>0</v>
      </c>
      <c r="X6" s="1">
        <f>IF(Data!X6&gt;0,4-Data!X6,"")</f>
        <v>1</v>
      </c>
      <c r="Y6" s="1">
        <f>IF(Data!Y6&gt;0,4-Data!Y6,"")</f>
        <v>0</v>
      </c>
      <c r="Z6" s="1">
        <f>IF(Data!Z6&gt;0,Data!Z6-4,"")</f>
        <v>1</v>
      </c>
      <c r="AC6" s="4" t="str">
        <f t="shared" si="4"/>
        <v/>
      </c>
      <c r="AD6" s="4" t="str">
        <f t="shared" si="5"/>
        <v/>
      </c>
      <c r="AE6" s="4" t="str">
        <f t="shared" si="6"/>
        <v/>
      </c>
      <c r="AF6" s="4" t="str">
        <f t="shared" si="7"/>
        <v/>
      </c>
      <c r="AG6" s="4" t="str">
        <f t="shared" si="8"/>
        <v/>
      </c>
      <c r="AH6" s="4" t="str">
        <f t="shared" si="9"/>
        <v/>
      </c>
      <c r="AI6" s="2">
        <f t="shared" si="10"/>
        <v>0</v>
      </c>
    </row>
    <row r="7" spans="1:35" x14ac:dyDescent="0.25">
      <c r="A7" s="1">
        <f>IF(Data!A7&gt;0,Data!A7-4,"")</f>
        <v>0</v>
      </c>
      <c r="B7" s="1">
        <f>IF(Data!B7&gt;0,Data!B7-4,"")</f>
        <v>2</v>
      </c>
      <c r="C7" s="1">
        <f>IF(Data!C7&gt;0,4-Data!C7,"")</f>
        <v>0</v>
      </c>
      <c r="D7" s="1">
        <f>IF(Data!D7&gt;0,4-Data!D7,"")</f>
        <v>2</v>
      </c>
      <c r="E7" s="1">
        <f>IF(Data!E7&gt;0,4-Data!E7,"")</f>
        <v>1</v>
      </c>
      <c r="F7" s="1">
        <f>IF(Data!F7&gt;0,Data!F7-4,"")</f>
        <v>0</v>
      </c>
      <c r="G7" s="1">
        <f>IF(Data!G7&gt;0,Data!G7-4,"")</f>
        <v>1</v>
      </c>
      <c r="H7" s="1">
        <f>IF(Data!H7&gt;0,Data!H7-4,"")</f>
        <v>1</v>
      </c>
      <c r="I7" s="1">
        <f>IF(Data!I7&gt;0,4-Data!I7,"")</f>
        <v>0</v>
      </c>
      <c r="J7" s="1">
        <f>IF(Data!J7&gt;0,4-Data!J7,"")</f>
        <v>0</v>
      </c>
      <c r="K7" s="1">
        <f>IF(Data!K7&gt;0,Data!K7-4,"")</f>
        <v>2</v>
      </c>
      <c r="L7" s="1">
        <f>IF(Data!L7&gt;0,4-Data!L7,"")</f>
        <v>2</v>
      </c>
      <c r="M7" s="1">
        <f>IF(Data!M7&gt;0,Data!M7-4,"")</f>
        <v>1</v>
      </c>
      <c r="N7" s="1">
        <f>IF(Data!N7&gt;0,Data!N7-4,"")</f>
        <v>0</v>
      </c>
      <c r="O7" s="1">
        <f>IF(Data!O7&gt;0,Data!O7-4,"")</f>
        <v>2</v>
      </c>
      <c r="P7" s="1">
        <f>IF(Data!P7&gt;0,Data!P7-4,"")</f>
        <v>2</v>
      </c>
      <c r="Q7" s="1">
        <f>IF(Data!Q7&gt;0,4-Data!Q7,"")</f>
        <v>0</v>
      </c>
      <c r="R7" s="1">
        <f>IF(Data!R7&gt;0,4-Data!R7,"")</f>
        <v>0</v>
      </c>
      <c r="S7" s="1">
        <f>IF(Data!S7&gt;0,4-Data!S7,"")</f>
        <v>1</v>
      </c>
      <c r="T7" s="1">
        <f>IF(Data!T7&gt;0,Data!T7-4,"")</f>
        <v>1</v>
      </c>
      <c r="U7" s="1">
        <f>IF(Data!U7&gt;0,4-Data!U7,"")</f>
        <v>0</v>
      </c>
      <c r="V7" s="1">
        <f>IF(Data!V7&gt;0,Data!V7-4,"")</f>
        <v>1</v>
      </c>
      <c r="W7" s="1">
        <f>IF(Data!W7&gt;0,4-Data!W7,"")</f>
        <v>-1</v>
      </c>
      <c r="X7" s="1">
        <f>IF(Data!X7&gt;0,4-Data!X7,"")</f>
        <v>0</v>
      </c>
      <c r="Y7" s="1">
        <f>IF(Data!Y7&gt;0,4-Data!Y7,"")</f>
        <v>1</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x14ac:dyDescent="0.25">
      <c r="A8" s="1">
        <f>IF(Data!A8&gt;0,Data!A8-4,"")</f>
        <v>0</v>
      </c>
      <c r="B8" s="1">
        <f>IF(Data!B8&gt;0,Data!B8-4,"")</f>
        <v>1</v>
      </c>
      <c r="C8" s="1">
        <f>IF(Data!C8&gt;0,4-Data!C8,"")</f>
        <v>-1</v>
      </c>
      <c r="D8" s="1">
        <f>IF(Data!D8&gt;0,4-Data!D8,"")</f>
        <v>1</v>
      </c>
      <c r="E8" s="1">
        <f>IF(Data!E8&gt;0,4-Data!E8,"")</f>
        <v>0</v>
      </c>
      <c r="F8" s="1">
        <f>IF(Data!F8&gt;0,Data!F8-4,"")</f>
        <v>1</v>
      </c>
      <c r="G8" s="1">
        <f>IF(Data!G8&gt;0,Data!G8-4,"")</f>
        <v>1</v>
      </c>
      <c r="H8" s="1">
        <f>IF(Data!H8&gt;0,Data!H8-4,"")</f>
        <v>0</v>
      </c>
      <c r="I8" s="1">
        <f>IF(Data!I8&gt;0,4-Data!I8,"")</f>
        <v>0</v>
      </c>
      <c r="J8" s="1">
        <f>IF(Data!J8&gt;0,4-Data!J8,"")</f>
        <v>1</v>
      </c>
      <c r="K8" s="1">
        <f>IF(Data!K8&gt;0,Data!K8-4,"")</f>
        <v>1</v>
      </c>
      <c r="L8" s="1">
        <f>IF(Data!L8&gt;0,4-Data!L8,"")</f>
        <v>1</v>
      </c>
      <c r="M8" s="1">
        <f>IF(Data!M8&gt;0,Data!M8-4,"")</f>
        <v>0</v>
      </c>
      <c r="N8" s="1">
        <f>IF(Data!N8&gt;0,Data!N8-4,"")</f>
        <v>0</v>
      </c>
      <c r="O8" s="1">
        <f>IF(Data!O8&gt;0,Data!O8-4,"")</f>
        <v>2</v>
      </c>
      <c r="P8" s="1">
        <f>IF(Data!P8&gt;0,Data!P8-4,"")</f>
        <v>1</v>
      </c>
      <c r="Q8" s="1">
        <f>IF(Data!Q8&gt;0,4-Data!Q8,"")</f>
        <v>0</v>
      </c>
      <c r="R8" s="1">
        <f>IF(Data!R8&gt;0,4-Data!R8,"")</f>
        <v>0</v>
      </c>
      <c r="S8" s="1">
        <f>IF(Data!S8&gt;0,4-Data!S8,"")</f>
        <v>1</v>
      </c>
      <c r="T8" s="1">
        <f>IF(Data!T8&gt;0,Data!T8-4,"")</f>
        <v>0</v>
      </c>
      <c r="U8" s="1">
        <f>IF(Data!U8&gt;0,4-Data!U8,"")</f>
        <v>0</v>
      </c>
      <c r="V8" s="1">
        <f>IF(Data!V8&gt;0,Data!V8-4,"")</f>
        <v>1</v>
      </c>
      <c r="W8" s="1">
        <f>IF(Data!W8&gt;0,4-Data!W8,"")</f>
        <v>-2</v>
      </c>
      <c r="X8" s="1">
        <f>IF(Data!X8&gt;0,4-Data!X8,"")</f>
        <v>0</v>
      </c>
      <c r="Y8" s="1">
        <f>IF(Data!Y8&gt;0,4-Data!Y8,"")</f>
        <v>1</v>
      </c>
      <c r="Z8" s="1">
        <f>IF(Data!Z8&gt;0,Data!Z8-4,"")</f>
        <v>1</v>
      </c>
      <c r="AC8" s="4" t="str">
        <f t="shared" si="4"/>
        <v/>
      </c>
      <c r="AD8" s="4" t="str">
        <f t="shared" si="5"/>
        <v/>
      </c>
      <c r="AE8" s="4" t="str">
        <f t="shared" si="6"/>
        <v/>
      </c>
      <c r="AF8" s="4" t="str">
        <f t="shared" si="7"/>
        <v/>
      </c>
      <c r="AG8" s="4" t="str">
        <f t="shared" si="8"/>
        <v/>
      </c>
      <c r="AH8" s="4" t="str">
        <f t="shared" si="9"/>
        <v/>
      </c>
      <c r="AI8" s="2">
        <f t="shared" si="10"/>
        <v>0</v>
      </c>
    </row>
    <row r="9" spans="1:35" x14ac:dyDescent="0.2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x14ac:dyDescent="0.2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x14ac:dyDescent="0.2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x14ac:dyDescent="0.2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x14ac:dyDescent="0.2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x14ac:dyDescent="0.2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x14ac:dyDescent="0.2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x14ac:dyDescent="0.2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x14ac:dyDescent="0.2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x14ac:dyDescent="0.2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x14ac:dyDescent="0.2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x14ac:dyDescent="0.2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x14ac:dyDescent="0.2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x14ac:dyDescent="0.2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x14ac:dyDescent="0.2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baseColWidth="10" defaultColWidth="9.140625" defaultRowHeight="15" x14ac:dyDescent="0.25"/>
  <cols>
    <col min="1" max="1" width="28" customWidth="1"/>
    <col min="2" max="2" width="18.140625" customWidth="1"/>
    <col min="3" max="5" width="18.28515625" customWidth="1"/>
    <col min="6" max="6" width="18.42578125" customWidth="1"/>
    <col min="7" max="7" width="18.28515625" customWidth="1"/>
  </cols>
  <sheetData>
    <row r="1" spans="1:7" ht="21" x14ac:dyDescent="0.35">
      <c r="A1" s="172" t="s">
        <v>832</v>
      </c>
      <c r="B1" s="172"/>
      <c r="C1" s="172"/>
      <c r="D1" s="172"/>
      <c r="E1" s="172"/>
      <c r="F1" s="172"/>
      <c r="G1" s="172"/>
    </row>
    <row r="2" spans="1:7" ht="184.9" customHeight="1" x14ac:dyDescent="0.25">
      <c r="A2" s="164" t="s">
        <v>833</v>
      </c>
      <c r="B2" s="164"/>
      <c r="C2" s="164"/>
      <c r="D2" s="164"/>
      <c r="E2" s="164"/>
      <c r="F2" s="164"/>
      <c r="G2" s="164"/>
    </row>
    <row r="3" spans="1:7" x14ac:dyDescent="0.25">
      <c r="A3" s="98" t="s">
        <v>110</v>
      </c>
      <c r="B3" s="91" t="s">
        <v>830</v>
      </c>
    </row>
    <row r="4" spans="1:7" x14ac:dyDescent="0.25">
      <c r="A4" s="30" t="str">
        <f>VLOOKUP(Read_First!B5,Items!A1:BI50,54,FALSE)</f>
        <v>Attraktivität</v>
      </c>
      <c r="B4" s="7">
        <f>SQRT(VAR(DT!AC4:AC1004))</f>
        <v>0.4859126579037753</v>
      </c>
    </row>
    <row r="5" spans="1:7" x14ac:dyDescent="0.25">
      <c r="A5" s="30" t="str">
        <f>VLOOKUP(Read_First!B5,Items!A1:BI50,55,FALSE)</f>
        <v>Durchschaubarkeit</v>
      </c>
      <c r="B5" s="7">
        <f>SQRT(VAR(DT!AD4:AD1004))</f>
        <v>0.55901699437494745</v>
      </c>
    </row>
    <row r="6" spans="1:7" x14ac:dyDescent="0.25">
      <c r="A6" s="30" t="str">
        <f>VLOOKUP(Read_First!B5,Items!A1:BI50,56,FALSE)</f>
        <v>Effizienz</v>
      </c>
      <c r="B6" s="7">
        <f>SQRT(VAR(DT!AE4:AE1004))</f>
        <v>0.90829510622924747</v>
      </c>
    </row>
    <row r="7" spans="1:7" x14ac:dyDescent="0.25">
      <c r="A7" s="30" t="str">
        <f>VLOOKUP(Read_First!B5,Items!A1:BI50,57,FALSE)</f>
        <v>Steuerbarkeit</v>
      </c>
      <c r="B7" s="7">
        <f>SQRT(VAR(DT!AF4:AF1004))</f>
        <v>0.85877820186588327</v>
      </c>
    </row>
    <row r="8" spans="1:7" x14ac:dyDescent="0.25">
      <c r="A8" s="30" t="str">
        <f>VLOOKUP(Read_First!B5,Items!A1:BI50,58,FALSE)</f>
        <v>Stimulation</v>
      </c>
      <c r="B8" s="7">
        <f>SQRT(VAR(DT!AG4:AG1004))</f>
        <v>0.27386127875258298</v>
      </c>
    </row>
    <row r="9" spans="1:7" x14ac:dyDescent="0.25">
      <c r="A9" s="30" t="str">
        <f>VLOOKUP(Read_First!B5,Items!A1:BI50,59,FALSE)</f>
        <v>Originalität</v>
      </c>
      <c r="B9" s="7">
        <f>SQRT(VAR(DT!AH4:AH1004))</f>
        <v>0.58630196997792872</v>
      </c>
    </row>
    <row r="11" spans="1:7" x14ac:dyDescent="0.25">
      <c r="A11" s="103" t="s">
        <v>831</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x14ac:dyDescent="0.25">
      <c r="A12" s="105" t="s">
        <v>834</v>
      </c>
      <c r="B12" s="4">
        <f>POWER((1.65*B4)/0.5,2)</f>
        <v>2.5712500000000027</v>
      </c>
      <c r="C12" s="4">
        <f>POWER((1.65*B5)/0.5,2)</f>
        <v>3.4031250000000002</v>
      </c>
      <c r="D12" s="4">
        <f>POWER((1.65*B6)/0.5,2)</f>
        <v>8.9842499999999976</v>
      </c>
      <c r="E12" s="4">
        <f>POWER((1.65*B7)/0.5,2)</f>
        <v>8.031374999999997</v>
      </c>
      <c r="F12" s="4">
        <f>POWER((1.65*B8)/0.5,2)</f>
        <v>0.81674999999999942</v>
      </c>
      <c r="G12" s="4">
        <f>POWER((1.65*B9)/0.5,2)</f>
        <v>3.7434374999999998</v>
      </c>
    </row>
    <row r="13" spans="1:7" x14ac:dyDescent="0.25">
      <c r="A13" s="105" t="s">
        <v>835</v>
      </c>
      <c r="B13" s="4">
        <f>POWER((1.96*B4)/0.5,2)</f>
        <v>3.6281777777777817</v>
      </c>
      <c r="C13" s="4">
        <f>POWER((1.96*B5)/0.5,2)</f>
        <v>4.8019999999999996</v>
      </c>
      <c r="D13" s="4">
        <f>POWER((1.96*B6)/0.5,2)</f>
        <v>12.677279999999998</v>
      </c>
      <c r="E13" s="4">
        <f>POWER((1.96*B7)/0.5,2)</f>
        <v>11.332719999999997</v>
      </c>
      <c r="F13" s="4">
        <f>POWER((1.96*B8)/0.5,2)</f>
        <v>1.1524799999999995</v>
      </c>
      <c r="G13" s="4">
        <f>POWER((1.96*B9)/0.5,2)</f>
        <v>5.2821999999999996</v>
      </c>
    </row>
    <row r="14" spans="1:7" x14ac:dyDescent="0.25">
      <c r="A14" s="105" t="s">
        <v>836</v>
      </c>
      <c r="B14" s="4">
        <f>POWER((2.58*B5)/0.5,2)</f>
        <v>8.3205000000000009</v>
      </c>
      <c r="C14" s="4">
        <f>POWER((2.58*B5)/0.5,2)</f>
        <v>8.3205000000000009</v>
      </c>
      <c r="D14" s="4">
        <f>POWER((2.58*B6)/0.5,2)</f>
        <v>21.966120000000004</v>
      </c>
      <c r="E14" s="4">
        <f>POWER((2.58*B7)/0.5,2)</f>
        <v>19.636379999999999</v>
      </c>
      <c r="F14" s="4">
        <f>POWER((2.58*B8)/0.5,2)</f>
        <v>1.9969199999999991</v>
      </c>
      <c r="G14" s="4">
        <f>POWER((2.58*B9)/0.5,2)</f>
        <v>9.1525500000000015</v>
      </c>
    </row>
    <row r="15" spans="1:7" x14ac:dyDescent="0.25">
      <c r="A15" s="105" t="s">
        <v>837</v>
      </c>
      <c r="B15" s="4">
        <f>POWER((1.65*B4)/0.25,2)</f>
        <v>10.285000000000011</v>
      </c>
      <c r="C15" s="4">
        <f>POWER((1.65*B5)/0.25,2)</f>
        <v>13.612500000000001</v>
      </c>
      <c r="D15" s="4">
        <f>POWER((1.65*B6)/0.25,2)</f>
        <v>35.936999999999991</v>
      </c>
      <c r="E15" s="4">
        <f>POWER((1.65*B7)/0.25,2)</f>
        <v>32.125499999999988</v>
      </c>
      <c r="F15" s="4">
        <f>POWER((1.65*B8)/0.25,2)</f>
        <v>3.2669999999999977</v>
      </c>
      <c r="G15" s="4">
        <f>POWER((1.65*B9)/0.25,2)</f>
        <v>14.973749999999999</v>
      </c>
    </row>
    <row r="16" spans="1:7" x14ac:dyDescent="0.25">
      <c r="A16" s="105" t="s">
        <v>838</v>
      </c>
      <c r="B16" s="4">
        <f>POWER((1.96*B4)/0.25,2)</f>
        <v>14.512711111111127</v>
      </c>
      <c r="C16" s="4">
        <f>POWER((1.96*B5)/0.25,2)</f>
        <v>19.207999999999998</v>
      </c>
      <c r="D16" s="4">
        <f>POWER((1.96*B6)/0.25,2)</f>
        <v>50.709119999999992</v>
      </c>
      <c r="E16" s="4">
        <f>POWER((1.96*B7)/0.25,2)</f>
        <v>45.330879999999986</v>
      </c>
      <c r="F16" s="4">
        <f>POWER((1.96*B8)/0.25,2)</f>
        <v>4.609919999999998</v>
      </c>
      <c r="G16" s="4">
        <f>POWER((1.96*B9)/0.25,2)</f>
        <v>21.128799999999998</v>
      </c>
    </row>
    <row r="17" spans="1:7" x14ac:dyDescent="0.25">
      <c r="A17" s="105" t="s">
        <v>839</v>
      </c>
      <c r="B17" s="4">
        <f>POWER((2.58*B4)/0.25,2)</f>
        <v>25.146400000000032</v>
      </c>
      <c r="C17" s="4">
        <f>POWER((2.58*B5)/0.25,2)</f>
        <v>33.282000000000004</v>
      </c>
      <c r="D17" s="4">
        <f>POWER((2.58*B6)/0.25,2)</f>
        <v>87.864480000000015</v>
      </c>
      <c r="E17" s="4">
        <f>POWER((2.58*B7)/0.25,2)</f>
        <v>78.545519999999996</v>
      </c>
      <c r="F17" s="4">
        <f>POWER((2.58*B8)/0.25,2)</f>
        <v>7.9876799999999966</v>
      </c>
      <c r="G17" s="4">
        <f>POWER((2.58*B9)/0.25,2)</f>
        <v>36.610200000000006</v>
      </c>
    </row>
    <row r="18" spans="1:7" x14ac:dyDescent="0.25">
      <c r="A18" s="105" t="s">
        <v>840</v>
      </c>
      <c r="B18" s="4">
        <f>POWER((1.65*B4)/0.1,2)</f>
        <v>64.281250000000057</v>
      </c>
      <c r="C18" s="4">
        <f>POWER((1.65*B5)/0.1,2)</f>
        <v>85.078125</v>
      </c>
      <c r="D18" s="4">
        <f>POWER((1.65*B6)/0.1,2)</f>
        <v>224.60624999999993</v>
      </c>
      <c r="E18" s="4">
        <f>POWER((1.65*B7)/0.1,2)</f>
        <v>200.7843749999999</v>
      </c>
      <c r="F18" s="4">
        <f>POWER((1.65*B8)/0.1,2)</f>
        <v>20.418749999999985</v>
      </c>
      <c r="G18" s="4">
        <f>POWER((1.65*B9)/0.1,2)</f>
        <v>93.585937499999972</v>
      </c>
    </row>
    <row r="19" spans="1:7" x14ac:dyDescent="0.25">
      <c r="A19" s="105" t="s">
        <v>841</v>
      </c>
      <c r="B19" s="4">
        <f>POWER((1.96*B4)/0.1,2)</f>
        <v>90.704444444444547</v>
      </c>
      <c r="C19" s="4">
        <f>POWER((1.96*B5)/0.1,2)</f>
        <v>120.04999999999998</v>
      </c>
      <c r="D19" s="4">
        <f>POWER((1.96*B6)/0.1,2)</f>
        <v>316.93199999999985</v>
      </c>
      <c r="E19" s="4">
        <f>POWER((1.96*B7)/0.1,2)</f>
        <v>283.31799999999987</v>
      </c>
      <c r="F19" s="4">
        <f>POWER((1.96*B8)/0.1,2)</f>
        <v>28.811999999999983</v>
      </c>
      <c r="G19" s="4">
        <f>POWER((1.96*B9)/0.1,2)</f>
        <v>132.05499999999995</v>
      </c>
    </row>
    <row r="20" spans="1:7" x14ac:dyDescent="0.25">
      <c r="A20" s="106" t="s">
        <v>842</v>
      </c>
      <c r="B20" s="4">
        <f>POWER((2.58*B4)/0.1,2)</f>
        <v>157.16500000000019</v>
      </c>
      <c r="C20" s="4">
        <f>POWER((2.58*B5)/0.1,2)</f>
        <v>208.01250000000002</v>
      </c>
      <c r="D20" s="4">
        <f>POWER((2.58*B6)/0.1,2)</f>
        <v>549.15300000000002</v>
      </c>
      <c r="E20" s="4">
        <f>POWER((2.58*B7)/0.1,2)</f>
        <v>490.90949999999981</v>
      </c>
      <c r="F20" s="4">
        <f>POWER((2.58*B8)/0.1,2)</f>
        <v>49.922999999999981</v>
      </c>
      <c r="G20" s="4">
        <f>POWER((2.58*B9)/0.1,2)</f>
        <v>228.81375000000003</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baseColWidth="10" defaultColWidth="9.140625" defaultRowHeight="15" x14ac:dyDescent="0.2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s>
  <sheetData>
    <row r="1" spans="1:16" s="46" customFormat="1" ht="133.15" customHeight="1" x14ac:dyDescent="0.25">
      <c r="A1" s="164" t="s">
        <v>1296</v>
      </c>
      <c r="B1" s="158"/>
      <c r="C1" s="158"/>
      <c r="D1" s="158"/>
      <c r="E1" s="158"/>
      <c r="F1" s="158"/>
      <c r="H1" s="62"/>
      <c r="I1" s="134" t="s">
        <v>1280</v>
      </c>
      <c r="J1" s="129" t="e">
        <f>AVERAGE(O4:O1004)</f>
        <v>#VALUE!</v>
      </c>
      <c r="K1" s="130" t="s">
        <v>1295</v>
      </c>
      <c r="L1" s="131" t="e">
        <f>STDEV(O4:O1004)</f>
        <v>#VALUE!</v>
      </c>
      <c r="M1" s="132" t="s">
        <v>1297</v>
      </c>
      <c r="N1" s="133" t="e">
        <f>CONFIDENCE(0.05,L1,Results!E3)</f>
        <v>#VALUE!</v>
      </c>
      <c r="O1" s="135"/>
    </row>
    <row r="2" spans="1:16" x14ac:dyDescent="0.25">
      <c r="A2" s="173" t="s">
        <v>1277</v>
      </c>
      <c r="B2" s="173"/>
      <c r="C2" s="173"/>
      <c r="D2" s="173"/>
      <c r="E2" s="173"/>
      <c r="F2" s="173"/>
      <c r="G2" s="51"/>
      <c r="I2" s="173" t="s">
        <v>1278</v>
      </c>
      <c r="J2" s="173"/>
      <c r="K2" s="173"/>
      <c r="L2" s="173"/>
      <c r="M2" s="173"/>
      <c r="N2" s="173"/>
      <c r="O2" s="1"/>
      <c r="P2" s="15"/>
    </row>
    <row r="3" spans="1:16" x14ac:dyDescent="0.25">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1279</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1280</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1.6666666666666665</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1.3194444444444442</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0.73055555555555551</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0.3888888888888889</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t="e">
        <f>IF(G9&gt;0,DT!AC9*I9+DT!AD9*J9+DT!AE9*K9+DT!AF9*L9+DT!AG9*M9+DT!AH9*N9,"")</f>
        <v>#VALUE!</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t="e">
        <f>IF(G10&gt;0,DT!AC10*I10+DT!AD10*J10+DT!AE10*K10+DT!AF10*L10+DT!AG10*M10+DT!AH10*N10,"")</f>
        <v>#VALUE!</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t="e">
        <f>IF(G11&gt;0,DT!AC11*I11+DT!AD11*J11+DT!AE11*K11+DT!AF11*L11+DT!AG11*M11+DT!AH11*N11,"")</f>
        <v>#VALUE!</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t="e">
        <f>IF(G12&gt;0,DT!AC12*I12+DT!AD12*J12+DT!AE12*K12+DT!AF12*L12+DT!AG12*M12+DT!AH12*N12,"")</f>
        <v>#VALUE!</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t="e">
        <f>IF(G13&gt;0,DT!AC13*I13+DT!AD13*J13+DT!AE13*K13+DT!AF13*L13+DT!AG13*M13+DT!AH13*N13,"")</f>
        <v>#VALUE!</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t="e">
        <f>IF(G14&gt;0,DT!AC14*I14+DT!AD14*J14+DT!AE14*K14+DT!AF14*L14+DT!AG14*M14+DT!AH14*N14,"")</f>
        <v>#VALUE!</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1"/>
  <sheetViews>
    <sheetView topLeftCell="AZ1" workbookViewId="0">
      <selection activeCell="B21" sqref="B21:BI21"/>
    </sheetView>
  </sheetViews>
  <sheetFormatPr baseColWidth="10" defaultColWidth="9.140625" defaultRowHeight="15" x14ac:dyDescent="0.2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807</v>
      </c>
      <c r="BI4" t="s">
        <v>814</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808</v>
      </c>
      <c r="BI5" t="s">
        <v>815</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806</v>
      </c>
      <c r="BI6" t="s">
        <v>816</v>
      </c>
    </row>
    <row r="7" spans="1:61" x14ac:dyDescent="0.25">
      <c r="A7" t="s">
        <v>246</v>
      </c>
      <c r="B7" t="s">
        <v>480</v>
      </c>
      <c r="C7" s="46" t="s">
        <v>498</v>
      </c>
      <c r="D7" t="s">
        <v>481</v>
      </c>
      <c r="E7" t="s">
        <v>482</v>
      </c>
      <c r="F7" t="s">
        <v>1203</v>
      </c>
      <c r="G7" t="s">
        <v>1204</v>
      </c>
      <c r="H7" t="s">
        <v>1216</v>
      </c>
      <c r="I7" t="s">
        <v>1217</v>
      </c>
      <c r="J7" s="46" t="s">
        <v>1205</v>
      </c>
      <c r="K7" t="s">
        <v>1206</v>
      </c>
      <c r="L7" t="s">
        <v>484</v>
      </c>
      <c r="M7" t="s">
        <v>485</v>
      </c>
      <c r="N7" t="s">
        <v>486</v>
      </c>
      <c r="O7" t="s">
        <v>487</v>
      </c>
      <c r="P7" t="s">
        <v>488</v>
      </c>
      <c r="Q7" t="s">
        <v>489</v>
      </c>
      <c r="R7" t="s">
        <v>490</v>
      </c>
      <c r="S7" t="s">
        <v>491</v>
      </c>
      <c r="T7" t="s">
        <v>441</v>
      </c>
      <c r="U7" t="s">
        <v>492</v>
      </c>
      <c r="V7" t="s">
        <v>1207</v>
      </c>
      <c r="W7" t="s">
        <v>1208</v>
      </c>
      <c r="X7" t="s">
        <v>493</v>
      </c>
      <c r="Y7" t="s">
        <v>483</v>
      </c>
      <c r="Z7" t="s">
        <v>494</v>
      </c>
      <c r="AA7" t="s">
        <v>495</v>
      </c>
      <c r="AB7" t="s">
        <v>496</v>
      </c>
      <c r="AC7" t="s">
        <v>1209</v>
      </c>
      <c r="AD7" t="s">
        <v>1210</v>
      </c>
      <c r="AE7" t="s">
        <v>1211</v>
      </c>
      <c r="AF7" t="s">
        <v>497</v>
      </c>
      <c r="AG7" t="s">
        <v>498</v>
      </c>
      <c r="AH7" t="s">
        <v>1212</v>
      </c>
      <c r="AI7" t="s">
        <v>1213</v>
      </c>
      <c r="AJ7" t="s">
        <v>499</v>
      </c>
      <c r="AK7" t="s">
        <v>500</v>
      </c>
      <c r="AL7" t="s">
        <v>501</v>
      </c>
      <c r="AM7" t="s">
        <v>502</v>
      </c>
      <c r="AN7" t="s">
        <v>503</v>
      </c>
      <c r="AO7" t="s">
        <v>504</v>
      </c>
      <c r="AP7" t="s">
        <v>505</v>
      </c>
      <c r="AQ7" t="s">
        <v>1214</v>
      </c>
      <c r="AR7" t="s">
        <v>506</v>
      </c>
      <c r="AS7" t="s">
        <v>507</v>
      </c>
      <c r="AT7" t="s">
        <v>508</v>
      </c>
      <c r="AU7" t="s">
        <v>509</v>
      </c>
      <c r="AV7" t="s">
        <v>510</v>
      </c>
      <c r="AW7" t="s">
        <v>511</v>
      </c>
      <c r="AX7" t="s">
        <v>512</v>
      </c>
      <c r="AY7" t="s">
        <v>1215</v>
      </c>
      <c r="AZ7" t="s">
        <v>513</v>
      </c>
      <c r="BA7" t="s">
        <v>514</v>
      </c>
      <c r="BB7" s="26" t="s">
        <v>515</v>
      </c>
      <c r="BC7" s="26" t="s">
        <v>516</v>
      </c>
      <c r="BD7" s="26" t="s">
        <v>517</v>
      </c>
      <c r="BE7" s="27" t="s">
        <v>518</v>
      </c>
      <c r="BF7" s="27" t="s">
        <v>1</v>
      </c>
      <c r="BG7" s="26" t="s">
        <v>519</v>
      </c>
      <c r="BH7" t="s">
        <v>809</v>
      </c>
      <c r="BI7" t="s">
        <v>817</v>
      </c>
    </row>
    <row r="8" spans="1:61" x14ac:dyDescent="0.25">
      <c r="A8" t="s">
        <v>247</v>
      </c>
      <c r="B8" t="s">
        <v>521</v>
      </c>
      <c r="C8" t="s">
        <v>522</v>
      </c>
      <c r="D8" t="s">
        <v>523</v>
      </c>
      <c r="E8" t="s">
        <v>524</v>
      </c>
      <c r="F8" t="s">
        <v>370</v>
      </c>
      <c r="G8" t="s">
        <v>525</v>
      </c>
      <c r="H8" t="s">
        <v>526</v>
      </c>
      <c r="I8" t="s">
        <v>527</v>
      </c>
      <c r="J8" t="s">
        <v>528</v>
      </c>
      <c r="K8" t="s">
        <v>529</v>
      </c>
      <c r="L8" t="s">
        <v>530</v>
      </c>
      <c r="M8" t="s">
        <v>531</v>
      </c>
      <c r="N8" t="s">
        <v>532</v>
      </c>
      <c r="O8" t="s">
        <v>533</v>
      </c>
      <c r="P8" t="s">
        <v>534</v>
      </c>
      <c r="Q8" t="s">
        <v>535</v>
      </c>
      <c r="R8" t="s">
        <v>536</v>
      </c>
      <c r="S8" t="s">
        <v>383</v>
      </c>
      <c r="T8" t="s">
        <v>537</v>
      </c>
      <c r="U8" t="s">
        <v>538</v>
      </c>
      <c r="V8" t="s">
        <v>539</v>
      </c>
      <c r="W8" t="s">
        <v>540</v>
      </c>
      <c r="X8" t="s">
        <v>541</v>
      </c>
      <c r="Y8" t="s">
        <v>542</v>
      </c>
      <c r="Z8" t="s">
        <v>543</v>
      </c>
      <c r="AA8" t="s">
        <v>544</v>
      </c>
      <c r="AB8" t="s">
        <v>545</v>
      </c>
      <c r="AC8" t="s">
        <v>546</v>
      </c>
      <c r="AD8" t="s">
        <v>547</v>
      </c>
      <c r="AE8" t="s">
        <v>548</v>
      </c>
      <c r="AF8" t="s">
        <v>549</v>
      </c>
      <c r="AG8" t="s">
        <v>550</v>
      </c>
      <c r="AH8" t="s">
        <v>551</v>
      </c>
      <c r="AI8" t="s">
        <v>552</v>
      </c>
      <c r="AJ8" t="s">
        <v>553</v>
      </c>
      <c r="AK8" t="s">
        <v>554</v>
      </c>
      <c r="AL8" t="s">
        <v>555</v>
      </c>
      <c r="AM8" t="s">
        <v>556</v>
      </c>
      <c r="AN8" t="s">
        <v>557</v>
      </c>
      <c r="AO8" t="s">
        <v>558</v>
      </c>
      <c r="AP8" t="s">
        <v>559</v>
      </c>
      <c r="AQ8" t="s">
        <v>406</v>
      </c>
      <c r="AR8" t="s">
        <v>560</v>
      </c>
      <c r="AS8" t="s">
        <v>408</v>
      </c>
      <c r="AT8" t="s">
        <v>561</v>
      </c>
      <c r="AU8" t="s">
        <v>562</v>
      </c>
      <c r="AV8" t="s">
        <v>563</v>
      </c>
      <c r="AW8" t="s">
        <v>564</v>
      </c>
      <c r="AX8" t="s">
        <v>413</v>
      </c>
      <c r="AY8" t="s">
        <v>414</v>
      </c>
      <c r="AZ8" t="s">
        <v>565</v>
      </c>
      <c r="BA8" t="s">
        <v>566</v>
      </c>
      <c r="BB8" s="26" t="s">
        <v>567</v>
      </c>
      <c r="BC8" s="26" t="s">
        <v>568</v>
      </c>
      <c r="BD8" s="26" t="s">
        <v>569</v>
      </c>
      <c r="BE8" s="27" t="s">
        <v>570</v>
      </c>
      <c r="BF8" s="27" t="s">
        <v>571</v>
      </c>
      <c r="BG8" s="26" t="s">
        <v>572</v>
      </c>
      <c r="BH8" t="s">
        <v>810</v>
      </c>
      <c r="BI8" t="s">
        <v>818</v>
      </c>
    </row>
    <row r="9" spans="1:61" x14ac:dyDescent="0.25">
      <c r="A9" t="s">
        <v>248</v>
      </c>
      <c r="B9" t="s">
        <v>632</v>
      </c>
      <c r="C9" t="s">
        <v>633</v>
      </c>
      <c r="D9" t="s">
        <v>634</v>
      </c>
      <c r="E9" t="s">
        <v>635</v>
      </c>
      <c r="F9" t="s">
        <v>636</v>
      </c>
      <c r="G9" t="s">
        <v>637</v>
      </c>
      <c r="H9" t="s">
        <v>638</v>
      </c>
      <c r="I9" t="s">
        <v>639</v>
      </c>
      <c r="J9" t="s">
        <v>640</v>
      </c>
      <c r="K9" t="s">
        <v>641</v>
      </c>
      <c r="L9" t="s">
        <v>642</v>
      </c>
      <c r="M9" t="s">
        <v>643</v>
      </c>
      <c r="N9" t="s">
        <v>644</v>
      </c>
      <c r="O9" t="s">
        <v>645</v>
      </c>
      <c r="P9" t="s">
        <v>646</v>
      </c>
      <c r="Q9" t="s">
        <v>647</v>
      </c>
      <c r="R9" t="s">
        <v>648</v>
      </c>
      <c r="S9" t="s">
        <v>649</v>
      </c>
      <c r="T9" t="s">
        <v>650</v>
      </c>
      <c r="U9" t="s">
        <v>651</v>
      </c>
      <c r="V9" t="s">
        <v>652</v>
      </c>
      <c r="W9" t="s">
        <v>653</v>
      </c>
      <c r="X9" t="s">
        <v>654</v>
      </c>
      <c r="Y9" t="s">
        <v>655</v>
      </c>
      <c r="Z9" t="s">
        <v>656</v>
      </c>
      <c r="AA9" t="s">
        <v>657</v>
      </c>
      <c r="AB9" t="s">
        <v>658</v>
      </c>
      <c r="AC9" t="s">
        <v>659</v>
      </c>
      <c r="AD9" t="s">
        <v>660</v>
      </c>
      <c r="AE9" t="s">
        <v>661</v>
      </c>
      <c r="AF9" t="s">
        <v>632</v>
      </c>
      <c r="AG9" t="s">
        <v>662</v>
      </c>
      <c r="AH9" t="s">
        <v>663</v>
      </c>
      <c r="AI9" t="s">
        <v>664</v>
      </c>
      <c r="AJ9" t="s">
        <v>665</v>
      </c>
      <c r="AK9" t="s">
        <v>666</v>
      </c>
      <c r="AL9" t="s">
        <v>667</v>
      </c>
      <c r="AM9" t="s">
        <v>668</v>
      </c>
      <c r="AN9" t="s">
        <v>669</v>
      </c>
      <c r="AO9" t="s">
        <v>670</v>
      </c>
      <c r="AP9" t="s">
        <v>671</v>
      </c>
      <c r="AQ9" t="s">
        <v>672</v>
      </c>
      <c r="AR9" t="s">
        <v>673</v>
      </c>
      <c r="AS9" t="s">
        <v>674</v>
      </c>
      <c r="AT9" t="s">
        <v>675</v>
      </c>
      <c r="AU9" t="s">
        <v>676</v>
      </c>
      <c r="AV9" t="s">
        <v>677</v>
      </c>
      <c r="AW9" t="s">
        <v>678</v>
      </c>
      <c r="AX9" t="s">
        <v>679</v>
      </c>
      <c r="AY9" t="s">
        <v>680</v>
      </c>
      <c r="AZ9" t="s">
        <v>681</v>
      </c>
      <c r="BA9" t="s">
        <v>682</v>
      </c>
      <c r="BB9" s="26" t="s">
        <v>795</v>
      </c>
      <c r="BC9" s="26" t="s">
        <v>796</v>
      </c>
      <c r="BD9" s="26" t="s">
        <v>797</v>
      </c>
      <c r="BE9" s="27" t="s">
        <v>798</v>
      </c>
      <c r="BF9" s="27" t="s">
        <v>799</v>
      </c>
      <c r="BG9" s="26" t="s">
        <v>800</v>
      </c>
      <c r="BH9" t="s">
        <v>801</v>
      </c>
      <c r="BI9" t="s">
        <v>802</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1218</v>
      </c>
      <c r="AY10" t="s">
        <v>299</v>
      </c>
      <c r="AZ10" t="s">
        <v>300</v>
      </c>
      <c r="BA10" t="s">
        <v>301</v>
      </c>
      <c r="BB10" s="24" t="s">
        <v>302</v>
      </c>
      <c r="BC10" s="32" t="s">
        <v>303</v>
      </c>
      <c r="BD10" s="24" t="s">
        <v>304</v>
      </c>
      <c r="BE10" s="25" t="s">
        <v>305</v>
      </c>
      <c r="BF10" s="25" t="s">
        <v>306</v>
      </c>
      <c r="BG10" s="33" t="s">
        <v>307</v>
      </c>
      <c r="BH10" t="s">
        <v>804</v>
      </c>
      <c r="BI10" t="s">
        <v>812</v>
      </c>
    </row>
    <row r="11" spans="1:61" x14ac:dyDescent="0.25">
      <c r="A11" t="s">
        <v>250</v>
      </c>
      <c r="B11" t="s">
        <v>738</v>
      </c>
      <c r="C11" t="s">
        <v>739</v>
      </c>
      <c r="D11" t="s">
        <v>740</v>
      </c>
      <c r="E11" t="s">
        <v>741</v>
      </c>
      <c r="F11" t="s">
        <v>742</v>
      </c>
      <c r="G11" t="s">
        <v>743</v>
      </c>
      <c r="H11" t="s">
        <v>744</v>
      </c>
      <c r="I11" t="s">
        <v>745</v>
      </c>
      <c r="J11" t="s">
        <v>746</v>
      </c>
      <c r="K11" t="s">
        <v>747</v>
      </c>
      <c r="L11" t="s">
        <v>748</v>
      </c>
      <c r="M11" t="s">
        <v>749</v>
      </c>
      <c r="N11" t="s">
        <v>750</v>
      </c>
      <c r="O11" t="s">
        <v>751</v>
      </c>
      <c r="P11" t="s">
        <v>752</v>
      </c>
      <c r="Q11" t="s">
        <v>753</v>
      </c>
      <c r="R11" t="s">
        <v>754</v>
      </c>
      <c r="S11" t="s">
        <v>755</v>
      </c>
      <c r="T11" t="s">
        <v>756</v>
      </c>
      <c r="U11" t="s">
        <v>757</v>
      </c>
      <c r="V11" t="s">
        <v>758</v>
      </c>
      <c r="W11" t="s">
        <v>759</v>
      </c>
      <c r="X11" t="s">
        <v>760</v>
      </c>
      <c r="Y11" t="s">
        <v>761</v>
      </c>
      <c r="Z11" t="s">
        <v>762</v>
      </c>
      <c r="AA11" t="s">
        <v>763</v>
      </c>
      <c r="AB11" t="s">
        <v>764</v>
      </c>
      <c r="AC11" t="s">
        <v>765</v>
      </c>
      <c r="AD11" t="s">
        <v>766</v>
      </c>
      <c r="AE11" t="s">
        <v>767</v>
      </c>
      <c r="AF11" t="s">
        <v>768</v>
      </c>
      <c r="AG11" t="s">
        <v>769</v>
      </c>
      <c r="AH11" t="s">
        <v>770</v>
      </c>
      <c r="AI11" t="s">
        <v>771</v>
      </c>
      <c r="AJ11" t="s">
        <v>772</v>
      </c>
      <c r="AK11" t="s">
        <v>773</v>
      </c>
      <c r="AL11" t="s">
        <v>774</v>
      </c>
      <c r="AM11" t="s">
        <v>775</v>
      </c>
      <c r="AN11" t="s">
        <v>776</v>
      </c>
      <c r="AO11" t="s">
        <v>777</v>
      </c>
      <c r="AP11" t="s">
        <v>778</v>
      </c>
      <c r="AQ11" t="s">
        <v>779</v>
      </c>
      <c r="AR11" t="s">
        <v>780</v>
      </c>
      <c r="AS11" t="s">
        <v>781</v>
      </c>
      <c r="AT11" t="s">
        <v>782</v>
      </c>
      <c r="AU11" t="s">
        <v>783</v>
      </c>
      <c r="AV11" t="s">
        <v>784</v>
      </c>
      <c r="AW11" t="s">
        <v>785</v>
      </c>
      <c r="AX11" t="s">
        <v>786</v>
      </c>
      <c r="AY11" t="s">
        <v>787</v>
      </c>
      <c r="AZ11" t="s">
        <v>300</v>
      </c>
      <c r="BA11" t="s">
        <v>788</v>
      </c>
      <c r="BB11" s="24" t="s">
        <v>789</v>
      </c>
      <c r="BC11" s="24" t="s">
        <v>790</v>
      </c>
      <c r="BD11" s="24" t="s">
        <v>791</v>
      </c>
      <c r="BE11" s="25" t="s">
        <v>792</v>
      </c>
      <c r="BF11" s="25" t="s">
        <v>793</v>
      </c>
      <c r="BG11" s="24" t="s">
        <v>794</v>
      </c>
      <c r="BH11" t="s">
        <v>803</v>
      </c>
      <c r="BI11" t="s">
        <v>813</v>
      </c>
    </row>
    <row r="12" spans="1:61" x14ac:dyDescent="0.25">
      <c r="A12" t="s">
        <v>520</v>
      </c>
      <c r="B12" t="s">
        <v>574</v>
      </c>
      <c r="C12" t="s">
        <v>575</v>
      </c>
      <c r="D12" t="s">
        <v>576</v>
      </c>
      <c r="E12" t="s">
        <v>577</v>
      </c>
      <c r="F12" t="s">
        <v>578</v>
      </c>
      <c r="G12" t="s">
        <v>579</v>
      </c>
      <c r="H12" t="s">
        <v>580</v>
      </c>
      <c r="I12" t="s">
        <v>581</v>
      </c>
      <c r="J12" t="s">
        <v>582</v>
      </c>
      <c r="K12" t="s">
        <v>583</v>
      </c>
      <c r="L12" t="s">
        <v>584</v>
      </c>
      <c r="M12" t="s">
        <v>585</v>
      </c>
      <c r="N12" t="s">
        <v>586</v>
      </c>
      <c r="O12" t="s">
        <v>587</v>
      </c>
      <c r="P12" t="s">
        <v>588</v>
      </c>
      <c r="Q12" t="s">
        <v>589</v>
      </c>
      <c r="R12" t="s">
        <v>590</v>
      </c>
      <c r="S12" t="s">
        <v>591</v>
      </c>
      <c r="T12" t="s">
        <v>592</v>
      </c>
      <c r="U12" t="s">
        <v>593</v>
      </c>
      <c r="V12" t="s">
        <v>594</v>
      </c>
      <c r="W12" t="s">
        <v>595</v>
      </c>
      <c r="X12" t="s">
        <v>596</v>
      </c>
      <c r="Y12" t="s">
        <v>597</v>
      </c>
      <c r="Z12" t="s">
        <v>598</v>
      </c>
      <c r="AA12" t="s">
        <v>599</v>
      </c>
      <c r="AB12" t="s">
        <v>600</v>
      </c>
      <c r="AC12" t="s">
        <v>601</v>
      </c>
      <c r="AD12" t="s">
        <v>602</v>
      </c>
      <c r="AE12" t="s">
        <v>603</v>
      </c>
      <c r="AF12" t="s">
        <v>604</v>
      </c>
      <c r="AG12" t="s">
        <v>605</v>
      </c>
      <c r="AH12" t="s">
        <v>606</v>
      </c>
      <c r="AI12" t="s">
        <v>607</v>
      </c>
      <c r="AJ12" t="s">
        <v>608</v>
      </c>
      <c r="AK12" t="s">
        <v>609</v>
      </c>
      <c r="AL12" t="s">
        <v>610</v>
      </c>
      <c r="AM12" t="s">
        <v>611</v>
      </c>
      <c r="AN12" t="s">
        <v>612</v>
      </c>
      <c r="AO12" t="s">
        <v>613</v>
      </c>
      <c r="AP12" t="s">
        <v>614</v>
      </c>
      <c r="AQ12" t="s">
        <v>615</v>
      </c>
      <c r="AR12" t="s">
        <v>616</v>
      </c>
      <c r="AS12" t="s">
        <v>617</v>
      </c>
      <c r="AT12" t="s">
        <v>618</v>
      </c>
      <c r="AU12" t="s">
        <v>619</v>
      </c>
      <c r="AV12" t="s">
        <v>620</v>
      </c>
      <c r="AW12" t="s">
        <v>621</v>
      </c>
      <c r="AX12" t="s">
        <v>622</v>
      </c>
      <c r="AY12" t="s">
        <v>623</v>
      </c>
      <c r="AZ12" t="s">
        <v>624</v>
      </c>
      <c r="BA12" t="s">
        <v>625</v>
      </c>
      <c r="BB12" s="32" t="s">
        <v>626</v>
      </c>
      <c r="BC12" s="32" t="s">
        <v>627</v>
      </c>
      <c r="BD12" s="32" t="s">
        <v>628</v>
      </c>
      <c r="BE12" s="32" t="s">
        <v>629</v>
      </c>
      <c r="BF12" s="32" t="s">
        <v>630</v>
      </c>
      <c r="BG12" s="32" t="s">
        <v>631</v>
      </c>
      <c r="BH12" t="s">
        <v>811</v>
      </c>
      <c r="BI12" t="s">
        <v>819</v>
      </c>
    </row>
    <row r="13" spans="1:61" x14ac:dyDescent="0.25">
      <c r="A13" t="s">
        <v>573</v>
      </c>
      <c r="B13" t="s">
        <v>683</v>
      </c>
      <c r="C13" t="s">
        <v>684</v>
      </c>
      <c r="D13" t="s">
        <v>685</v>
      </c>
      <c r="E13" t="s">
        <v>686</v>
      </c>
      <c r="F13" t="s">
        <v>687</v>
      </c>
      <c r="G13" t="s">
        <v>688</v>
      </c>
      <c r="H13" t="s">
        <v>689</v>
      </c>
      <c r="I13" t="s">
        <v>690</v>
      </c>
      <c r="J13" t="s">
        <v>691</v>
      </c>
      <c r="K13" t="s">
        <v>692</v>
      </c>
      <c r="L13" t="s">
        <v>693</v>
      </c>
      <c r="M13" t="s">
        <v>140</v>
      </c>
      <c r="N13" t="s">
        <v>694</v>
      </c>
      <c r="O13" t="s">
        <v>142</v>
      </c>
      <c r="P13" t="s">
        <v>695</v>
      </c>
      <c r="Q13" t="s">
        <v>696</v>
      </c>
      <c r="R13" t="s">
        <v>697</v>
      </c>
      <c r="S13" t="s">
        <v>698</v>
      </c>
      <c r="T13" t="s">
        <v>699</v>
      </c>
      <c r="U13" t="s">
        <v>700</v>
      </c>
      <c r="V13" t="s">
        <v>701</v>
      </c>
      <c r="W13" t="s">
        <v>702</v>
      </c>
      <c r="X13" t="s">
        <v>703</v>
      </c>
      <c r="Y13" t="s">
        <v>704</v>
      </c>
      <c r="Z13" t="s">
        <v>705</v>
      </c>
      <c r="AA13" t="s">
        <v>706</v>
      </c>
      <c r="AB13" t="s">
        <v>707</v>
      </c>
      <c r="AC13" t="s">
        <v>708</v>
      </c>
      <c r="AD13" t="s">
        <v>709</v>
      </c>
      <c r="AE13" t="s">
        <v>710</v>
      </c>
      <c r="AF13" t="s">
        <v>711</v>
      </c>
      <c r="AG13" t="s">
        <v>712</v>
      </c>
      <c r="AH13" t="s">
        <v>713</v>
      </c>
      <c r="AI13" t="s">
        <v>714</v>
      </c>
      <c r="AJ13" t="s">
        <v>715</v>
      </c>
      <c r="AK13" t="s">
        <v>716</v>
      </c>
      <c r="AL13" t="s">
        <v>717</v>
      </c>
      <c r="AM13" t="s">
        <v>718</v>
      </c>
      <c r="AN13" t="s">
        <v>719</v>
      </c>
      <c r="AO13" t="s">
        <v>720</v>
      </c>
      <c r="AP13" t="s">
        <v>721</v>
      </c>
      <c r="AQ13" t="s">
        <v>722</v>
      </c>
      <c r="AR13" t="s">
        <v>723</v>
      </c>
      <c r="AS13" t="s">
        <v>724</v>
      </c>
      <c r="AT13" t="s">
        <v>725</v>
      </c>
      <c r="AU13" t="s">
        <v>726</v>
      </c>
      <c r="AV13" t="s">
        <v>708</v>
      </c>
      <c r="AW13" t="s">
        <v>727</v>
      </c>
      <c r="AX13" t="s">
        <v>728</v>
      </c>
      <c r="AY13" t="s">
        <v>729</v>
      </c>
      <c r="AZ13" t="s">
        <v>730</v>
      </c>
      <c r="BA13" t="s">
        <v>731</v>
      </c>
      <c r="BB13" s="26" t="s">
        <v>732</v>
      </c>
      <c r="BC13" s="26" t="s">
        <v>733</v>
      </c>
      <c r="BD13" s="26" t="s">
        <v>734</v>
      </c>
      <c r="BE13" s="27" t="s">
        <v>735</v>
      </c>
      <c r="BF13" s="27" t="s">
        <v>736</v>
      </c>
      <c r="BG13" s="26" t="s">
        <v>737</v>
      </c>
      <c r="BH13" t="s">
        <v>805</v>
      </c>
      <c r="BI13" t="s">
        <v>820</v>
      </c>
    </row>
    <row r="14" spans="1:61" x14ac:dyDescent="0.25">
      <c r="A14" s="46" t="s">
        <v>844</v>
      </c>
      <c r="B14" s="49" t="s">
        <v>845</v>
      </c>
      <c r="C14" s="49" t="s">
        <v>846</v>
      </c>
      <c r="D14" s="49" t="s">
        <v>847</v>
      </c>
      <c r="E14" s="49" t="s">
        <v>848</v>
      </c>
      <c r="F14" s="49" t="s">
        <v>849</v>
      </c>
      <c r="G14" s="49" t="s">
        <v>850</v>
      </c>
      <c r="H14" s="49" t="s">
        <v>851</v>
      </c>
      <c r="I14" s="49" t="s">
        <v>852</v>
      </c>
      <c r="J14" s="49" t="s">
        <v>853</v>
      </c>
      <c r="K14" s="49" t="s">
        <v>854</v>
      </c>
      <c r="L14" s="49" t="s">
        <v>855</v>
      </c>
      <c r="M14" s="49" t="s">
        <v>856</v>
      </c>
      <c r="N14" s="49" t="s">
        <v>857</v>
      </c>
      <c r="O14" s="49" t="s">
        <v>858</v>
      </c>
      <c r="P14" s="49" t="s">
        <v>859</v>
      </c>
      <c r="Q14" s="49" t="s">
        <v>860</v>
      </c>
      <c r="R14" s="49" t="s">
        <v>861</v>
      </c>
      <c r="S14" s="49" t="s">
        <v>862</v>
      </c>
      <c r="T14" s="49" t="s">
        <v>863</v>
      </c>
      <c r="U14" s="49" t="s">
        <v>864</v>
      </c>
      <c r="V14" s="49" t="s">
        <v>865</v>
      </c>
      <c r="W14" s="49" t="s">
        <v>866</v>
      </c>
      <c r="X14" s="49" t="s">
        <v>867</v>
      </c>
      <c r="Y14" s="49" t="s">
        <v>868</v>
      </c>
      <c r="Z14" s="49" t="s">
        <v>869</v>
      </c>
      <c r="AA14" s="49" t="s">
        <v>870</v>
      </c>
      <c r="AB14" s="49" t="s">
        <v>871</v>
      </c>
      <c r="AC14" s="49" t="s">
        <v>872</v>
      </c>
      <c r="AD14" s="49" t="s">
        <v>850</v>
      </c>
      <c r="AE14" s="49" t="s">
        <v>873</v>
      </c>
      <c r="AF14" s="49" t="s">
        <v>874</v>
      </c>
      <c r="AG14" s="49" t="s">
        <v>875</v>
      </c>
      <c r="AH14" s="49" t="s">
        <v>876</v>
      </c>
      <c r="AI14" s="49" t="s">
        <v>877</v>
      </c>
      <c r="AJ14" s="49" t="s">
        <v>878</v>
      </c>
      <c r="AK14" s="49" t="s">
        <v>879</v>
      </c>
      <c r="AL14" s="49" t="s">
        <v>880</v>
      </c>
      <c r="AM14" s="49" t="s">
        <v>881</v>
      </c>
      <c r="AN14" s="49" t="s">
        <v>882</v>
      </c>
      <c r="AO14" s="49" t="s">
        <v>883</v>
      </c>
      <c r="AP14" s="49" t="s">
        <v>884</v>
      </c>
      <c r="AQ14" s="49" t="s">
        <v>885</v>
      </c>
      <c r="AR14" s="49" t="s">
        <v>886</v>
      </c>
      <c r="AS14" s="49" t="s">
        <v>887</v>
      </c>
      <c r="AT14" s="49" t="s">
        <v>888</v>
      </c>
      <c r="AU14" s="49" t="s">
        <v>889</v>
      </c>
      <c r="AV14" s="49" t="s">
        <v>890</v>
      </c>
      <c r="AW14" s="49" t="s">
        <v>891</v>
      </c>
      <c r="AX14" s="49" t="s">
        <v>892</v>
      </c>
      <c r="AY14" s="49" t="s">
        <v>893</v>
      </c>
      <c r="AZ14" s="49" t="s">
        <v>864</v>
      </c>
      <c r="BA14" s="49" t="s">
        <v>873</v>
      </c>
      <c r="BB14" s="46" t="s">
        <v>894</v>
      </c>
      <c r="BC14" s="46" t="s">
        <v>895</v>
      </c>
      <c r="BD14" s="46" t="s">
        <v>896</v>
      </c>
      <c r="BE14" s="46" t="s">
        <v>897</v>
      </c>
      <c r="BF14" s="46" t="s">
        <v>898</v>
      </c>
      <c r="BG14" s="46" t="s">
        <v>899</v>
      </c>
      <c r="BH14" s="46" t="s">
        <v>900</v>
      </c>
      <c r="BI14" s="46" t="s">
        <v>901</v>
      </c>
    </row>
    <row r="15" spans="1:61" x14ac:dyDescent="0.25">
      <c r="A15" t="s">
        <v>954</v>
      </c>
      <c r="B15" s="49" t="s">
        <v>902</v>
      </c>
      <c r="C15" s="49" t="s">
        <v>903</v>
      </c>
      <c r="D15" s="49" t="s">
        <v>904</v>
      </c>
      <c r="E15" s="49" t="s">
        <v>905</v>
      </c>
      <c r="F15" s="49" t="s">
        <v>906</v>
      </c>
      <c r="G15" s="49" t="s">
        <v>907</v>
      </c>
      <c r="H15" s="49" t="s">
        <v>908</v>
      </c>
      <c r="I15" s="49" t="s">
        <v>909</v>
      </c>
      <c r="J15" s="49" t="s">
        <v>910</v>
      </c>
      <c r="K15" s="49" t="s">
        <v>911</v>
      </c>
      <c r="L15" s="49" t="s">
        <v>912</v>
      </c>
      <c r="M15" s="49" t="s">
        <v>913</v>
      </c>
      <c r="N15" s="49" t="s">
        <v>914</v>
      </c>
      <c r="O15" s="49" t="s">
        <v>915</v>
      </c>
      <c r="P15" s="49" t="s">
        <v>916</v>
      </c>
      <c r="Q15" s="49" t="s">
        <v>917</v>
      </c>
      <c r="R15" s="49" t="s">
        <v>918</v>
      </c>
      <c r="S15" s="49" t="s">
        <v>919</v>
      </c>
      <c r="T15" s="49" t="s">
        <v>920</v>
      </c>
      <c r="U15" s="49" t="s">
        <v>921</v>
      </c>
      <c r="V15" s="49" t="s">
        <v>922</v>
      </c>
      <c r="W15" s="49" t="s">
        <v>923</v>
      </c>
      <c r="X15" s="49" t="s">
        <v>924</v>
      </c>
      <c r="Y15" s="49" t="s">
        <v>925</v>
      </c>
      <c r="Z15" s="49" t="s">
        <v>926</v>
      </c>
      <c r="AA15" s="49" t="s">
        <v>927</v>
      </c>
      <c r="AB15" s="49" t="s">
        <v>928</v>
      </c>
      <c r="AC15" s="49" t="s">
        <v>929</v>
      </c>
      <c r="AD15" s="49" t="s">
        <v>930</v>
      </c>
      <c r="AE15" s="49" t="s">
        <v>931</v>
      </c>
      <c r="AF15" s="49" t="s">
        <v>932</v>
      </c>
      <c r="AG15" s="49" t="s">
        <v>933</v>
      </c>
      <c r="AH15" s="49" t="s">
        <v>934</v>
      </c>
      <c r="AI15" s="49" t="s">
        <v>935</v>
      </c>
      <c r="AJ15" s="49" t="s">
        <v>936</v>
      </c>
      <c r="AK15" s="49" t="s">
        <v>937</v>
      </c>
      <c r="AL15" s="49" t="s">
        <v>938</v>
      </c>
      <c r="AM15" s="49" t="s">
        <v>939</v>
      </c>
      <c r="AN15" s="49" t="s">
        <v>940</v>
      </c>
      <c r="AO15" s="49" t="s">
        <v>941</v>
      </c>
      <c r="AP15" s="49" t="s">
        <v>942</v>
      </c>
      <c r="AQ15" s="49" t="s">
        <v>943</v>
      </c>
      <c r="AR15" s="49" t="s">
        <v>944</v>
      </c>
      <c r="AS15" s="49" t="s">
        <v>945</v>
      </c>
      <c r="AT15" s="49" t="s">
        <v>946</v>
      </c>
      <c r="AU15" s="49" t="s">
        <v>947</v>
      </c>
      <c r="AV15" s="49" t="s">
        <v>948</v>
      </c>
      <c r="AW15" s="49" t="s">
        <v>949</v>
      </c>
      <c r="AX15" s="49" t="s">
        <v>950</v>
      </c>
      <c r="AY15" s="49" t="s">
        <v>951</v>
      </c>
      <c r="AZ15" s="49" t="s">
        <v>952</v>
      </c>
      <c r="BA15" s="49" t="s">
        <v>953</v>
      </c>
      <c r="BB15" s="50" t="s">
        <v>955</v>
      </c>
      <c r="BC15" s="47" t="s">
        <v>957</v>
      </c>
      <c r="BD15" s="47" t="s">
        <v>956</v>
      </c>
      <c r="BE15" s="48" t="s">
        <v>958</v>
      </c>
      <c r="BF15" s="48" t="s">
        <v>959</v>
      </c>
      <c r="BG15" s="47" t="s">
        <v>960</v>
      </c>
      <c r="BH15" s="46" t="s">
        <v>961</v>
      </c>
      <c r="BI15" s="46" t="s">
        <v>962</v>
      </c>
    </row>
    <row r="16" spans="1:61" x14ac:dyDescent="0.25">
      <c r="A16" t="s">
        <v>963</v>
      </c>
      <c r="B16" s="49" t="s">
        <v>972</v>
      </c>
      <c r="C16" s="49" t="s">
        <v>973</v>
      </c>
      <c r="D16" s="49" t="s">
        <v>974</v>
      </c>
      <c r="E16" s="49" t="s">
        <v>975</v>
      </c>
      <c r="F16" s="49" t="s">
        <v>976</v>
      </c>
      <c r="G16" s="49" t="s">
        <v>977</v>
      </c>
      <c r="H16" s="49" t="s">
        <v>978</v>
      </c>
      <c r="I16" s="49" t="s">
        <v>979</v>
      </c>
      <c r="J16" s="49" t="s">
        <v>980</v>
      </c>
      <c r="K16" s="49" t="s">
        <v>981</v>
      </c>
      <c r="L16" s="49" t="s">
        <v>977</v>
      </c>
      <c r="M16" s="49" t="s">
        <v>982</v>
      </c>
      <c r="N16" s="49" t="s">
        <v>983</v>
      </c>
      <c r="O16" s="49" t="s">
        <v>984</v>
      </c>
      <c r="P16" s="49" t="s">
        <v>985</v>
      </c>
      <c r="Q16" s="49" t="s">
        <v>986</v>
      </c>
      <c r="R16" s="49" t="s">
        <v>987</v>
      </c>
      <c r="S16" s="49" t="s">
        <v>988</v>
      </c>
      <c r="T16" s="49" t="s">
        <v>989</v>
      </c>
      <c r="U16" s="49" t="s">
        <v>990</v>
      </c>
      <c r="V16" s="49" t="s">
        <v>991</v>
      </c>
      <c r="W16" s="49" t="s">
        <v>992</v>
      </c>
      <c r="X16" s="49" t="s">
        <v>993</v>
      </c>
      <c r="Y16" s="49" t="s">
        <v>994</v>
      </c>
      <c r="Z16" s="49" t="s">
        <v>995</v>
      </c>
      <c r="AA16" s="49" t="s">
        <v>996</v>
      </c>
      <c r="AB16" s="49" t="s">
        <v>997</v>
      </c>
      <c r="AC16" s="49" t="s">
        <v>998</v>
      </c>
      <c r="AD16" s="49" t="s">
        <v>999</v>
      </c>
      <c r="AE16" s="49" t="s">
        <v>1000</v>
      </c>
      <c r="AF16" s="49" t="s">
        <v>1001</v>
      </c>
      <c r="AG16" s="49" t="s">
        <v>1002</v>
      </c>
      <c r="AH16" s="49" t="s">
        <v>1003</v>
      </c>
      <c r="AI16" s="49" t="s">
        <v>1004</v>
      </c>
      <c r="AJ16" s="49" t="s">
        <v>1005</v>
      </c>
      <c r="AK16" s="49" t="s">
        <v>1006</v>
      </c>
      <c r="AL16" s="49" t="s">
        <v>1007</v>
      </c>
      <c r="AM16" s="49" t="s">
        <v>1008</v>
      </c>
      <c r="AN16" s="49" t="s">
        <v>1009</v>
      </c>
      <c r="AO16" s="49" t="s">
        <v>1010</v>
      </c>
      <c r="AP16" s="49" t="s">
        <v>1011</v>
      </c>
      <c r="AQ16" s="49" t="s">
        <v>1012</v>
      </c>
      <c r="AR16" s="49" t="s">
        <v>1013</v>
      </c>
      <c r="AS16" s="49" t="s">
        <v>1014</v>
      </c>
      <c r="AT16" s="49" t="s">
        <v>1015</v>
      </c>
      <c r="AU16" s="49" t="s">
        <v>1016</v>
      </c>
      <c r="AV16" s="49" t="s">
        <v>1017</v>
      </c>
      <c r="AW16" s="49" t="s">
        <v>1018</v>
      </c>
      <c r="AX16" s="49" t="s">
        <v>1019</v>
      </c>
      <c r="AY16" s="49" t="s">
        <v>1020</v>
      </c>
      <c r="AZ16" s="49" t="s">
        <v>1021</v>
      </c>
      <c r="BA16" s="49" t="s">
        <v>1022</v>
      </c>
      <c r="BB16" s="24" t="s">
        <v>966</v>
      </c>
      <c r="BC16" t="s">
        <v>970</v>
      </c>
      <c r="BD16" s="25" t="s">
        <v>969</v>
      </c>
      <c r="BE16" t="s">
        <v>971</v>
      </c>
      <c r="BF16" t="s">
        <v>968</v>
      </c>
      <c r="BG16" t="s">
        <v>967</v>
      </c>
      <c r="BH16" t="s">
        <v>965</v>
      </c>
      <c r="BI16" t="s">
        <v>964</v>
      </c>
    </row>
    <row r="17" spans="1:61" x14ac:dyDescent="0.25">
      <c r="A17" t="s">
        <v>1075</v>
      </c>
      <c r="B17" s="49" t="s">
        <v>1023</v>
      </c>
      <c r="C17" s="49" t="s">
        <v>1024</v>
      </c>
      <c r="D17" s="49" t="s">
        <v>1025</v>
      </c>
      <c r="E17" s="49" t="s">
        <v>1026</v>
      </c>
      <c r="F17" s="49" t="s">
        <v>1027</v>
      </c>
      <c r="G17" s="49" t="s">
        <v>1028</v>
      </c>
      <c r="H17" s="49" t="s">
        <v>1029</v>
      </c>
      <c r="I17" s="49" t="s">
        <v>1030</v>
      </c>
      <c r="J17" s="49" t="s">
        <v>1031</v>
      </c>
      <c r="K17" s="49" t="s">
        <v>1032</v>
      </c>
      <c r="L17" s="49" t="s">
        <v>1033</v>
      </c>
      <c r="M17" s="49" t="s">
        <v>1034</v>
      </c>
      <c r="N17" s="49" t="s">
        <v>1035</v>
      </c>
      <c r="O17" s="49" t="s">
        <v>1036</v>
      </c>
      <c r="P17" s="49" t="s">
        <v>1037</v>
      </c>
      <c r="Q17" s="49" t="s">
        <v>1038</v>
      </c>
      <c r="R17" s="49" t="s">
        <v>1039</v>
      </c>
      <c r="S17" s="49" t="s">
        <v>1040</v>
      </c>
      <c r="T17" s="49" t="s">
        <v>1041</v>
      </c>
      <c r="U17" s="49" t="s">
        <v>1042</v>
      </c>
      <c r="V17" s="49" t="s">
        <v>1043</v>
      </c>
      <c r="W17" s="49" t="s">
        <v>1044</v>
      </c>
      <c r="X17" s="49" t="s">
        <v>1045</v>
      </c>
      <c r="Y17" s="49" t="s">
        <v>1046</v>
      </c>
      <c r="Z17" s="49" t="s">
        <v>1047</v>
      </c>
      <c r="AA17" s="49" t="s">
        <v>1048</v>
      </c>
      <c r="AB17" s="49" t="s">
        <v>1049</v>
      </c>
      <c r="AC17" s="49" t="s">
        <v>1050</v>
      </c>
      <c r="AD17" s="49" t="s">
        <v>1051</v>
      </c>
      <c r="AE17" s="49" t="s">
        <v>1052</v>
      </c>
      <c r="AF17" s="49" t="s">
        <v>1053</v>
      </c>
      <c r="AG17" s="49" t="s">
        <v>1054</v>
      </c>
      <c r="AH17" s="49" t="s">
        <v>1055</v>
      </c>
      <c r="AI17" s="49" t="s">
        <v>1056</v>
      </c>
      <c r="AJ17" s="49" t="s">
        <v>1057</v>
      </c>
      <c r="AK17" s="49" t="s">
        <v>1058</v>
      </c>
      <c r="AL17" s="49" t="s">
        <v>1059</v>
      </c>
      <c r="AM17" s="49" t="s">
        <v>1060</v>
      </c>
      <c r="AN17" s="49" t="s">
        <v>1061</v>
      </c>
      <c r="AO17" s="49" t="s">
        <v>1062</v>
      </c>
      <c r="AP17" s="49" t="s">
        <v>1063</v>
      </c>
      <c r="AQ17" s="49" t="s">
        <v>1064</v>
      </c>
      <c r="AR17" s="49" t="s">
        <v>1065</v>
      </c>
      <c r="AS17" s="49" t="s">
        <v>1066</v>
      </c>
      <c r="AT17" s="49" t="s">
        <v>1067</v>
      </c>
      <c r="AU17" s="49" t="s">
        <v>1068</v>
      </c>
      <c r="AV17" s="49" t="s">
        <v>1069</v>
      </c>
      <c r="AW17" s="49" t="s">
        <v>1070</v>
      </c>
      <c r="AX17" s="49" t="s">
        <v>1071</v>
      </c>
      <c r="AY17" s="49" t="s">
        <v>1072</v>
      </c>
      <c r="AZ17" s="49" t="s">
        <v>1073</v>
      </c>
      <c r="BA17" s="49" t="s">
        <v>1074</v>
      </c>
      <c r="BB17" s="49" t="s">
        <v>1076</v>
      </c>
      <c r="BC17" t="s">
        <v>1077</v>
      </c>
      <c r="BD17" s="25" t="s">
        <v>1078</v>
      </c>
      <c r="BE17" t="s">
        <v>1079</v>
      </c>
      <c r="BF17" t="s">
        <v>1080</v>
      </c>
      <c r="BG17" t="s">
        <v>1081</v>
      </c>
      <c r="BH17" t="s">
        <v>1082</v>
      </c>
      <c r="BI17" t="s">
        <v>1083</v>
      </c>
    </row>
    <row r="18" spans="1:61" x14ac:dyDescent="0.25">
      <c r="A18" t="s">
        <v>1084</v>
      </c>
      <c r="B18" s="49" t="s">
        <v>1085</v>
      </c>
      <c r="C18" s="49" t="s">
        <v>1086</v>
      </c>
      <c r="D18" s="49" t="s">
        <v>1087</v>
      </c>
      <c r="E18" s="49" t="s">
        <v>1088</v>
      </c>
      <c r="F18" s="49" t="s">
        <v>1089</v>
      </c>
      <c r="G18" s="49" t="s">
        <v>1090</v>
      </c>
      <c r="H18" s="49" t="s">
        <v>1091</v>
      </c>
      <c r="I18" s="49" t="s">
        <v>1092</v>
      </c>
      <c r="J18" s="49" t="s">
        <v>1093</v>
      </c>
      <c r="K18" s="49" t="s">
        <v>1094</v>
      </c>
      <c r="L18" s="49" t="s">
        <v>1090</v>
      </c>
      <c r="M18" s="49" t="s">
        <v>1095</v>
      </c>
      <c r="N18" s="49" t="s">
        <v>1096</v>
      </c>
      <c r="O18" s="49" t="s">
        <v>1097</v>
      </c>
      <c r="P18" s="49" t="s">
        <v>1098</v>
      </c>
      <c r="Q18" s="49" t="s">
        <v>1099</v>
      </c>
      <c r="R18" s="49" t="s">
        <v>1100</v>
      </c>
      <c r="S18" s="49" t="s">
        <v>1101</v>
      </c>
      <c r="T18" s="49" t="s">
        <v>1102</v>
      </c>
      <c r="U18" s="49" t="s">
        <v>1103</v>
      </c>
      <c r="V18" s="49" t="s">
        <v>1104</v>
      </c>
      <c r="W18" s="49" t="s">
        <v>1105</v>
      </c>
      <c r="X18" s="49" t="s">
        <v>1106</v>
      </c>
      <c r="Y18" s="49" t="s">
        <v>1107</v>
      </c>
      <c r="Z18" s="49" t="s">
        <v>1108</v>
      </c>
      <c r="AA18" s="49" t="s">
        <v>1109</v>
      </c>
      <c r="AB18" s="49" t="s">
        <v>1110</v>
      </c>
      <c r="AC18" s="49" t="s">
        <v>1086</v>
      </c>
      <c r="AD18" s="49" t="s">
        <v>1111</v>
      </c>
      <c r="AE18" s="49" t="s">
        <v>1112</v>
      </c>
      <c r="AF18" s="49" t="s">
        <v>1113</v>
      </c>
      <c r="AG18" s="49" t="s">
        <v>1114</v>
      </c>
      <c r="AH18" s="49" t="s">
        <v>1115</v>
      </c>
      <c r="AI18" s="49" t="s">
        <v>1116</v>
      </c>
      <c r="AJ18" s="49" t="s">
        <v>1117</v>
      </c>
      <c r="AK18" s="49" t="s">
        <v>1118</v>
      </c>
      <c r="AL18" s="49" t="s">
        <v>1119</v>
      </c>
      <c r="AM18" s="49" t="s">
        <v>1120</v>
      </c>
      <c r="AN18" s="49" t="s">
        <v>1121</v>
      </c>
      <c r="AO18" s="49" t="s">
        <v>1122</v>
      </c>
      <c r="AP18" s="49" t="s">
        <v>1123</v>
      </c>
      <c r="AQ18" s="49" t="s">
        <v>1124</v>
      </c>
      <c r="AR18" s="49" t="s">
        <v>1125</v>
      </c>
      <c r="AS18" s="49" t="s">
        <v>1126</v>
      </c>
      <c r="AT18" s="49" t="s">
        <v>1127</v>
      </c>
      <c r="AU18" s="49" t="s">
        <v>1128</v>
      </c>
      <c r="AV18" s="49" t="s">
        <v>1129</v>
      </c>
      <c r="AW18" s="49" t="s">
        <v>1130</v>
      </c>
      <c r="AX18" s="49" t="s">
        <v>1131</v>
      </c>
      <c r="AY18" s="49" t="s">
        <v>1132</v>
      </c>
      <c r="AZ18" s="49" t="s">
        <v>1133</v>
      </c>
      <c r="BA18" s="49" t="s">
        <v>1134</v>
      </c>
      <c r="BB18" t="s">
        <v>1135</v>
      </c>
      <c r="BC18" t="s">
        <v>1136</v>
      </c>
      <c r="BD18" t="s">
        <v>1137</v>
      </c>
      <c r="BE18" t="s">
        <v>1138</v>
      </c>
      <c r="BF18" t="s">
        <v>1140</v>
      </c>
      <c r="BG18" t="s">
        <v>1139</v>
      </c>
      <c r="BH18" t="s">
        <v>1141</v>
      </c>
      <c r="BI18" t="s">
        <v>1142</v>
      </c>
    </row>
    <row r="19" spans="1:61" x14ac:dyDescent="0.25">
      <c r="A19" t="s">
        <v>1143</v>
      </c>
      <c r="B19" s="49" t="s">
        <v>1144</v>
      </c>
      <c r="C19" s="49" t="s">
        <v>1145</v>
      </c>
      <c r="D19" s="49" t="s">
        <v>1146</v>
      </c>
      <c r="E19" s="49" t="s">
        <v>1147</v>
      </c>
      <c r="F19" s="49" t="s">
        <v>1148</v>
      </c>
      <c r="G19" s="49" t="s">
        <v>1149</v>
      </c>
      <c r="H19" s="49" t="s">
        <v>1150</v>
      </c>
      <c r="I19" s="49" t="s">
        <v>1151</v>
      </c>
      <c r="J19" s="49" t="s">
        <v>1152</v>
      </c>
      <c r="K19" s="49" t="s">
        <v>1153</v>
      </c>
      <c r="L19" s="49" t="s">
        <v>1154</v>
      </c>
      <c r="M19" s="49" t="s">
        <v>1155</v>
      </c>
      <c r="N19" s="49" t="s">
        <v>1156</v>
      </c>
      <c r="O19" s="49" t="s">
        <v>1155</v>
      </c>
      <c r="P19" s="49" t="s">
        <v>1157</v>
      </c>
      <c r="Q19" s="49" t="s">
        <v>1158</v>
      </c>
      <c r="R19" s="49" t="s">
        <v>1159</v>
      </c>
      <c r="S19" s="49" t="s">
        <v>1160</v>
      </c>
      <c r="T19" s="49" t="s">
        <v>1161</v>
      </c>
      <c r="U19" s="49" t="s">
        <v>1162</v>
      </c>
      <c r="V19" s="49" t="s">
        <v>1163</v>
      </c>
      <c r="W19" s="49" t="s">
        <v>1164</v>
      </c>
      <c r="X19" s="49" t="s">
        <v>1165</v>
      </c>
      <c r="Y19" s="49" t="s">
        <v>1166</v>
      </c>
      <c r="Z19" s="49" t="s">
        <v>1167</v>
      </c>
      <c r="AA19" s="49" t="s">
        <v>1168</v>
      </c>
      <c r="AB19" s="49" t="s">
        <v>1169</v>
      </c>
      <c r="AC19" s="49" t="s">
        <v>1170</v>
      </c>
      <c r="AD19" s="49" t="s">
        <v>1171</v>
      </c>
      <c r="AE19" s="49" t="s">
        <v>1172</v>
      </c>
      <c r="AF19" s="49" t="s">
        <v>1173</v>
      </c>
      <c r="AG19" s="49" t="s">
        <v>1174</v>
      </c>
      <c r="AH19" s="49" t="s">
        <v>1175</v>
      </c>
      <c r="AI19" s="49" t="s">
        <v>1176</v>
      </c>
      <c r="AJ19" s="49" t="s">
        <v>1177</v>
      </c>
      <c r="AK19" s="49" t="s">
        <v>1178</v>
      </c>
      <c r="AL19" s="49" t="s">
        <v>1179</v>
      </c>
      <c r="AM19" s="49" t="s">
        <v>1180</v>
      </c>
      <c r="AN19" s="49" t="s">
        <v>1181</v>
      </c>
      <c r="AO19" s="49" t="s">
        <v>1182</v>
      </c>
      <c r="AP19" s="49" t="s">
        <v>1183</v>
      </c>
      <c r="AQ19" s="49" t="s">
        <v>1184</v>
      </c>
      <c r="AR19" s="49" t="s">
        <v>1185</v>
      </c>
      <c r="AS19" s="49" t="s">
        <v>1186</v>
      </c>
      <c r="AT19" s="49" t="s">
        <v>1187</v>
      </c>
      <c r="AU19" s="49" t="s">
        <v>1188</v>
      </c>
      <c r="AV19" s="49" t="s">
        <v>1189</v>
      </c>
      <c r="AW19" s="49" t="s">
        <v>1190</v>
      </c>
      <c r="AX19" s="49" t="s">
        <v>1191</v>
      </c>
      <c r="AY19" s="49" t="s">
        <v>1192</v>
      </c>
      <c r="AZ19" s="49" t="s">
        <v>1193</v>
      </c>
      <c r="BA19" s="49" t="s">
        <v>1194</v>
      </c>
      <c r="BB19" s="25" t="s">
        <v>1195</v>
      </c>
      <c r="BC19" t="s">
        <v>1196</v>
      </c>
      <c r="BD19" t="s">
        <v>1197</v>
      </c>
      <c r="BE19" t="s">
        <v>1198</v>
      </c>
      <c r="BF19" t="s">
        <v>1199</v>
      </c>
      <c r="BG19" t="s">
        <v>1200</v>
      </c>
      <c r="BH19" t="s">
        <v>1201</v>
      </c>
      <c r="BI19" t="s">
        <v>1202</v>
      </c>
    </row>
    <row r="20" spans="1:61" x14ac:dyDescent="0.25">
      <c r="A20" t="s">
        <v>1219</v>
      </c>
      <c r="B20" s="49" t="s">
        <v>1267</v>
      </c>
      <c r="C20" s="49" t="s">
        <v>1220</v>
      </c>
      <c r="D20" s="49" t="s">
        <v>1221</v>
      </c>
      <c r="E20" s="49" t="s">
        <v>1222</v>
      </c>
      <c r="F20" s="49" t="s">
        <v>1223</v>
      </c>
      <c r="G20" s="49" t="s">
        <v>1224</v>
      </c>
      <c r="H20" s="49" t="s">
        <v>1225</v>
      </c>
      <c r="I20" s="49" t="s">
        <v>1226</v>
      </c>
      <c r="J20" s="49" t="s">
        <v>1227</v>
      </c>
      <c r="K20" s="49" t="s">
        <v>1228</v>
      </c>
      <c r="L20" s="49" t="s">
        <v>1224</v>
      </c>
      <c r="M20" s="49" t="s">
        <v>1229</v>
      </c>
      <c r="N20" s="49" t="s">
        <v>1230</v>
      </c>
      <c r="O20" s="49" t="s">
        <v>1231</v>
      </c>
      <c r="P20" s="49" t="s">
        <v>1232</v>
      </c>
      <c r="Q20" s="49" t="s">
        <v>1233</v>
      </c>
      <c r="R20" s="49" t="s">
        <v>1234</v>
      </c>
      <c r="S20" s="49" t="s">
        <v>1235</v>
      </c>
      <c r="T20" s="49" t="s">
        <v>1236</v>
      </c>
      <c r="U20" s="49" t="s">
        <v>1237</v>
      </c>
      <c r="V20" s="49" t="s">
        <v>1238</v>
      </c>
      <c r="W20" s="49" t="s">
        <v>1268</v>
      </c>
      <c r="X20" s="49" t="s">
        <v>1239</v>
      </c>
      <c r="Y20" s="49" t="s">
        <v>1240</v>
      </c>
      <c r="Z20" s="49" t="s">
        <v>1241</v>
      </c>
      <c r="AA20" s="49" t="s">
        <v>1242</v>
      </c>
      <c r="AB20" s="49" t="s">
        <v>1243</v>
      </c>
      <c r="AC20" s="49" t="s">
        <v>1220</v>
      </c>
      <c r="AD20" s="49" t="s">
        <v>1244</v>
      </c>
      <c r="AE20" s="49" t="s">
        <v>1245</v>
      </c>
      <c r="AF20" s="49" t="s">
        <v>1246</v>
      </c>
      <c r="AG20" s="49" t="s">
        <v>1220</v>
      </c>
      <c r="AH20" s="49" t="s">
        <v>1247</v>
      </c>
      <c r="AI20" s="49" t="s">
        <v>1248</v>
      </c>
      <c r="AJ20" s="49" t="s">
        <v>1249</v>
      </c>
      <c r="AK20" s="49" t="s">
        <v>1250</v>
      </c>
      <c r="AL20" s="49" t="s">
        <v>1251</v>
      </c>
      <c r="AM20" s="49" t="s">
        <v>1252</v>
      </c>
      <c r="AN20" s="49" t="s">
        <v>1253</v>
      </c>
      <c r="AO20" s="49" t="s">
        <v>1254</v>
      </c>
      <c r="AP20" s="49" t="s">
        <v>1255</v>
      </c>
      <c r="AQ20" s="49" t="s">
        <v>1256</v>
      </c>
      <c r="AR20" s="49" t="s">
        <v>1257</v>
      </c>
      <c r="AS20" s="49" t="s">
        <v>1258</v>
      </c>
      <c r="AT20" s="49" t="s">
        <v>1259</v>
      </c>
      <c r="AU20" s="49" t="s">
        <v>1260</v>
      </c>
      <c r="AV20" s="49" t="s">
        <v>1261</v>
      </c>
      <c r="AW20" s="49" t="s">
        <v>1262</v>
      </c>
      <c r="AX20" s="49" t="s">
        <v>1263</v>
      </c>
      <c r="AY20" s="49" t="s">
        <v>1264</v>
      </c>
      <c r="AZ20" s="49" t="s">
        <v>1265</v>
      </c>
      <c r="BA20" s="49" t="s">
        <v>1266</v>
      </c>
      <c r="BB20" s="49" t="s">
        <v>1269</v>
      </c>
      <c r="BC20" t="s">
        <v>1271</v>
      </c>
      <c r="BD20" t="s">
        <v>1270</v>
      </c>
      <c r="BE20" t="s">
        <v>1272</v>
      </c>
      <c r="BF20" t="s">
        <v>1273</v>
      </c>
      <c r="BG20" t="s">
        <v>1274</v>
      </c>
      <c r="BH20" t="s">
        <v>1275</v>
      </c>
      <c r="BI20" t="s">
        <v>1276</v>
      </c>
    </row>
    <row r="21" spans="1:61" x14ac:dyDescent="0.25">
      <c r="A21" t="s">
        <v>1303</v>
      </c>
      <c r="B21" s="49" t="s">
        <v>1304</v>
      </c>
      <c r="C21" s="49" t="s">
        <v>1305</v>
      </c>
      <c r="D21" s="49" t="s">
        <v>1306</v>
      </c>
      <c r="E21" s="49" t="s">
        <v>1307</v>
      </c>
      <c r="F21" s="49" t="s">
        <v>1308</v>
      </c>
      <c r="G21" s="49" t="s">
        <v>1309</v>
      </c>
      <c r="H21" s="49" t="s">
        <v>1310</v>
      </c>
      <c r="I21" s="49" t="s">
        <v>1311</v>
      </c>
      <c r="J21" s="49" t="s">
        <v>1312</v>
      </c>
      <c r="K21" s="49" t="s">
        <v>1313</v>
      </c>
      <c r="L21" s="49" t="s">
        <v>1314</v>
      </c>
      <c r="M21" s="49" t="s">
        <v>1315</v>
      </c>
      <c r="N21" s="49" t="s">
        <v>1316</v>
      </c>
      <c r="O21" s="49" t="s">
        <v>1317</v>
      </c>
      <c r="P21" s="49" t="s">
        <v>1318</v>
      </c>
      <c r="Q21" s="49" t="s">
        <v>1319</v>
      </c>
      <c r="R21" s="49" t="s">
        <v>1320</v>
      </c>
      <c r="S21" s="49" t="s">
        <v>1321</v>
      </c>
      <c r="T21" s="49" t="s">
        <v>1322</v>
      </c>
      <c r="U21" s="49" t="s">
        <v>1323</v>
      </c>
      <c r="V21" s="49" t="s">
        <v>1324</v>
      </c>
      <c r="W21" s="49" t="s">
        <v>1325</v>
      </c>
      <c r="X21" s="49" t="s">
        <v>1326</v>
      </c>
      <c r="Y21" s="49" t="s">
        <v>1327</v>
      </c>
      <c r="Z21" s="49" t="s">
        <v>1328</v>
      </c>
      <c r="AA21" s="49" t="s">
        <v>1329</v>
      </c>
      <c r="AB21" s="49" t="s">
        <v>1330</v>
      </c>
      <c r="AC21" s="49" t="s">
        <v>1331</v>
      </c>
      <c r="AD21" s="49" t="s">
        <v>1332</v>
      </c>
      <c r="AE21" s="49" t="s">
        <v>1333</v>
      </c>
      <c r="AF21" s="49" t="s">
        <v>1334</v>
      </c>
      <c r="AG21" s="49" t="s">
        <v>1335</v>
      </c>
      <c r="AH21" s="49" t="s">
        <v>1336</v>
      </c>
      <c r="AI21" s="49" t="s">
        <v>1337</v>
      </c>
      <c r="AJ21" s="49" t="s">
        <v>1338</v>
      </c>
      <c r="AK21" s="49" t="s">
        <v>1339</v>
      </c>
      <c r="AL21" s="49" t="s">
        <v>1340</v>
      </c>
      <c r="AM21" s="49" t="s">
        <v>1341</v>
      </c>
      <c r="AN21" s="49" t="s">
        <v>1342</v>
      </c>
      <c r="AO21" s="49" t="s">
        <v>1343</v>
      </c>
      <c r="AP21" s="49" t="s">
        <v>1344</v>
      </c>
      <c r="AQ21" s="49" t="s">
        <v>1345</v>
      </c>
      <c r="AR21" s="49" t="s">
        <v>1346</v>
      </c>
      <c r="AS21" s="49" t="s">
        <v>1347</v>
      </c>
      <c r="AT21" s="49" t="s">
        <v>1348</v>
      </c>
      <c r="AU21" s="49" t="s">
        <v>1349</v>
      </c>
      <c r="AV21" s="49" t="s">
        <v>1350</v>
      </c>
      <c r="AW21" s="49" t="s">
        <v>1351</v>
      </c>
      <c r="AX21" s="49" t="s">
        <v>1352</v>
      </c>
      <c r="AY21" s="49" t="s">
        <v>1353</v>
      </c>
      <c r="AZ21" s="49" t="s">
        <v>1354</v>
      </c>
      <c r="BA21" s="49" t="s">
        <v>1355</v>
      </c>
      <c r="BB21" s="47" t="s">
        <v>1356</v>
      </c>
      <c r="BC21" s="59" t="s">
        <v>1357</v>
      </c>
      <c r="BD21" s="59" t="s">
        <v>1358</v>
      </c>
      <c r="BE21" s="59" t="s">
        <v>1359</v>
      </c>
      <c r="BF21" s="59" t="s">
        <v>1360</v>
      </c>
      <c r="BG21" s="59" t="s">
        <v>1361</v>
      </c>
      <c r="BH21" s="59" t="s">
        <v>1362</v>
      </c>
      <c r="BI21" s="59" t="s">
        <v>1363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Michael Lämmermann</cp:lastModifiedBy>
  <dcterms:created xsi:type="dcterms:W3CDTF">2012-03-20T13:56:56Z</dcterms:created>
  <dcterms:modified xsi:type="dcterms:W3CDTF">2018-09-11T17:06:06Z</dcterms:modified>
</cp:coreProperties>
</file>