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305B904571B66/Documents/"/>
    </mc:Choice>
  </mc:AlternateContent>
  <xr:revisionPtr revIDLastSave="300" documentId="14_{B93E733B-D8F1-411A-B03C-950BCD942162}" xr6:coauthVersionLast="47" xr6:coauthVersionMax="47" xr10:uidLastSave="{062EFB2F-A545-4AB7-8BBE-066A2D02D538}"/>
  <bookViews>
    <workbookView xWindow="-108" yWindow="-108" windowWidth="23256" windowHeight="12456" xr2:uid="{4BE0383B-299C-419F-A4F3-11160B488C6B}"/>
  </bookViews>
  <sheets>
    <sheet name="income statement " sheetId="1" r:id="rId1"/>
    <sheet name="Projections" sheetId="2" r:id="rId2"/>
    <sheet name="Scenario Summary" sheetId="5" r:id="rId3"/>
    <sheet name="vlookup" sheetId="3" r:id="rId4"/>
    <sheet name="Sheet1" sheetId="6" r:id="rId5"/>
  </sheets>
  <definedNames>
    <definedName name="Beta">Projections!$C$6</definedName>
    <definedName name="cost_of_debt_post_tax">Projections!$C$13</definedName>
    <definedName name="cost_of_equity">Projections!$C$12</definedName>
    <definedName name="Costofdebt">Projections!$C$7</definedName>
    <definedName name="debt_funding">Projections!$C$15</definedName>
    <definedName name="DebtValue">Projections!$C$10</definedName>
    <definedName name="equity_funding">Projections!$C$14</definedName>
    <definedName name="EquityValue">Projections!$C$9</definedName>
    <definedName name="MarketRate">Projections!$C$5</definedName>
    <definedName name="risk_free_rate">Projections!$C$4</definedName>
    <definedName name="TaxRate">Projections!$C$8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I20" i="2"/>
  <c r="I21" i="2" s="1"/>
  <c r="I9" i="2"/>
  <c r="I10" i="2" s="1"/>
  <c r="C27" i="2" s="1"/>
  <c r="C3" i="3"/>
  <c r="C15" i="2"/>
  <c r="C14" i="2"/>
  <c r="C13" i="2"/>
  <c r="C12" i="2"/>
  <c r="C17" i="2" s="1"/>
  <c r="E76" i="1"/>
  <c r="F76" i="1"/>
  <c r="G76" i="1"/>
  <c r="H76" i="1"/>
  <c r="I76" i="1"/>
  <c r="J76" i="1"/>
  <c r="K76" i="1"/>
  <c r="L76" i="1"/>
  <c r="M76" i="1"/>
  <c r="D76" i="1"/>
  <c r="B73" i="1"/>
  <c r="C74" i="1"/>
  <c r="B74" i="1" s="1"/>
  <c r="C70" i="1"/>
  <c r="E69" i="1"/>
  <c r="E68" i="1"/>
  <c r="E67" i="1"/>
  <c r="E66" i="1"/>
  <c r="E65" i="1"/>
  <c r="D69" i="1"/>
  <c r="D68" i="1"/>
  <c r="D67" i="1"/>
  <c r="D66" i="1"/>
  <c r="D65" i="1"/>
  <c r="F60" i="1"/>
  <c r="E60" i="1"/>
  <c r="E58" i="1"/>
  <c r="E61" i="1" s="1"/>
  <c r="E62" i="1" s="1"/>
  <c r="F58" i="1"/>
  <c r="F61" i="1" s="1"/>
  <c r="F62" i="1" s="1"/>
  <c r="G58" i="1"/>
  <c r="G61" i="1" s="1"/>
  <c r="G62" i="1" s="1"/>
  <c r="H58" i="1"/>
  <c r="H61" i="1" s="1"/>
  <c r="H62" i="1" s="1"/>
  <c r="I58" i="1"/>
  <c r="I61" i="1" s="1"/>
  <c r="I62" i="1" s="1"/>
  <c r="J58" i="1"/>
  <c r="J61" i="1" s="1"/>
  <c r="J62" i="1" s="1"/>
  <c r="K58" i="1"/>
  <c r="K61" i="1" s="1"/>
  <c r="K62" i="1" s="1"/>
  <c r="L58" i="1"/>
  <c r="L61" i="1" s="1"/>
  <c r="L62" i="1" s="1"/>
  <c r="M58" i="1"/>
  <c r="M61" i="1" s="1"/>
  <c r="M62" i="1" s="1"/>
  <c r="D58" i="1"/>
  <c r="D61" i="1" s="1"/>
  <c r="D62" i="1" s="1"/>
  <c r="E57" i="1"/>
  <c r="F57" i="1"/>
  <c r="G57" i="1"/>
  <c r="G60" i="1" s="1"/>
  <c r="H57" i="1"/>
  <c r="H60" i="1" s="1"/>
  <c r="I57" i="1"/>
  <c r="I60" i="1" s="1"/>
  <c r="J57" i="1"/>
  <c r="J60" i="1" s="1"/>
  <c r="K57" i="1"/>
  <c r="K60" i="1" s="1"/>
  <c r="L57" i="1"/>
  <c r="L60" i="1" s="1"/>
  <c r="M57" i="1"/>
  <c r="M60" i="1" s="1"/>
  <c r="D57" i="1"/>
  <c r="D60" i="1" s="1"/>
  <c r="B41" i="1"/>
  <c r="B28" i="1"/>
  <c r="B6" i="1"/>
  <c r="B19" i="1"/>
  <c r="E51" i="1"/>
  <c r="D51" i="1"/>
  <c r="E49" i="1"/>
  <c r="D49" i="1"/>
  <c r="E48" i="1"/>
  <c r="D48" i="1"/>
  <c r="E46" i="1"/>
  <c r="D46" i="1"/>
  <c r="E44" i="1"/>
  <c r="D44" i="1"/>
  <c r="E43" i="1"/>
  <c r="D43" i="1"/>
  <c r="E37" i="1"/>
  <c r="D37" i="1"/>
  <c r="E35" i="1"/>
  <c r="D35" i="1"/>
  <c r="E34" i="1"/>
  <c r="D34" i="1"/>
  <c r="E32" i="1"/>
  <c r="D32" i="1"/>
  <c r="E30" i="1"/>
  <c r="E29" i="1"/>
  <c r="D30" i="1"/>
  <c r="D29" i="1"/>
  <c r="G24" i="1"/>
  <c r="H24" i="1" s="1"/>
  <c r="I24" i="1" s="1"/>
  <c r="J24" i="1" s="1"/>
  <c r="K24" i="1" s="1"/>
  <c r="L24" i="1" s="1"/>
  <c r="M24" i="1" s="1"/>
  <c r="M13" i="1" s="1"/>
  <c r="M49" i="1" s="1"/>
  <c r="G22" i="1"/>
  <c r="H22" i="1" s="1"/>
  <c r="F13" i="1"/>
  <c r="F49" i="1" s="1"/>
  <c r="F10" i="1"/>
  <c r="F46" i="1" s="1"/>
  <c r="F29" i="1"/>
  <c r="G23" i="1"/>
  <c r="H23" i="1" s="1"/>
  <c r="I23" i="1" s="1"/>
  <c r="J23" i="1" s="1"/>
  <c r="K23" i="1" s="1"/>
  <c r="L23" i="1" s="1"/>
  <c r="M23" i="1" s="1"/>
  <c r="G25" i="1"/>
  <c r="H25" i="1" s="1"/>
  <c r="I25" i="1" s="1"/>
  <c r="J25" i="1" s="1"/>
  <c r="K25" i="1" s="1"/>
  <c r="L25" i="1" s="1"/>
  <c r="M25" i="1" s="1"/>
  <c r="G20" i="1"/>
  <c r="H20" i="1" s="1"/>
  <c r="I20" i="1" s="1"/>
  <c r="J20" i="1" s="1"/>
  <c r="K20" i="1" s="1"/>
  <c r="L20" i="1" s="1"/>
  <c r="M20" i="1" s="1"/>
  <c r="E24" i="1"/>
  <c r="D24" i="1"/>
  <c r="E23" i="1"/>
  <c r="D23" i="1"/>
  <c r="E22" i="1"/>
  <c r="D22" i="1"/>
  <c r="E21" i="1"/>
  <c r="F21" i="1" s="1"/>
  <c r="G21" i="1" s="1"/>
  <c r="H21" i="1" s="1"/>
  <c r="I21" i="1" s="1"/>
  <c r="J21" i="1" s="1"/>
  <c r="K21" i="1" s="1"/>
  <c r="L21" i="1" s="1"/>
  <c r="M21" i="1" s="1"/>
  <c r="D21" i="1"/>
  <c r="E20" i="1"/>
  <c r="E9" i="1"/>
  <c r="E11" i="1" s="1"/>
  <c r="E47" i="1" s="1"/>
  <c r="D9" i="1"/>
  <c r="D11" i="1" s="1"/>
  <c r="D14" i="1" s="1"/>
  <c r="D16" i="1" s="1"/>
  <c r="D38" i="1" s="1"/>
  <c r="E4" i="1"/>
  <c r="F4" i="1" s="1"/>
  <c r="G4" i="1" s="1"/>
  <c r="H4" i="1" s="1"/>
  <c r="I4" i="1" s="1"/>
  <c r="J4" i="1" s="1"/>
  <c r="K4" i="1" s="1"/>
  <c r="L4" i="1" s="1"/>
  <c r="M4" i="1" s="1"/>
  <c r="C43" i="2" l="1"/>
  <c r="C18" i="2"/>
  <c r="E85" i="1"/>
  <c r="E80" i="1"/>
  <c r="D80" i="1"/>
  <c r="F66" i="1"/>
  <c r="E31" i="1"/>
  <c r="D47" i="1"/>
  <c r="D79" i="1"/>
  <c r="E79" i="1"/>
  <c r="D84" i="1"/>
  <c r="E84" i="1"/>
  <c r="E86" i="1"/>
  <c r="D50" i="1"/>
  <c r="D70" i="1"/>
  <c r="F68" i="1"/>
  <c r="E81" i="1"/>
  <c r="D86" i="1"/>
  <c r="D81" i="1"/>
  <c r="E70" i="1"/>
  <c r="D85" i="1"/>
  <c r="D45" i="1"/>
  <c r="E45" i="1"/>
  <c r="M68" i="1"/>
  <c r="D31" i="1"/>
  <c r="D52" i="1"/>
  <c r="D36" i="1"/>
  <c r="F43" i="1"/>
  <c r="I22" i="1"/>
  <c r="J22" i="1" s="1"/>
  <c r="K22" i="1" s="1"/>
  <c r="H10" i="1"/>
  <c r="G13" i="1"/>
  <c r="F12" i="1"/>
  <c r="F67" i="1" s="1"/>
  <c r="E14" i="1"/>
  <c r="E50" i="1" s="1"/>
  <c r="E33" i="1"/>
  <c r="F8" i="1"/>
  <c r="D33" i="1"/>
  <c r="G7" i="1"/>
  <c r="G43" i="1" s="1"/>
  <c r="F35" i="1"/>
  <c r="F32" i="1"/>
  <c r="H13" i="1"/>
  <c r="J13" i="1"/>
  <c r="I13" i="1"/>
  <c r="K13" i="1"/>
  <c r="L13" i="1"/>
  <c r="I10" i="1"/>
  <c r="G10" i="1"/>
  <c r="D87" i="1" l="1"/>
  <c r="D74" i="1"/>
  <c r="D73" i="1"/>
  <c r="D75" i="1" s="1"/>
  <c r="E87" i="1"/>
  <c r="E73" i="1"/>
  <c r="E74" i="1"/>
  <c r="J10" i="1"/>
  <c r="G46" i="1"/>
  <c r="G66" i="1"/>
  <c r="G49" i="1"/>
  <c r="G68" i="1"/>
  <c r="J46" i="1"/>
  <c r="J66" i="1"/>
  <c r="J49" i="1"/>
  <c r="J68" i="1"/>
  <c r="H49" i="1"/>
  <c r="H68" i="1"/>
  <c r="F44" i="1"/>
  <c r="F65" i="1"/>
  <c r="I49" i="1"/>
  <c r="I68" i="1"/>
  <c r="I46" i="1"/>
  <c r="I66" i="1"/>
  <c r="H46" i="1"/>
  <c r="H66" i="1"/>
  <c r="L49" i="1"/>
  <c r="L68" i="1"/>
  <c r="K49" i="1"/>
  <c r="K68" i="1"/>
  <c r="F34" i="1"/>
  <c r="F48" i="1"/>
  <c r="H7" i="1"/>
  <c r="H43" i="1" s="1"/>
  <c r="G32" i="1"/>
  <c r="G8" i="1"/>
  <c r="G35" i="1"/>
  <c r="G12" i="1"/>
  <c r="G67" i="1" s="1"/>
  <c r="G29" i="1"/>
  <c r="F30" i="1"/>
  <c r="F9" i="1"/>
  <c r="F45" i="1" s="1"/>
  <c r="E16" i="1"/>
  <c r="E36" i="1"/>
  <c r="L22" i="1"/>
  <c r="K10" i="1"/>
  <c r="E75" i="1" l="1"/>
  <c r="G9" i="1"/>
  <c r="G11" i="1" s="1"/>
  <c r="G47" i="1" s="1"/>
  <c r="G65" i="1"/>
  <c r="K46" i="1"/>
  <c r="K66" i="1"/>
  <c r="G34" i="1"/>
  <c r="G48" i="1"/>
  <c r="G30" i="1"/>
  <c r="G44" i="1"/>
  <c r="E38" i="1"/>
  <c r="E52" i="1"/>
  <c r="F31" i="1"/>
  <c r="F11" i="1"/>
  <c r="F47" i="1" s="1"/>
  <c r="I7" i="1"/>
  <c r="I43" i="1" s="1"/>
  <c r="H32" i="1"/>
  <c r="H8" i="1"/>
  <c r="H65" i="1" s="1"/>
  <c r="H35" i="1"/>
  <c r="H29" i="1"/>
  <c r="H12" i="1"/>
  <c r="H67" i="1" s="1"/>
  <c r="M22" i="1"/>
  <c r="M10" i="1" s="1"/>
  <c r="L10" i="1"/>
  <c r="G33" i="1" l="1"/>
  <c r="G45" i="1"/>
  <c r="G31" i="1"/>
  <c r="G14" i="1"/>
  <c r="G50" i="1" s="1"/>
  <c r="H9" i="1"/>
  <c r="H45" i="1" s="1"/>
  <c r="M46" i="1"/>
  <c r="M66" i="1"/>
  <c r="L46" i="1"/>
  <c r="L66" i="1"/>
  <c r="H34" i="1"/>
  <c r="H48" i="1"/>
  <c r="H30" i="1"/>
  <c r="H44" i="1"/>
  <c r="F14" i="1"/>
  <c r="F50" i="1" s="1"/>
  <c r="F33" i="1"/>
  <c r="J7" i="1"/>
  <c r="J43" i="1" s="1"/>
  <c r="I32" i="1"/>
  <c r="I8" i="1"/>
  <c r="I65" i="1" s="1"/>
  <c r="I35" i="1"/>
  <c r="I12" i="1"/>
  <c r="I67" i="1" s="1"/>
  <c r="I29" i="1"/>
  <c r="I9" i="1"/>
  <c r="I45" i="1" s="1"/>
  <c r="G15" i="1"/>
  <c r="G36" i="1"/>
  <c r="H31" i="1"/>
  <c r="H11" i="1"/>
  <c r="H47" i="1" s="1"/>
  <c r="G16" i="1" l="1"/>
  <c r="G38" i="1" s="1"/>
  <c r="G69" i="1"/>
  <c r="G37" i="1"/>
  <c r="G51" i="1"/>
  <c r="I34" i="1"/>
  <c r="I48" i="1"/>
  <c r="I30" i="1"/>
  <c r="I44" i="1"/>
  <c r="H33" i="1"/>
  <c r="H14" i="1"/>
  <c r="H50" i="1" s="1"/>
  <c r="I31" i="1"/>
  <c r="I11" i="1"/>
  <c r="I47" i="1" s="1"/>
  <c r="K7" i="1"/>
  <c r="K43" i="1" s="1"/>
  <c r="J8" i="1"/>
  <c r="J65" i="1" s="1"/>
  <c r="J35" i="1"/>
  <c r="J12" i="1"/>
  <c r="J67" i="1" s="1"/>
  <c r="J29" i="1"/>
  <c r="J32" i="1"/>
  <c r="F15" i="1"/>
  <c r="F36" i="1"/>
  <c r="G52" i="1" l="1"/>
  <c r="F51" i="1"/>
  <c r="F69" i="1"/>
  <c r="G85" i="1"/>
  <c r="G81" i="1"/>
  <c r="G84" i="1"/>
  <c r="G79" i="1"/>
  <c r="G70" i="1"/>
  <c r="G74" i="1" s="1"/>
  <c r="G86" i="1"/>
  <c r="J30" i="1"/>
  <c r="J44" i="1"/>
  <c r="J34" i="1"/>
  <c r="J48" i="1"/>
  <c r="J9" i="1"/>
  <c r="J45" i="1" s="1"/>
  <c r="F16" i="1"/>
  <c r="F37" i="1"/>
  <c r="L7" i="1"/>
  <c r="L43" i="1" s="1"/>
  <c r="K35" i="1"/>
  <c r="K12" i="1"/>
  <c r="K67" i="1" s="1"/>
  <c r="K29" i="1"/>
  <c r="K32" i="1"/>
  <c r="K8" i="1"/>
  <c r="K65" i="1" s="1"/>
  <c r="I14" i="1"/>
  <c r="I50" i="1" s="1"/>
  <c r="I33" i="1"/>
  <c r="H36" i="1"/>
  <c r="H15" i="1"/>
  <c r="H69" i="1" s="1"/>
  <c r="H80" i="1" s="1"/>
  <c r="G87" i="1" l="1"/>
  <c r="G73" i="1"/>
  <c r="G75" i="1" s="1"/>
  <c r="J31" i="1"/>
  <c r="H84" i="1"/>
  <c r="H79" i="1"/>
  <c r="H85" i="1"/>
  <c r="H81" i="1"/>
  <c r="H70" i="1"/>
  <c r="H74" i="1" s="1"/>
  <c r="H86" i="1"/>
  <c r="F80" i="1"/>
  <c r="G80" i="1"/>
  <c r="F86" i="1"/>
  <c r="F85" i="1"/>
  <c r="F70" i="1"/>
  <c r="F74" i="1" s="1"/>
  <c r="F81" i="1"/>
  <c r="F84" i="1"/>
  <c r="F79" i="1"/>
  <c r="J11" i="1"/>
  <c r="J47" i="1" s="1"/>
  <c r="K30" i="1"/>
  <c r="K44" i="1"/>
  <c r="F38" i="1"/>
  <c r="F52" i="1"/>
  <c r="K34" i="1"/>
  <c r="K48" i="1"/>
  <c r="H37" i="1"/>
  <c r="H51" i="1"/>
  <c r="H16" i="1"/>
  <c r="M7" i="1"/>
  <c r="M43" i="1" s="1"/>
  <c r="L12" i="1"/>
  <c r="L67" i="1" s="1"/>
  <c r="L29" i="1"/>
  <c r="L32" i="1"/>
  <c r="L8" i="1"/>
  <c r="L65" i="1" s="1"/>
  <c r="L35" i="1"/>
  <c r="J14" i="1"/>
  <c r="J50" i="1" s="1"/>
  <c r="I15" i="1"/>
  <c r="I36" i="1"/>
  <c r="K9" i="1"/>
  <c r="K45" i="1" s="1"/>
  <c r="F87" i="1" l="1"/>
  <c r="F73" i="1"/>
  <c r="F75" i="1" s="1"/>
  <c r="H87" i="1"/>
  <c r="H73" i="1"/>
  <c r="H75" i="1" s="1"/>
  <c r="J33" i="1"/>
  <c r="I51" i="1"/>
  <c r="I69" i="1"/>
  <c r="L30" i="1"/>
  <c r="L44" i="1"/>
  <c r="L34" i="1"/>
  <c r="L48" i="1"/>
  <c r="H38" i="1"/>
  <c r="H52" i="1"/>
  <c r="L9" i="1"/>
  <c r="K31" i="1"/>
  <c r="K11" i="1"/>
  <c r="K47" i="1" s="1"/>
  <c r="I16" i="1"/>
  <c r="I37" i="1"/>
  <c r="J36" i="1"/>
  <c r="J15" i="1"/>
  <c r="M12" i="1"/>
  <c r="M67" i="1" s="1"/>
  <c r="M32" i="1"/>
  <c r="M8" i="1"/>
  <c r="M65" i="1" s="1"/>
  <c r="M29" i="1"/>
  <c r="M35" i="1"/>
  <c r="I85" i="1" l="1"/>
  <c r="I70" i="1"/>
  <c r="I74" i="1" s="1"/>
  <c r="I81" i="1"/>
  <c r="I86" i="1"/>
  <c r="I84" i="1"/>
  <c r="I79" i="1"/>
  <c r="I80" i="1"/>
  <c r="J51" i="1"/>
  <c r="J69" i="1"/>
  <c r="J80" i="1" s="1"/>
  <c r="L31" i="1"/>
  <c r="L45" i="1"/>
  <c r="M30" i="1"/>
  <c r="M44" i="1"/>
  <c r="M34" i="1"/>
  <c r="M48" i="1"/>
  <c r="I38" i="1"/>
  <c r="I52" i="1"/>
  <c r="L11" i="1"/>
  <c r="J16" i="1"/>
  <c r="J37" i="1"/>
  <c r="M9" i="1"/>
  <c r="M45" i="1" s="1"/>
  <c r="K14" i="1"/>
  <c r="K50" i="1" s="1"/>
  <c r="K33" i="1"/>
  <c r="I87" i="1" l="1"/>
  <c r="I73" i="1"/>
  <c r="I75" i="1" s="1"/>
  <c r="J84" i="1"/>
  <c r="J70" i="1"/>
  <c r="J74" i="1" s="1"/>
  <c r="J81" i="1"/>
  <c r="J86" i="1"/>
  <c r="J85" i="1"/>
  <c r="J79" i="1"/>
  <c r="L14" i="1"/>
  <c r="L50" i="1" s="1"/>
  <c r="L47" i="1"/>
  <c r="J38" i="1"/>
  <c r="J52" i="1"/>
  <c r="L33" i="1"/>
  <c r="K15" i="1"/>
  <c r="K36" i="1"/>
  <c r="M31" i="1"/>
  <c r="M11" i="1"/>
  <c r="M47" i="1" s="1"/>
  <c r="J87" i="1" l="1"/>
  <c r="J73" i="1"/>
  <c r="J75" i="1" s="1"/>
  <c r="K51" i="1"/>
  <c r="K69" i="1"/>
  <c r="L15" i="1"/>
  <c r="L16" i="1" s="1"/>
  <c r="L36" i="1"/>
  <c r="M14" i="1"/>
  <c r="M50" i="1" s="1"/>
  <c r="M33" i="1"/>
  <c r="K16" i="1"/>
  <c r="K37" i="1"/>
  <c r="L37" i="1" l="1"/>
  <c r="K86" i="1"/>
  <c r="K70" i="1"/>
  <c r="K87" i="1" s="1"/>
  <c r="K81" i="1"/>
  <c r="K85" i="1"/>
  <c r="K84" i="1"/>
  <c r="K79" i="1"/>
  <c r="K80" i="1"/>
  <c r="L51" i="1"/>
  <c r="L69" i="1"/>
  <c r="L80" i="1" s="1"/>
  <c r="L38" i="1"/>
  <c r="L52" i="1"/>
  <c r="K38" i="1"/>
  <c r="K52" i="1"/>
  <c r="M15" i="1"/>
  <c r="M36" i="1"/>
  <c r="K73" i="1" l="1"/>
  <c r="K74" i="1"/>
  <c r="M51" i="1"/>
  <c r="M69" i="1"/>
  <c r="L79" i="1"/>
  <c r="L70" i="1"/>
  <c r="L74" i="1" s="1"/>
  <c r="L81" i="1"/>
  <c r="L84" i="1"/>
  <c r="L85" i="1"/>
  <c r="L86" i="1"/>
  <c r="M80" i="1"/>
  <c r="M16" i="1"/>
  <c r="M37" i="1"/>
  <c r="K75" i="1" l="1"/>
  <c r="L87" i="1"/>
  <c r="L73" i="1"/>
  <c r="L75" i="1" s="1"/>
  <c r="M86" i="1"/>
  <c r="M85" i="1"/>
  <c r="M70" i="1"/>
  <c r="M74" i="1" s="1"/>
  <c r="M81" i="1"/>
  <c r="M79" i="1"/>
  <c r="M84" i="1"/>
  <c r="M38" i="1"/>
  <c r="M52" i="1"/>
  <c r="M87" i="1" l="1"/>
  <c r="M73" i="1"/>
  <c r="M75" i="1" s="1"/>
</calcChain>
</file>

<file path=xl/sharedStrings.xml><?xml version="1.0" encoding="utf-8"?>
<sst xmlns="http://schemas.openxmlformats.org/spreadsheetml/2006/main" count="133" uniqueCount="90">
  <si>
    <t>INR (CRORE)</t>
  </si>
  <si>
    <t xml:space="preserve">Revenue </t>
  </si>
  <si>
    <t>COGS</t>
  </si>
  <si>
    <t xml:space="preserve">Gross Profit </t>
  </si>
  <si>
    <t>Selling &amp; Adm exp</t>
  </si>
  <si>
    <t>EBITDA</t>
  </si>
  <si>
    <t>Depreciation</t>
  </si>
  <si>
    <t xml:space="preserve">Interest </t>
  </si>
  <si>
    <t>EBT</t>
  </si>
  <si>
    <t>Taxes</t>
  </si>
  <si>
    <t xml:space="preserve">Net Income </t>
  </si>
  <si>
    <t xml:space="preserve">Revenue Growth </t>
  </si>
  <si>
    <t xml:space="preserve">COGS % of revenue </t>
  </si>
  <si>
    <t xml:space="preserve">S&amp;G expense </t>
  </si>
  <si>
    <t xml:space="preserve">Depreciation % sales </t>
  </si>
  <si>
    <t xml:space="preserve">Taxes </t>
  </si>
  <si>
    <t>NA</t>
  </si>
  <si>
    <t xml:space="preserve">ABC LTD </t>
  </si>
  <si>
    <t xml:space="preserve">Time Period </t>
  </si>
  <si>
    <t xml:space="preserve">Annual Date </t>
  </si>
  <si>
    <t>monthly data</t>
  </si>
  <si>
    <t xml:space="preserve">monthly period </t>
  </si>
  <si>
    <t xml:space="preserve">Annual period </t>
  </si>
  <si>
    <t>#</t>
  </si>
  <si>
    <t xml:space="preserve">Costing Analysis </t>
  </si>
  <si>
    <t xml:space="preserve">Average </t>
  </si>
  <si>
    <t xml:space="preserve">Weighted average </t>
  </si>
  <si>
    <t xml:space="preserve">Median </t>
  </si>
  <si>
    <t xml:space="preserve">Min </t>
  </si>
  <si>
    <t>Max</t>
  </si>
  <si>
    <t>Small</t>
  </si>
  <si>
    <t xml:space="preserve">Large </t>
  </si>
  <si>
    <t xml:space="preserve">stub or full year </t>
  </si>
  <si>
    <t>Total expense</t>
  </si>
  <si>
    <t xml:space="preserve">Total </t>
  </si>
  <si>
    <t xml:space="preserve">error checking </t>
  </si>
  <si>
    <t xml:space="preserve">risk free rate </t>
  </si>
  <si>
    <t xml:space="preserve">MarketRate </t>
  </si>
  <si>
    <t>Beta</t>
  </si>
  <si>
    <t>Costofdebt</t>
  </si>
  <si>
    <t>TaxRate</t>
  </si>
  <si>
    <t>EquityValue</t>
  </si>
  <si>
    <t xml:space="preserve">DebtValue </t>
  </si>
  <si>
    <t>cost of capital</t>
  </si>
  <si>
    <t xml:space="preserve">cost of equity </t>
  </si>
  <si>
    <t xml:space="preserve"> </t>
  </si>
  <si>
    <t xml:space="preserve">cost of debt post tax </t>
  </si>
  <si>
    <t>equity funding</t>
  </si>
  <si>
    <t xml:space="preserve">debt funding </t>
  </si>
  <si>
    <t xml:space="preserve">To calculate  gross profit of next year </t>
  </si>
  <si>
    <t>current sales</t>
  </si>
  <si>
    <t xml:space="preserve">sales growth </t>
  </si>
  <si>
    <t>gross margin</t>
  </si>
  <si>
    <t xml:space="preserve">next year sales </t>
  </si>
  <si>
    <t xml:space="preserve">cost of sales </t>
  </si>
  <si>
    <t>gross profit</t>
  </si>
  <si>
    <t xml:space="preserve">gross profit = next month sales(projected)*gross margin </t>
  </si>
  <si>
    <t xml:space="preserve">TO CALCULATE COST OF CAPITAL </t>
  </si>
  <si>
    <t xml:space="preserve">D/E RATIO </t>
  </si>
  <si>
    <t xml:space="preserve">COUPON RATE </t>
  </si>
  <si>
    <t xml:space="preserve">RISK RATING </t>
  </si>
  <si>
    <t>Baa2</t>
  </si>
  <si>
    <t>Baa3</t>
  </si>
  <si>
    <t>Ba1</t>
  </si>
  <si>
    <t>To project sale of next month=current sales+(current sales *(growthrate))</t>
  </si>
  <si>
    <t>Goal seek</t>
  </si>
  <si>
    <t>Sales Growth</t>
  </si>
  <si>
    <t xml:space="preserve">Gross profit </t>
  </si>
  <si>
    <t xml:space="preserve">Data table </t>
  </si>
  <si>
    <t xml:space="preserve">Scenario Analysis </t>
  </si>
  <si>
    <t>Gross margin</t>
  </si>
  <si>
    <t>Select for row =gross margin(60%)</t>
  </si>
  <si>
    <t>column=sales growth(10%)</t>
  </si>
  <si>
    <t>$I$4</t>
  </si>
  <si>
    <t>$I$5</t>
  </si>
  <si>
    <t>$I$6</t>
  </si>
  <si>
    <t>$I$9</t>
  </si>
  <si>
    <t>$I$10</t>
  </si>
  <si>
    <t xml:space="preserve">Base case </t>
  </si>
  <si>
    <t xml:space="preserve">Worst case </t>
  </si>
  <si>
    <t xml:space="preserve">Best Case 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</si>
  <si>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</si>
  <si>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</si>
  <si>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</si>
  <si>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</si>
  <si>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</si>
  <si>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</si>
  <si>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</si>
  <si>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Lahari on 25-07-2025
Modified by Lahari on 25-07-2025</t>
  </si>
  <si>
    <t>Project work by Lahari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</si>
</sst>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&quot;A&quot;"/>
    <numFmt numFmtId="165" formatCode="0&quot;E&quot;"/>
    <numFmt numFmtId="166" formatCode="#,##0.0;\(\-#,##0.0\)"/>
    <numFmt numFmtId="167" formatCode="#,##0.0_ ;\-#,##0.0\ "/>
    <numFmt numFmtId="168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166" fontId="0" fillId="0" borderId="0" xfId="0" applyNumberFormat="1"/>
    <xf numFmtId="166" fontId="4" fillId="0" borderId="0" xfId="0" applyNumberFormat="1" applyFont="1"/>
    <xf numFmtId="9" fontId="4" fillId="0" borderId="0" xfId="0" applyNumberFormat="1" applyFont="1"/>
    <xf numFmtId="168" fontId="0" fillId="0" borderId="0" xfId="0" applyNumberFormat="1"/>
    <xf numFmtId="168" fontId="4" fillId="0" borderId="0" xfId="1" applyNumberFormat="1" applyFont="1"/>
    <xf numFmtId="0" fontId="4" fillId="0" borderId="0" xfId="0" applyFont="1"/>
    <xf numFmtId="0" fontId="5" fillId="0" borderId="0" xfId="0" applyFont="1"/>
    <xf numFmtId="168" fontId="5" fillId="0" borderId="0" xfId="0" applyNumberFormat="1" applyFont="1"/>
    <xf numFmtId="0" fontId="3" fillId="3" borderId="0" xfId="0" applyFont="1" applyFill="1"/>
    <xf numFmtId="0" fontId="0" fillId="3" borderId="0" xfId="0" applyFill="1"/>
    <xf numFmtId="166" fontId="6" fillId="0" borderId="0" xfId="0" applyNumberFormat="1" applyFont="1"/>
    <xf numFmtId="0" fontId="0" fillId="0" borderId="1" xfId="0" applyBorder="1"/>
    <xf numFmtId="0" fontId="0" fillId="0" borderId="2" xfId="0" applyBorder="1"/>
    <xf numFmtId="10" fontId="4" fillId="0" borderId="0" xfId="0" applyNumberFormat="1" applyFont="1"/>
    <xf numFmtId="164" fontId="7" fillId="2" borderId="0" xfId="0" applyNumberFormat="1" applyFont="1" applyFill="1"/>
    <xf numFmtId="165" fontId="7" fillId="2" borderId="0" xfId="0" applyNumberFormat="1" applyFont="1" applyFill="1"/>
    <xf numFmtId="166" fontId="7" fillId="0" borderId="0" xfId="0" applyNumberFormat="1" applyFont="1"/>
    <xf numFmtId="166" fontId="5" fillId="0" borderId="0" xfId="0" applyNumberFormat="1" applyFont="1"/>
    <xf numFmtId="167" fontId="5" fillId="0" borderId="1" xfId="0" applyNumberFormat="1" applyFont="1" applyBorder="1"/>
    <xf numFmtId="166" fontId="5" fillId="0" borderId="1" xfId="0" applyNumberFormat="1" applyFont="1" applyBorder="1"/>
    <xf numFmtId="166" fontId="7" fillId="0" borderId="2" xfId="0" applyNumberFormat="1" applyFont="1" applyBorder="1"/>
    <xf numFmtId="167" fontId="7" fillId="0" borderId="2" xfId="0" applyNumberFormat="1" applyFont="1" applyBorder="1"/>
    <xf numFmtId="168" fontId="5" fillId="0" borderId="0" xfId="1" applyNumberFormat="1" applyFont="1"/>
    <xf numFmtId="9" fontId="5" fillId="0" borderId="0" xfId="1" applyFont="1"/>
    <xf numFmtId="10" fontId="5" fillId="0" borderId="0" xfId="1" applyNumberFormat="1" applyFont="1"/>
    <xf numFmtId="14" fontId="0" fillId="0" borderId="0" xfId="0" applyNumberFormat="1"/>
    <xf numFmtId="166" fontId="3" fillId="0" borderId="3" xfId="0" applyNumberFormat="1" applyFont="1" applyBorder="1"/>
    <xf numFmtId="9" fontId="0" fillId="0" borderId="0" xfId="0" applyNumberFormat="1"/>
    <xf numFmtId="9" fontId="0" fillId="0" borderId="0" xfId="1" applyFont="1"/>
    <xf numFmtId="168" fontId="0" fillId="0" borderId="0" xfId="1" applyNumberFormat="1" applyFont="1"/>
    <xf numFmtId="10" fontId="0" fillId="0" borderId="0" xfId="1" applyNumberFormat="1" applyFont="1"/>
    <xf numFmtId="0" fontId="8" fillId="0" borderId="0" xfId="0" applyFont="1"/>
    <xf numFmtId="0" fontId="3" fillId="0" borderId="4" xfId="0" applyFont="1" applyBorder="1"/>
    <xf numFmtId="9" fontId="0" fillId="0" borderId="4" xfId="1" applyFont="1" applyBorder="1"/>
    <xf numFmtId="0" fontId="0" fillId="0" borderId="4" xfId="0" applyBorder="1"/>
    <xf numFmtId="10" fontId="0" fillId="0" borderId="4" xfId="0" applyNumberFormat="1" applyBorder="1"/>
    <xf numFmtId="9" fontId="2" fillId="5" borderId="0" xfId="1" applyFont="1" applyFill="1"/>
    <xf numFmtId="9" fontId="4" fillId="0" borderId="0" xfId="1" applyFont="1" applyBorder="1"/>
    <xf numFmtId="0" fontId="0" fillId="0" borderId="5" xfId="0" applyBorder="1"/>
    <xf numFmtId="0" fontId="0" fillId="0" borderId="6" xfId="0" applyBorder="1"/>
    <xf numFmtId="0" fontId="10" fillId="0" borderId="0" xfId="0" applyFont="1"/>
    <xf numFmtId="0" fontId="11" fillId="0" borderId="0" xfId="0" applyFont="1"/>
    <xf numFmtId="9" fontId="4" fillId="0" borderId="7" xfId="1" applyFont="1" applyBorder="1"/>
    <xf numFmtId="9" fontId="4" fillId="0" borderId="9" xfId="1" applyFont="1" applyBorder="1"/>
    <xf numFmtId="0" fontId="0" fillId="0" borderId="9" xfId="0" applyBorder="1"/>
    <xf numFmtId="9" fontId="12" fillId="5" borderId="6" xfId="1" applyFont="1" applyFill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6" borderId="0" xfId="0" applyFill="1"/>
    <xf numFmtId="0" fontId="0" fillId="0" borderId="13" xfId="0" applyBorder="1"/>
    <xf numFmtId="0" fontId="13" fillId="7" borderId="7" xfId="0" applyFont="1" applyFill="1" applyBorder="1" applyAlignment="1">
      <alignment horizontal="left"/>
    </xf>
    <xf numFmtId="0" fontId="13" fillId="7" borderId="12" xfId="0" applyFont="1" applyFill="1" applyBorder="1" applyAlignment="1">
      <alignment horizontal="left"/>
    </xf>
    <xf numFmtId="0" fontId="0" fillId="0" borderId="14" xfId="0" applyBorder="1"/>
    <xf numFmtId="0" fontId="14" fillId="8" borderId="0" xfId="0" applyFont="1" applyFill="1" applyAlignment="1">
      <alignment horizontal="left"/>
    </xf>
    <xf numFmtId="0" fontId="15" fillId="8" borderId="14" xfId="0" applyFont="1" applyFill="1" applyBorder="1" applyAlignment="1">
      <alignment horizontal="left"/>
    </xf>
    <xf numFmtId="0" fontId="14" fillId="8" borderId="13" xfId="0" applyFont="1" applyFill="1" applyBorder="1" applyAlignment="1">
      <alignment horizontal="left"/>
    </xf>
    <xf numFmtId="0" fontId="16" fillId="7" borderId="12" xfId="0" applyFont="1" applyFill="1" applyBorder="1" applyAlignment="1">
      <alignment horizontal="right"/>
    </xf>
    <xf numFmtId="0" fontId="16" fillId="7" borderId="7" xfId="0" applyFont="1" applyFill="1" applyBorder="1" applyAlignment="1">
      <alignment horizontal="right"/>
    </xf>
    <xf numFmtId="0" fontId="0" fillId="9" borderId="0" xfId="0" applyFill="1"/>
    <xf numFmtId="9" fontId="0" fillId="9" borderId="0" xfId="0" applyNumberFormat="1" applyFill="1"/>
    <xf numFmtId="0" fontId="17" fillId="0" borderId="0" xfId="0" applyFont="1" applyAlignment="1">
      <alignment vertical="top" wrapText="1"/>
    </xf>
    <xf numFmtId="0" fontId="9" fillId="4" borderId="0" xfId="0" applyFont="1" applyFill="1" applyAlignment="1">
      <alignment horizontal="center"/>
    </xf>
    <xf numFmtId="9" fontId="2" fillId="5" borderId="1" xfId="1" applyFont="1" applyFill="1" applyBorder="1" applyAlignment="1">
      <alignment horizontal="center"/>
    </xf>
    <xf numFmtId="9" fontId="2" fillId="5" borderId="8" xfId="1" applyFont="1" applyFill="1" applyBorder="1" applyAlignment="1">
      <alignment horizontal="center"/>
    </xf>
    <xf numFmtId="0" fontId="0" fillId="4" borderId="0" xfId="0" applyFill="1"/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ont>
        <b val="0"/>
        <i/>
      </font>
      <fill>
        <patternFill>
          <bgColor theme="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9EF-A2BE-4A5C-9D75-51087DD8435B}">
  <dimension ref="A1:N87"/>
  <sheetViews>
    <sheetView showGridLines="0" tabSelected="1" zoomScale="92" zoomScaleNormal="54" workbookViewId="0">
      <pane ySplit="4" topLeftCell="A5" activePane="bottomLeft" state="frozen"/>
      <selection pane="bottomLeft" activeCell="D30" sqref="D30"/>
    </sheetView>
  </sheetViews>
  <sheetFormatPr defaultRowHeight="14.4" outlineLevelRow="1" x14ac:dyDescent="0.3"/>
  <cols>
    <col min="1" max="1" width="3.109375" customWidth="1"/>
    <col min="2" max="2" width="23.77734375" bestFit="1" customWidth="1"/>
    <col min="3" max="3" width="12.77734375" customWidth="1"/>
    <col min="4" max="13" width="10.77734375" customWidth="1"/>
    <col min="14" max="14" width="11.44140625" bestFit="1" customWidth="1"/>
  </cols>
  <sheetData>
    <row r="1" spans="1:13" x14ac:dyDescent="0.3">
      <c r="A1" s="71" t="s">
        <v>89</v>
      </c>
      <c r="B1" s="71"/>
      <c r="C1" s="71"/>
      <c r="D1" s="71"/>
    </row>
    <row r="3" spans="1:13" x14ac:dyDescent="0.3">
      <c r="B3" t="s">
        <v>17</v>
      </c>
    </row>
    <row r="4" spans="1:13" x14ac:dyDescent="0.3">
      <c r="B4" s="2" t="s">
        <v>0</v>
      </c>
      <c r="C4" s="2"/>
      <c r="D4" s="3">
        <v>2024</v>
      </c>
      <c r="E4" s="18">
        <f>D4+1</f>
        <v>2025</v>
      </c>
      <c r="F4" s="19">
        <f t="shared" ref="F4:M4" si="0">E4+1</f>
        <v>2026</v>
      </c>
      <c r="G4" s="19">
        <f t="shared" si="0"/>
        <v>2027</v>
      </c>
      <c r="H4" s="19">
        <f t="shared" si="0"/>
        <v>2028</v>
      </c>
      <c r="I4" s="19">
        <f t="shared" si="0"/>
        <v>2029</v>
      </c>
      <c r="J4" s="19">
        <f t="shared" si="0"/>
        <v>2030</v>
      </c>
      <c r="K4" s="19">
        <f t="shared" si="0"/>
        <v>2031</v>
      </c>
      <c r="L4" s="19">
        <f t="shared" si="0"/>
        <v>2032</v>
      </c>
      <c r="M4" s="19">
        <f t="shared" si="0"/>
        <v>2033</v>
      </c>
    </row>
    <row r="6" spans="1:13" x14ac:dyDescent="0.3">
      <c r="A6" t="s">
        <v>23</v>
      </c>
      <c r="B6" s="12" t="str">
        <f>"Income statement"&amp;" -"&amp; B3</f>
        <v xml:space="preserve">Income statement -ABC LTD 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outlineLevel="1" x14ac:dyDescent="0.3">
      <c r="B7" t="s">
        <v>1</v>
      </c>
      <c r="D7" s="14">
        <v>20000</v>
      </c>
      <c r="E7" s="14">
        <v>22500</v>
      </c>
      <c r="F7" s="20">
        <f>E7*(1+F20)</f>
        <v>24750.000000000004</v>
      </c>
      <c r="G7" s="20">
        <f t="shared" ref="G7:M7" si="1">F7*(1+G20)</f>
        <v>27225.000000000007</v>
      </c>
      <c r="H7" s="20">
        <f t="shared" si="1"/>
        <v>29947.500000000011</v>
      </c>
      <c r="I7" s="20">
        <f t="shared" si="1"/>
        <v>32942.250000000015</v>
      </c>
      <c r="J7" s="20">
        <f t="shared" si="1"/>
        <v>36236.47500000002</v>
      </c>
      <c r="K7" s="20">
        <f t="shared" si="1"/>
        <v>39860.122500000027</v>
      </c>
      <c r="L7" s="20">
        <f t="shared" si="1"/>
        <v>43846.134750000034</v>
      </c>
      <c r="M7" s="20">
        <f t="shared" si="1"/>
        <v>48230.748225000039</v>
      </c>
    </row>
    <row r="8" spans="1:13" outlineLevel="1" x14ac:dyDescent="0.3">
      <c r="B8" t="s">
        <v>2</v>
      </c>
      <c r="D8" s="5">
        <v>8000</v>
      </c>
      <c r="E8" s="5">
        <v>9000</v>
      </c>
      <c r="F8" s="10">
        <f>F7*F21</f>
        <v>9900.0000000000018</v>
      </c>
      <c r="G8" s="21">
        <f t="shared" ref="G8:M8" si="2">G7*G21</f>
        <v>10890.000000000004</v>
      </c>
      <c r="H8" s="21">
        <f t="shared" si="2"/>
        <v>11979.000000000005</v>
      </c>
      <c r="I8" s="21">
        <f t="shared" si="2"/>
        <v>13176.900000000007</v>
      </c>
      <c r="J8" s="21">
        <f t="shared" si="2"/>
        <v>14494.590000000009</v>
      </c>
      <c r="K8" s="21">
        <f t="shared" si="2"/>
        <v>15944.049000000012</v>
      </c>
      <c r="L8" s="21">
        <f t="shared" si="2"/>
        <v>17538.453900000015</v>
      </c>
      <c r="M8" s="21">
        <f t="shared" si="2"/>
        <v>19292.299290000017</v>
      </c>
    </row>
    <row r="9" spans="1:13" outlineLevel="1" x14ac:dyDescent="0.3">
      <c r="B9" s="15" t="s">
        <v>3</v>
      </c>
      <c r="C9" s="15"/>
      <c r="D9" s="23">
        <f>D7-D8</f>
        <v>12000</v>
      </c>
      <c r="E9" s="23">
        <f>E7-E8</f>
        <v>13500</v>
      </c>
      <c r="F9" s="22">
        <f>F7-F8</f>
        <v>14850.000000000002</v>
      </c>
      <c r="G9" s="23">
        <f t="shared" ref="G9:M9" si="3">G7-G8</f>
        <v>16335.000000000004</v>
      </c>
      <c r="H9" s="23">
        <f t="shared" si="3"/>
        <v>17968.500000000007</v>
      </c>
      <c r="I9" s="23">
        <f t="shared" si="3"/>
        <v>19765.350000000006</v>
      </c>
      <c r="J9" s="23">
        <f t="shared" si="3"/>
        <v>21741.885000000009</v>
      </c>
      <c r="K9" s="23">
        <f t="shared" si="3"/>
        <v>23916.073500000013</v>
      </c>
      <c r="L9" s="23">
        <f t="shared" si="3"/>
        <v>26307.680850000019</v>
      </c>
      <c r="M9" s="23">
        <f t="shared" si="3"/>
        <v>28938.448935000022</v>
      </c>
    </row>
    <row r="10" spans="1:13" outlineLevel="1" x14ac:dyDescent="0.3">
      <c r="B10" t="s">
        <v>4</v>
      </c>
      <c r="D10" s="5">
        <v>2000</v>
      </c>
      <c r="E10" s="5">
        <v>2250</v>
      </c>
      <c r="F10" s="10">
        <f>F22</f>
        <v>2500</v>
      </c>
      <c r="G10" s="21">
        <f t="shared" ref="G10:M10" si="4">G22</f>
        <v>2500</v>
      </c>
      <c r="H10" s="21">
        <f t="shared" si="4"/>
        <v>2500</v>
      </c>
      <c r="I10" s="21">
        <f t="shared" si="4"/>
        <v>2500</v>
      </c>
      <c r="J10" s="21">
        <f t="shared" si="4"/>
        <v>2500</v>
      </c>
      <c r="K10" s="21">
        <f t="shared" si="4"/>
        <v>2500</v>
      </c>
      <c r="L10" s="21">
        <f t="shared" si="4"/>
        <v>2500</v>
      </c>
      <c r="M10" s="21">
        <f t="shared" si="4"/>
        <v>2500</v>
      </c>
    </row>
    <row r="11" spans="1:13" outlineLevel="1" x14ac:dyDescent="0.3">
      <c r="B11" s="15" t="s">
        <v>5</v>
      </c>
      <c r="C11" s="15"/>
      <c r="D11" s="23">
        <f>D9-D10</f>
        <v>10000</v>
      </c>
      <c r="E11" s="23">
        <f>E9-E10</f>
        <v>11250</v>
      </c>
      <c r="F11" s="22">
        <f>F9-F10</f>
        <v>12350.000000000002</v>
      </c>
      <c r="G11" s="23">
        <f t="shared" ref="G11:M11" si="5">G9-G10</f>
        <v>13835.000000000004</v>
      </c>
      <c r="H11" s="23">
        <f t="shared" si="5"/>
        <v>15468.500000000007</v>
      </c>
      <c r="I11" s="23">
        <f t="shared" si="5"/>
        <v>17265.350000000006</v>
      </c>
      <c r="J11" s="23">
        <f t="shared" si="5"/>
        <v>19241.885000000009</v>
      </c>
      <c r="K11" s="23">
        <f t="shared" si="5"/>
        <v>21416.073500000013</v>
      </c>
      <c r="L11" s="23">
        <f t="shared" si="5"/>
        <v>23807.680850000019</v>
      </c>
      <c r="M11" s="23">
        <f t="shared" si="5"/>
        <v>26438.448935000022</v>
      </c>
    </row>
    <row r="12" spans="1:13" outlineLevel="1" x14ac:dyDescent="0.3">
      <c r="B12" t="s">
        <v>6</v>
      </c>
      <c r="D12" s="5">
        <v>800</v>
      </c>
      <c r="E12" s="5">
        <v>900</v>
      </c>
      <c r="F12" s="10">
        <f>F7*F23</f>
        <v>1237.5000000000002</v>
      </c>
      <c r="G12" s="21">
        <f t="shared" ref="G12:M12" si="6">G7*G23</f>
        <v>1361.2500000000005</v>
      </c>
      <c r="H12" s="21">
        <f t="shared" si="6"/>
        <v>1497.3750000000007</v>
      </c>
      <c r="I12" s="21">
        <f t="shared" si="6"/>
        <v>1647.1125000000009</v>
      </c>
      <c r="J12" s="21">
        <f t="shared" si="6"/>
        <v>1811.8237500000012</v>
      </c>
      <c r="K12" s="21">
        <f t="shared" si="6"/>
        <v>1993.0061250000015</v>
      </c>
      <c r="L12" s="21">
        <f t="shared" si="6"/>
        <v>2192.3067375000019</v>
      </c>
      <c r="M12" s="21">
        <f t="shared" si="6"/>
        <v>2411.5374112500022</v>
      </c>
    </row>
    <row r="13" spans="1:13" outlineLevel="1" x14ac:dyDescent="0.3">
      <c r="B13" t="s">
        <v>7</v>
      </c>
      <c r="D13" s="5">
        <v>200</v>
      </c>
      <c r="E13" s="5">
        <v>225</v>
      </c>
      <c r="F13" s="10">
        <f>F24</f>
        <v>250</v>
      </c>
      <c r="G13" s="21">
        <f t="shared" ref="G13:M13" si="7">G24</f>
        <v>250</v>
      </c>
      <c r="H13" s="21">
        <f t="shared" si="7"/>
        <v>250</v>
      </c>
      <c r="I13" s="21">
        <f t="shared" si="7"/>
        <v>250</v>
      </c>
      <c r="J13" s="21">
        <f t="shared" si="7"/>
        <v>250</v>
      </c>
      <c r="K13" s="21">
        <f t="shared" si="7"/>
        <v>250</v>
      </c>
      <c r="L13" s="21">
        <f t="shared" si="7"/>
        <v>250</v>
      </c>
      <c r="M13" s="21">
        <f t="shared" si="7"/>
        <v>250</v>
      </c>
    </row>
    <row r="14" spans="1:13" outlineLevel="1" x14ac:dyDescent="0.3">
      <c r="B14" s="15" t="s">
        <v>8</v>
      </c>
      <c r="C14" s="15"/>
      <c r="D14" s="23">
        <f>D11-SUM(D12:D13)</f>
        <v>9000</v>
      </c>
      <c r="E14" s="23">
        <f>E11-SUM(E12:E13)</f>
        <v>10125</v>
      </c>
      <c r="F14" s="22">
        <f>F11-SUM(F12:F13)</f>
        <v>10862.500000000002</v>
      </c>
      <c r="G14" s="23">
        <f t="shared" ref="G14:M14" si="8">G11-SUM(G12:G13)</f>
        <v>12223.750000000004</v>
      </c>
      <c r="H14" s="23">
        <f t="shared" si="8"/>
        <v>13721.125000000007</v>
      </c>
      <c r="I14" s="23">
        <f t="shared" si="8"/>
        <v>15368.237500000005</v>
      </c>
      <c r="J14" s="23">
        <f t="shared" si="8"/>
        <v>17180.061250000006</v>
      </c>
      <c r="K14" s="23">
        <f t="shared" si="8"/>
        <v>19173.067375000013</v>
      </c>
      <c r="L14" s="23">
        <f t="shared" si="8"/>
        <v>21365.374112500016</v>
      </c>
      <c r="M14" s="23">
        <f t="shared" si="8"/>
        <v>23776.911523750019</v>
      </c>
    </row>
    <row r="15" spans="1:13" outlineLevel="1" x14ac:dyDescent="0.3">
      <c r="B15" t="s">
        <v>9</v>
      </c>
      <c r="D15" s="5">
        <v>2700</v>
      </c>
      <c r="E15" s="5">
        <v>3037.5</v>
      </c>
      <c r="F15" s="10">
        <f>F14*F25</f>
        <v>3258.7500000000005</v>
      </c>
      <c r="G15" s="21">
        <f t="shared" ref="G15:M15" si="9">G14*G25</f>
        <v>3667.1250000000009</v>
      </c>
      <c r="H15" s="21">
        <f t="shared" si="9"/>
        <v>4116.3375000000024</v>
      </c>
      <c r="I15" s="21">
        <f t="shared" si="9"/>
        <v>4610.4712500000014</v>
      </c>
      <c r="J15" s="21">
        <f t="shared" si="9"/>
        <v>5154.0183750000015</v>
      </c>
      <c r="K15" s="21">
        <f t="shared" si="9"/>
        <v>5751.9202125000038</v>
      </c>
      <c r="L15" s="21">
        <f t="shared" si="9"/>
        <v>6409.6122337500046</v>
      </c>
      <c r="M15" s="21">
        <f t="shared" si="9"/>
        <v>7133.0734571250059</v>
      </c>
    </row>
    <row r="16" spans="1:13" ht="15" outlineLevel="1" thickBot="1" x14ac:dyDescent="0.35">
      <c r="B16" s="16" t="s">
        <v>10</v>
      </c>
      <c r="C16" s="16"/>
      <c r="D16" s="24">
        <f>D14-D15</f>
        <v>6300</v>
      </c>
      <c r="E16" s="24">
        <f>E14-E15</f>
        <v>7087.5</v>
      </c>
      <c r="F16" s="25">
        <f>F14-F15</f>
        <v>7603.7500000000018</v>
      </c>
      <c r="G16" s="24">
        <f t="shared" ref="G16:M16" si="10">G14-G15</f>
        <v>8556.6250000000036</v>
      </c>
      <c r="H16" s="24">
        <f t="shared" si="10"/>
        <v>9604.7875000000058</v>
      </c>
      <c r="I16" s="24">
        <f t="shared" si="10"/>
        <v>10757.766250000004</v>
      </c>
      <c r="J16" s="24">
        <f t="shared" si="10"/>
        <v>12026.042875000005</v>
      </c>
      <c r="K16" s="24">
        <f t="shared" si="10"/>
        <v>13421.147162500009</v>
      </c>
      <c r="L16" s="24">
        <f t="shared" si="10"/>
        <v>14955.761878750011</v>
      </c>
      <c r="M16" s="24">
        <f t="shared" si="10"/>
        <v>16643.838066625012</v>
      </c>
    </row>
    <row r="17" spans="1:14" ht="15" thickTop="1" x14ac:dyDescent="0.3"/>
    <row r="19" spans="1:14" x14ac:dyDescent="0.3">
      <c r="A19" t="s">
        <v>23</v>
      </c>
      <c r="B19" s="12" t="str">
        <f>"Assumption Drivers"&amp;" -"&amp; B3</f>
        <v xml:space="preserve">Assumption Drivers -ABC LTD 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4" outlineLevel="1" x14ac:dyDescent="0.3">
      <c r="B20" t="s">
        <v>11</v>
      </c>
      <c r="D20" t="s">
        <v>16</v>
      </c>
      <c r="E20" s="26">
        <f>E7/D7-1</f>
        <v>0.125</v>
      </c>
      <c r="F20" s="8">
        <v>0.1</v>
      </c>
      <c r="G20" s="11">
        <f>F20</f>
        <v>0.1</v>
      </c>
      <c r="H20" s="11">
        <f t="shared" ref="H20:M21" si="11">G20</f>
        <v>0.1</v>
      </c>
      <c r="I20" s="11">
        <f t="shared" si="11"/>
        <v>0.1</v>
      </c>
      <c r="J20" s="11">
        <f t="shared" si="11"/>
        <v>0.1</v>
      </c>
      <c r="K20" s="11">
        <f t="shared" si="11"/>
        <v>0.1</v>
      </c>
      <c r="L20" s="11">
        <f t="shared" si="11"/>
        <v>0.1</v>
      </c>
      <c r="M20" s="11">
        <f t="shared" si="11"/>
        <v>0.1</v>
      </c>
      <c r="N20" s="7"/>
    </row>
    <row r="21" spans="1:14" outlineLevel="1" x14ac:dyDescent="0.3">
      <c r="B21" t="s">
        <v>12</v>
      </c>
      <c r="D21" s="26">
        <f>D8/D7</f>
        <v>0.4</v>
      </c>
      <c r="E21" s="26">
        <f>E8/E7</f>
        <v>0.4</v>
      </c>
      <c r="F21" s="26">
        <f>E21</f>
        <v>0.4</v>
      </c>
      <c r="G21" s="11">
        <f>F21</f>
        <v>0.4</v>
      </c>
      <c r="H21" s="11">
        <f t="shared" si="11"/>
        <v>0.4</v>
      </c>
      <c r="I21" s="11">
        <f t="shared" si="11"/>
        <v>0.4</v>
      </c>
      <c r="J21" s="11">
        <f t="shared" si="11"/>
        <v>0.4</v>
      </c>
      <c r="K21" s="11">
        <f t="shared" si="11"/>
        <v>0.4</v>
      </c>
      <c r="L21" s="11">
        <f t="shared" si="11"/>
        <v>0.4</v>
      </c>
      <c r="M21" s="11">
        <f t="shared" si="11"/>
        <v>0.4</v>
      </c>
      <c r="N21" s="7"/>
    </row>
    <row r="22" spans="1:14" outlineLevel="1" x14ac:dyDescent="0.3">
      <c r="B22" t="s">
        <v>13</v>
      </c>
      <c r="D22" s="21">
        <f>D10</f>
        <v>2000</v>
      </c>
      <c r="E22" s="21">
        <f>E10</f>
        <v>2250</v>
      </c>
      <c r="F22" s="9">
        <v>2500</v>
      </c>
      <c r="G22" s="10">
        <f>F22</f>
        <v>2500</v>
      </c>
      <c r="H22" s="10">
        <f>G22</f>
        <v>2500</v>
      </c>
      <c r="I22" s="10">
        <f t="shared" ref="I22:M22" si="12">H22</f>
        <v>2500</v>
      </c>
      <c r="J22" s="10">
        <f t="shared" si="12"/>
        <v>2500</v>
      </c>
      <c r="K22" s="10">
        <f t="shared" si="12"/>
        <v>2500</v>
      </c>
      <c r="L22" s="10">
        <f t="shared" si="12"/>
        <v>2500</v>
      </c>
      <c r="M22" s="10">
        <f t="shared" si="12"/>
        <v>2500</v>
      </c>
      <c r="N22" s="7"/>
    </row>
    <row r="23" spans="1:14" outlineLevel="1" x14ac:dyDescent="0.3">
      <c r="B23" t="s">
        <v>14</v>
      </c>
      <c r="D23" s="26">
        <f>D12/D7</f>
        <v>0.04</v>
      </c>
      <c r="E23" s="26">
        <f t="shared" ref="E23" si="13">E12/E7</f>
        <v>0.04</v>
      </c>
      <c r="F23" s="8">
        <v>0.05</v>
      </c>
      <c r="G23" s="11">
        <f t="shared" ref="G23:M23" si="14">F23</f>
        <v>0.05</v>
      </c>
      <c r="H23" s="11">
        <f t="shared" si="14"/>
        <v>0.05</v>
      </c>
      <c r="I23" s="11">
        <f t="shared" si="14"/>
        <v>0.05</v>
      </c>
      <c r="J23" s="11">
        <f t="shared" si="14"/>
        <v>0.05</v>
      </c>
      <c r="K23" s="11">
        <f t="shared" si="14"/>
        <v>0.05</v>
      </c>
      <c r="L23" s="11">
        <f t="shared" si="14"/>
        <v>0.05</v>
      </c>
      <c r="M23" s="11">
        <f t="shared" si="14"/>
        <v>0.05</v>
      </c>
      <c r="N23" s="7"/>
    </row>
    <row r="24" spans="1:14" outlineLevel="1" x14ac:dyDescent="0.3">
      <c r="B24" t="s">
        <v>7</v>
      </c>
      <c r="D24" s="21">
        <f>D13</f>
        <v>200</v>
      </c>
      <c r="E24" s="21">
        <f>E13</f>
        <v>225</v>
      </c>
      <c r="F24" s="9">
        <v>250</v>
      </c>
      <c r="G24" s="10">
        <f t="shared" ref="G24:M24" si="15">F24</f>
        <v>250</v>
      </c>
      <c r="H24" s="10">
        <f t="shared" si="15"/>
        <v>250</v>
      </c>
      <c r="I24" s="10">
        <f t="shared" si="15"/>
        <v>250</v>
      </c>
      <c r="J24" s="10">
        <f t="shared" si="15"/>
        <v>250</v>
      </c>
      <c r="K24" s="10">
        <f t="shared" si="15"/>
        <v>250</v>
      </c>
      <c r="L24" s="10">
        <f t="shared" si="15"/>
        <v>250</v>
      </c>
      <c r="M24" s="10">
        <f t="shared" si="15"/>
        <v>250</v>
      </c>
      <c r="N24" s="7"/>
    </row>
    <row r="25" spans="1:14" outlineLevel="1" x14ac:dyDescent="0.3">
      <c r="B25" t="s">
        <v>15</v>
      </c>
      <c r="D25" s="6">
        <v>0.3</v>
      </c>
      <c r="E25" s="6">
        <v>0.3</v>
      </c>
      <c r="F25" s="8">
        <v>0.3</v>
      </c>
      <c r="G25" s="11">
        <f t="shared" ref="G25:M25" si="16">F25</f>
        <v>0.3</v>
      </c>
      <c r="H25" s="11">
        <f t="shared" si="16"/>
        <v>0.3</v>
      </c>
      <c r="I25" s="11">
        <f t="shared" si="16"/>
        <v>0.3</v>
      </c>
      <c r="J25" s="11">
        <f t="shared" si="16"/>
        <v>0.3</v>
      </c>
      <c r="K25" s="11">
        <f t="shared" si="16"/>
        <v>0.3</v>
      </c>
      <c r="L25" s="11">
        <f t="shared" si="16"/>
        <v>0.3</v>
      </c>
      <c r="M25" s="11">
        <f t="shared" si="16"/>
        <v>0.3</v>
      </c>
      <c r="N25" s="7"/>
    </row>
    <row r="28" spans="1:14" x14ac:dyDescent="0.3">
      <c r="A28" t="s">
        <v>23</v>
      </c>
      <c r="B28" s="12" t="str">
        <f>"Common size Statement"&amp;" -"&amp; B3</f>
        <v xml:space="preserve">Common size Statement -ABC LTD 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4" outlineLevel="1" x14ac:dyDescent="0.3">
      <c r="B29" t="s">
        <v>1</v>
      </c>
      <c r="D29" s="27">
        <f>D7/D7</f>
        <v>1</v>
      </c>
      <c r="E29" s="27">
        <f t="shared" ref="E29:M29" si="17">E7/E7</f>
        <v>1</v>
      </c>
      <c r="F29" s="27">
        <f t="shared" si="17"/>
        <v>1</v>
      </c>
      <c r="G29" s="27">
        <f t="shared" si="17"/>
        <v>1</v>
      </c>
      <c r="H29" s="27">
        <f t="shared" si="17"/>
        <v>1</v>
      </c>
      <c r="I29" s="27">
        <f t="shared" si="17"/>
        <v>1</v>
      </c>
      <c r="J29" s="27">
        <f t="shared" si="17"/>
        <v>1</v>
      </c>
      <c r="K29" s="27">
        <f t="shared" si="17"/>
        <v>1</v>
      </c>
      <c r="L29" s="27">
        <f t="shared" si="17"/>
        <v>1</v>
      </c>
      <c r="M29" s="27">
        <f t="shared" si="17"/>
        <v>1</v>
      </c>
    </row>
    <row r="30" spans="1:14" outlineLevel="1" x14ac:dyDescent="0.3">
      <c r="B30" t="s">
        <v>2</v>
      </c>
      <c r="D30" s="28">
        <f>D8/D$7</f>
        <v>0.4</v>
      </c>
      <c r="E30" s="28">
        <f t="shared" ref="E30:M30" si="18">E8/E$7</f>
        <v>0.4</v>
      </c>
      <c r="F30" s="28">
        <f t="shared" si="18"/>
        <v>0.4</v>
      </c>
      <c r="G30" s="28">
        <f t="shared" si="18"/>
        <v>0.4</v>
      </c>
      <c r="H30" s="28">
        <f t="shared" si="18"/>
        <v>0.4</v>
      </c>
      <c r="I30" s="28">
        <f t="shared" si="18"/>
        <v>0.4</v>
      </c>
      <c r="J30" s="28">
        <f t="shared" si="18"/>
        <v>0.4</v>
      </c>
      <c r="K30" s="28">
        <f t="shared" si="18"/>
        <v>0.4</v>
      </c>
      <c r="L30" s="28">
        <f t="shared" si="18"/>
        <v>0.4</v>
      </c>
      <c r="M30" s="28">
        <f t="shared" si="18"/>
        <v>0.4</v>
      </c>
    </row>
    <row r="31" spans="1:14" outlineLevel="1" x14ac:dyDescent="0.3">
      <c r="B31" t="s">
        <v>3</v>
      </c>
      <c r="D31" s="28">
        <f t="shared" ref="D31:M31" si="19">D9/D$7</f>
        <v>0.6</v>
      </c>
      <c r="E31" s="28">
        <f t="shared" si="19"/>
        <v>0.6</v>
      </c>
      <c r="F31" s="28">
        <f t="shared" si="19"/>
        <v>0.6</v>
      </c>
      <c r="G31" s="28">
        <f t="shared" si="19"/>
        <v>0.6</v>
      </c>
      <c r="H31" s="28">
        <f t="shared" si="19"/>
        <v>0.6</v>
      </c>
      <c r="I31" s="28">
        <f t="shared" si="19"/>
        <v>0.59999999999999987</v>
      </c>
      <c r="J31" s="28">
        <f t="shared" si="19"/>
        <v>0.59999999999999987</v>
      </c>
      <c r="K31" s="28">
        <f t="shared" si="19"/>
        <v>0.6</v>
      </c>
      <c r="L31" s="28">
        <f t="shared" si="19"/>
        <v>0.6</v>
      </c>
      <c r="M31" s="28">
        <f t="shared" si="19"/>
        <v>0.6</v>
      </c>
    </row>
    <row r="32" spans="1:14" outlineLevel="1" x14ac:dyDescent="0.3">
      <c r="B32" t="s">
        <v>4</v>
      </c>
      <c r="D32" s="28">
        <f t="shared" ref="D32:M32" si="20">D10/D$7</f>
        <v>0.1</v>
      </c>
      <c r="E32" s="28">
        <f t="shared" si="20"/>
        <v>0.1</v>
      </c>
      <c r="F32" s="28">
        <f t="shared" si="20"/>
        <v>0.10101010101010099</v>
      </c>
      <c r="G32" s="28">
        <f t="shared" si="20"/>
        <v>9.1827364554637261E-2</v>
      </c>
      <c r="H32" s="28">
        <f t="shared" si="20"/>
        <v>8.3479422322397495E-2</v>
      </c>
      <c r="I32" s="28">
        <f t="shared" si="20"/>
        <v>7.5890383929452271E-2</v>
      </c>
      <c r="J32" s="28">
        <f t="shared" si="20"/>
        <v>6.8991258117683876E-2</v>
      </c>
      <c r="K32" s="28">
        <f t="shared" si="20"/>
        <v>6.2719325561530787E-2</v>
      </c>
      <c r="L32" s="28">
        <f t="shared" si="20"/>
        <v>5.7017568692300707E-2</v>
      </c>
      <c r="M32" s="28">
        <f t="shared" si="20"/>
        <v>5.1834153356637006E-2</v>
      </c>
    </row>
    <row r="33" spans="1:13" outlineLevel="1" x14ac:dyDescent="0.3">
      <c r="B33" t="s">
        <v>5</v>
      </c>
      <c r="D33" s="28">
        <f t="shared" ref="D33:M33" si="21">D11/D$7</f>
        <v>0.5</v>
      </c>
      <c r="E33" s="28">
        <f t="shared" si="21"/>
        <v>0.5</v>
      </c>
      <c r="F33" s="28">
        <f t="shared" si="21"/>
        <v>0.49898989898989898</v>
      </c>
      <c r="G33" s="28">
        <f t="shared" si="21"/>
        <v>0.50817263544536273</v>
      </c>
      <c r="H33" s="28">
        <f t="shared" si="21"/>
        <v>0.51652057767760251</v>
      </c>
      <c r="I33" s="28">
        <f t="shared" si="21"/>
        <v>0.52410961607054762</v>
      </c>
      <c r="J33" s="28">
        <f t="shared" si="21"/>
        <v>0.53100874188231606</v>
      </c>
      <c r="K33" s="28">
        <f t="shared" si="21"/>
        <v>0.53728067443846916</v>
      </c>
      <c r="L33" s="28">
        <f t="shared" si="21"/>
        <v>0.5429824313076993</v>
      </c>
      <c r="M33" s="28">
        <f t="shared" si="21"/>
        <v>0.54816584664336299</v>
      </c>
    </row>
    <row r="34" spans="1:13" outlineLevel="1" x14ac:dyDescent="0.3">
      <c r="B34" t="s">
        <v>6</v>
      </c>
      <c r="D34" s="28">
        <f t="shared" ref="D34:M34" si="22">D12/D$7</f>
        <v>0.04</v>
      </c>
      <c r="E34" s="28">
        <f t="shared" si="22"/>
        <v>0.04</v>
      </c>
      <c r="F34" s="28">
        <f t="shared" si="22"/>
        <v>0.05</v>
      </c>
      <c r="G34" s="28">
        <f t="shared" si="22"/>
        <v>0.05</v>
      </c>
      <c r="H34" s="28">
        <f t="shared" si="22"/>
        <v>0.05</v>
      </c>
      <c r="I34" s="28">
        <f t="shared" si="22"/>
        <v>0.05</v>
      </c>
      <c r="J34" s="28">
        <f t="shared" si="22"/>
        <v>0.05</v>
      </c>
      <c r="K34" s="28">
        <f t="shared" si="22"/>
        <v>0.05</v>
      </c>
      <c r="L34" s="28">
        <f t="shared" si="22"/>
        <v>0.05</v>
      </c>
      <c r="M34" s="28">
        <f t="shared" si="22"/>
        <v>0.05</v>
      </c>
    </row>
    <row r="35" spans="1:13" outlineLevel="1" x14ac:dyDescent="0.3">
      <c r="B35" t="s">
        <v>7</v>
      </c>
      <c r="D35" s="28">
        <f t="shared" ref="D35:M35" si="23">D13/D$7</f>
        <v>0.01</v>
      </c>
      <c r="E35" s="28">
        <f t="shared" si="23"/>
        <v>0.01</v>
      </c>
      <c r="F35" s="28">
        <f t="shared" si="23"/>
        <v>1.01010101010101E-2</v>
      </c>
      <c r="G35" s="28">
        <f t="shared" si="23"/>
        <v>9.1827364554637261E-3</v>
      </c>
      <c r="H35" s="28">
        <f t="shared" si="23"/>
        <v>8.3479422322397506E-3</v>
      </c>
      <c r="I35" s="28">
        <f t="shared" si="23"/>
        <v>7.5890383929452269E-3</v>
      </c>
      <c r="J35" s="28">
        <f t="shared" si="23"/>
        <v>6.8991258117683868E-3</v>
      </c>
      <c r="K35" s="28">
        <f t="shared" si="23"/>
        <v>6.2719325561530785E-3</v>
      </c>
      <c r="L35" s="28">
        <f t="shared" si="23"/>
        <v>5.7017568692300704E-3</v>
      </c>
      <c r="M35" s="28">
        <f t="shared" si="23"/>
        <v>5.1834153356637002E-3</v>
      </c>
    </row>
    <row r="36" spans="1:13" outlineLevel="1" x14ac:dyDescent="0.3">
      <c r="B36" t="s">
        <v>8</v>
      </c>
      <c r="D36" s="28">
        <f t="shared" ref="D36:M36" si="24">D14/D$7</f>
        <v>0.45</v>
      </c>
      <c r="E36" s="28">
        <f t="shared" si="24"/>
        <v>0.45</v>
      </c>
      <c r="F36" s="28">
        <f t="shared" si="24"/>
        <v>0.43888888888888888</v>
      </c>
      <c r="G36" s="28">
        <f t="shared" si="24"/>
        <v>0.44898989898989899</v>
      </c>
      <c r="H36" s="28">
        <f t="shared" si="24"/>
        <v>0.4581726354453628</v>
      </c>
      <c r="I36" s="28">
        <f t="shared" si="24"/>
        <v>0.46652057767760241</v>
      </c>
      <c r="J36" s="28">
        <f t="shared" si="24"/>
        <v>0.47410961607054758</v>
      </c>
      <c r="K36" s="28">
        <f t="shared" si="24"/>
        <v>0.48100874188231613</v>
      </c>
      <c r="L36" s="28">
        <f t="shared" si="24"/>
        <v>0.48728067443846917</v>
      </c>
      <c r="M36" s="28">
        <f t="shared" si="24"/>
        <v>0.49298243130769925</v>
      </c>
    </row>
    <row r="37" spans="1:13" outlineLevel="1" x14ac:dyDescent="0.3">
      <c r="B37" t="s">
        <v>9</v>
      </c>
      <c r="D37" s="28">
        <f t="shared" ref="D37:M37" si="25">D15/D$7</f>
        <v>0.13500000000000001</v>
      </c>
      <c r="E37" s="28">
        <f t="shared" si="25"/>
        <v>0.13500000000000001</v>
      </c>
      <c r="F37" s="28">
        <f t="shared" si="25"/>
        <v>0.13166666666666665</v>
      </c>
      <c r="G37" s="28">
        <f t="shared" si="25"/>
        <v>0.1346969696969697</v>
      </c>
      <c r="H37" s="28">
        <f t="shared" si="25"/>
        <v>0.13745179063360885</v>
      </c>
      <c r="I37" s="28">
        <f t="shared" si="25"/>
        <v>0.13995617330328072</v>
      </c>
      <c r="J37" s="28">
        <f t="shared" si="25"/>
        <v>0.14223288482116428</v>
      </c>
      <c r="K37" s="28">
        <f t="shared" si="25"/>
        <v>0.14430262256469484</v>
      </c>
      <c r="L37" s="28">
        <f t="shared" si="25"/>
        <v>0.14618420233154075</v>
      </c>
      <c r="M37" s="28">
        <f t="shared" si="25"/>
        <v>0.14789472939230977</v>
      </c>
    </row>
    <row r="38" spans="1:13" outlineLevel="1" x14ac:dyDescent="0.3">
      <c r="B38" t="s">
        <v>10</v>
      </c>
      <c r="D38" s="28">
        <f t="shared" ref="D38:M38" si="26">D16/D$7</f>
        <v>0.315</v>
      </c>
      <c r="E38" s="28">
        <f t="shared" si="26"/>
        <v>0.315</v>
      </c>
      <c r="F38" s="28">
        <f t="shared" si="26"/>
        <v>0.30722222222222223</v>
      </c>
      <c r="G38" s="28">
        <f t="shared" si="26"/>
        <v>0.31429292929292935</v>
      </c>
      <c r="H38" s="28">
        <f t="shared" si="26"/>
        <v>0.320720844811754</v>
      </c>
      <c r="I38" s="28">
        <f t="shared" si="26"/>
        <v>0.32656440437432172</v>
      </c>
      <c r="J38" s="28">
        <f t="shared" si="26"/>
        <v>0.33187673124938333</v>
      </c>
      <c r="K38" s="28">
        <f t="shared" si="26"/>
        <v>0.33670611931762123</v>
      </c>
      <c r="L38" s="28">
        <f t="shared" si="26"/>
        <v>0.34109647210692839</v>
      </c>
      <c r="M38" s="28">
        <f t="shared" si="26"/>
        <v>0.34508770191538946</v>
      </c>
    </row>
    <row r="41" spans="1:13" x14ac:dyDescent="0.3">
      <c r="A41" t="s">
        <v>23</v>
      </c>
      <c r="B41" s="12" t="str">
        <f>"Change Analysis"&amp;" -"&amp;B3</f>
        <v xml:space="preserve">Change Analysis -ABC LTD 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idden="1" outlineLevel="1" x14ac:dyDescent="0.3">
      <c r="C42" s="17">
        <v>0.1</v>
      </c>
    </row>
    <row r="43" spans="1:13" hidden="1" outlineLevel="1" x14ac:dyDescent="0.3">
      <c r="B43" t="s">
        <v>1</v>
      </c>
      <c r="D43" s="20">
        <f>D7*(1+$C$42)</f>
        <v>22000</v>
      </c>
      <c r="E43" s="20">
        <f t="shared" ref="E43:M43" si="27">E7*(1+$C$42)</f>
        <v>24750.000000000004</v>
      </c>
      <c r="F43" s="20">
        <f t="shared" si="27"/>
        <v>27225.000000000007</v>
      </c>
      <c r="G43" s="20">
        <f t="shared" si="27"/>
        <v>29947.500000000011</v>
      </c>
      <c r="H43" s="20">
        <f t="shared" si="27"/>
        <v>32942.250000000015</v>
      </c>
      <c r="I43" s="20">
        <f t="shared" si="27"/>
        <v>36236.47500000002</v>
      </c>
      <c r="J43" s="20">
        <f t="shared" si="27"/>
        <v>39860.122500000027</v>
      </c>
      <c r="K43" s="20">
        <f t="shared" si="27"/>
        <v>43846.134750000034</v>
      </c>
      <c r="L43" s="20">
        <f t="shared" si="27"/>
        <v>48230.748225000039</v>
      </c>
      <c r="M43" s="20">
        <f t="shared" si="27"/>
        <v>53053.823047500046</v>
      </c>
    </row>
    <row r="44" spans="1:13" hidden="1" outlineLevel="1" x14ac:dyDescent="0.3">
      <c r="B44" t="s">
        <v>2</v>
      </c>
      <c r="D44" s="21">
        <f t="shared" ref="D44:M44" si="28">D8*(1+$C$42)</f>
        <v>8800</v>
      </c>
      <c r="E44" s="21">
        <f t="shared" si="28"/>
        <v>9900</v>
      </c>
      <c r="F44" s="10">
        <f t="shared" si="28"/>
        <v>10890.000000000004</v>
      </c>
      <c r="G44" s="21">
        <f t="shared" si="28"/>
        <v>11979.000000000005</v>
      </c>
      <c r="H44" s="21">
        <f t="shared" si="28"/>
        <v>13176.900000000007</v>
      </c>
      <c r="I44" s="21">
        <f t="shared" si="28"/>
        <v>14494.590000000009</v>
      </c>
      <c r="J44" s="21">
        <f t="shared" si="28"/>
        <v>15944.049000000012</v>
      </c>
      <c r="K44" s="21">
        <f t="shared" si="28"/>
        <v>17538.453900000015</v>
      </c>
      <c r="L44" s="21">
        <f t="shared" si="28"/>
        <v>19292.299290000017</v>
      </c>
      <c r="M44" s="21">
        <f t="shared" si="28"/>
        <v>21221.529219000022</v>
      </c>
    </row>
    <row r="45" spans="1:13" hidden="1" outlineLevel="1" x14ac:dyDescent="0.3">
      <c r="B45" s="15" t="s">
        <v>3</v>
      </c>
      <c r="C45" s="15"/>
      <c r="D45" s="23">
        <f t="shared" ref="D45:M45" si="29">D9*(1+$C$42)</f>
        <v>13200.000000000002</v>
      </c>
      <c r="E45" s="23">
        <f t="shared" si="29"/>
        <v>14850.000000000002</v>
      </c>
      <c r="F45" s="22">
        <f t="shared" si="29"/>
        <v>16335.000000000004</v>
      </c>
      <c r="G45" s="23">
        <f t="shared" si="29"/>
        <v>17968.500000000004</v>
      </c>
      <c r="H45" s="23">
        <f t="shared" si="29"/>
        <v>19765.350000000009</v>
      </c>
      <c r="I45" s="23">
        <f t="shared" si="29"/>
        <v>21741.885000000009</v>
      </c>
      <c r="J45" s="23">
        <f t="shared" si="29"/>
        <v>23916.073500000013</v>
      </c>
      <c r="K45" s="23">
        <f t="shared" si="29"/>
        <v>26307.680850000015</v>
      </c>
      <c r="L45" s="23">
        <f t="shared" si="29"/>
        <v>28938.448935000022</v>
      </c>
      <c r="M45" s="23">
        <f t="shared" si="29"/>
        <v>31832.293828500027</v>
      </c>
    </row>
    <row r="46" spans="1:13" hidden="1" outlineLevel="1" x14ac:dyDescent="0.3">
      <c r="B46" t="s">
        <v>4</v>
      </c>
      <c r="D46" s="21">
        <f t="shared" ref="D46:M46" si="30">D10*(1+$C$42)</f>
        <v>2200</v>
      </c>
      <c r="E46" s="21">
        <f t="shared" si="30"/>
        <v>2475</v>
      </c>
      <c r="F46" s="10">
        <f t="shared" si="30"/>
        <v>2750</v>
      </c>
      <c r="G46" s="21">
        <f t="shared" si="30"/>
        <v>2750</v>
      </c>
      <c r="H46" s="21">
        <f t="shared" si="30"/>
        <v>2750</v>
      </c>
      <c r="I46" s="21">
        <f t="shared" si="30"/>
        <v>2750</v>
      </c>
      <c r="J46" s="21">
        <f t="shared" si="30"/>
        <v>2750</v>
      </c>
      <c r="K46" s="21">
        <f t="shared" si="30"/>
        <v>2750</v>
      </c>
      <c r="L46" s="21">
        <f t="shared" si="30"/>
        <v>2750</v>
      </c>
      <c r="M46" s="21">
        <f t="shared" si="30"/>
        <v>2750</v>
      </c>
    </row>
    <row r="47" spans="1:13" hidden="1" outlineLevel="1" x14ac:dyDescent="0.3">
      <c r="B47" s="15" t="s">
        <v>5</v>
      </c>
      <c r="C47" s="15"/>
      <c r="D47" s="23">
        <f t="shared" ref="D47:M47" si="31">D11*(1+$C$42)</f>
        <v>11000</v>
      </c>
      <c r="E47" s="23">
        <f t="shared" si="31"/>
        <v>12375.000000000002</v>
      </c>
      <c r="F47" s="22">
        <f t="shared" si="31"/>
        <v>13585.000000000004</v>
      </c>
      <c r="G47" s="23">
        <f t="shared" si="31"/>
        <v>15218.500000000005</v>
      </c>
      <c r="H47" s="23">
        <f t="shared" si="31"/>
        <v>17015.350000000009</v>
      </c>
      <c r="I47" s="23">
        <f t="shared" si="31"/>
        <v>18991.885000000009</v>
      </c>
      <c r="J47" s="23">
        <f t="shared" si="31"/>
        <v>21166.073500000013</v>
      </c>
      <c r="K47" s="23">
        <f t="shared" si="31"/>
        <v>23557.680850000015</v>
      </c>
      <c r="L47" s="23">
        <f t="shared" si="31"/>
        <v>26188.448935000022</v>
      </c>
      <c r="M47" s="23">
        <f t="shared" si="31"/>
        <v>29082.293828500027</v>
      </c>
    </row>
    <row r="48" spans="1:13" hidden="1" outlineLevel="1" x14ac:dyDescent="0.3">
      <c r="B48" t="s">
        <v>6</v>
      </c>
      <c r="D48" s="21">
        <f t="shared" ref="D48:M48" si="32">D12*(1+$C$42)</f>
        <v>880.00000000000011</v>
      </c>
      <c r="E48" s="21">
        <f t="shared" si="32"/>
        <v>990.00000000000011</v>
      </c>
      <c r="F48" s="10">
        <f t="shared" si="32"/>
        <v>1361.2500000000005</v>
      </c>
      <c r="G48" s="21">
        <f t="shared" si="32"/>
        <v>1497.3750000000007</v>
      </c>
      <c r="H48" s="21">
        <f t="shared" si="32"/>
        <v>1647.1125000000009</v>
      </c>
      <c r="I48" s="21">
        <f t="shared" si="32"/>
        <v>1811.8237500000012</v>
      </c>
      <c r="J48" s="21">
        <f t="shared" si="32"/>
        <v>1993.0061250000015</v>
      </c>
      <c r="K48" s="21">
        <f t="shared" si="32"/>
        <v>2192.3067375000019</v>
      </c>
      <c r="L48" s="21">
        <f t="shared" si="32"/>
        <v>2411.5374112500022</v>
      </c>
      <c r="M48" s="21">
        <f t="shared" si="32"/>
        <v>2652.6911523750027</v>
      </c>
    </row>
    <row r="49" spans="1:13" hidden="1" outlineLevel="1" x14ac:dyDescent="0.3">
      <c r="B49" t="s">
        <v>7</v>
      </c>
      <c r="D49" s="21">
        <f t="shared" ref="D49:M49" si="33">D13*(1+$C$42)</f>
        <v>220.00000000000003</v>
      </c>
      <c r="E49" s="21">
        <f t="shared" si="33"/>
        <v>247.50000000000003</v>
      </c>
      <c r="F49" s="10">
        <f t="shared" si="33"/>
        <v>275</v>
      </c>
      <c r="G49" s="21">
        <f t="shared" si="33"/>
        <v>275</v>
      </c>
      <c r="H49" s="21">
        <f t="shared" si="33"/>
        <v>275</v>
      </c>
      <c r="I49" s="21">
        <f t="shared" si="33"/>
        <v>275</v>
      </c>
      <c r="J49" s="21">
        <f t="shared" si="33"/>
        <v>275</v>
      </c>
      <c r="K49" s="21">
        <f t="shared" si="33"/>
        <v>275</v>
      </c>
      <c r="L49" s="21">
        <f t="shared" si="33"/>
        <v>275</v>
      </c>
      <c r="M49" s="21">
        <f t="shared" si="33"/>
        <v>275</v>
      </c>
    </row>
    <row r="50" spans="1:13" hidden="1" outlineLevel="1" x14ac:dyDescent="0.3">
      <c r="B50" s="15" t="s">
        <v>8</v>
      </c>
      <c r="C50" s="15"/>
      <c r="D50" s="23">
        <f t="shared" ref="D50:M50" si="34">D14*(1+$C$42)</f>
        <v>9900</v>
      </c>
      <c r="E50" s="23">
        <f t="shared" si="34"/>
        <v>11137.5</v>
      </c>
      <c r="F50" s="22">
        <f t="shared" si="34"/>
        <v>11948.750000000004</v>
      </c>
      <c r="G50" s="23">
        <f t="shared" si="34"/>
        <v>13446.125000000005</v>
      </c>
      <c r="H50" s="23">
        <f t="shared" si="34"/>
        <v>15093.237500000008</v>
      </c>
      <c r="I50" s="23">
        <f t="shared" si="34"/>
        <v>16905.061250000006</v>
      </c>
      <c r="J50" s="23">
        <f t="shared" si="34"/>
        <v>18898.06737500001</v>
      </c>
      <c r="K50" s="23">
        <f t="shared" si="34"/>
        <v>21090.374112500016</v>
      </c>
      <c r="L50" s="23">
        <f t="shared" si="34"/>
        <v>23501.911523750019</v>
      </c>
      <c r="M50" s="23">
        <f t="shared" si="34"/>
        <v>26154.602676125021</v>
      </c>
    </row>
    <row r="51" spans="1:13" hidden="1" outlineLevel="1" x14ac:dyDescent="0.3">
      <c r="B51" t="s">
        <v>9</v>
      </c>
      <c r="D51" s="21">
        <f t="shared" ref="D51:M51" si="35">D15*(1+$C$42)</f>
        <v>2970.0000000000005</v>
      </c>
      <c r="E51" s="21">
        <f t="shared" si="35"/>
        <v>3341.2500000000005</v>
      </c>
      <c r="F51" s="10">
        <f t="shared" si="35"/>
        <v>3584.6250000000009</v>
      </c>
      <c r="G51" s="21">
        <f t="shared" si="35"/>
        <v>4033.8375000000015</v>
      </c>
      <c r="H51" s="21">
        <f t="shared" si="35"/>
        <v>4527.9712500000032</v>
      </c>
      <c r="I51" s="21">
        <f t="shared" si="35"/>
        <v>5071.5183750000024</v>
      </c>
      <c r="J51" s="21">
        <f t="shared" si="35"/>
        <v>5669.420212500002</v>
      </c>
      <c r="K51" s="21">
        <f t="shared" si="35"/>
        <v>6327.1122337500046</v>
      </c>
      <c r="L51" s="21">
        <f t="shared" si="35"/>
        <v>7050.5734571250059</v>
      </c>
      <c r="M51" s="21">
        <f t="shared" si="35"/>
        <v>7846.380802837507</v>
      </c>
    </row>
    <row r="52" spans="1:13" ht="15" hidden="1" outlineLevel="1" thickBot="1" x14ac:dyDescent="0.35">
      <c r="B52" s="16" t="s">
        <v>10</v>
      </c>
      <c r="C52" s="16"/>
      <c r="D52" s="24">
        <f t="shared" ref="D52:M52" si="36">D16*(1+$C$42)</f>
        <v>6930.0000000000009</v>
      </c>
      <c r="E52" s="24">
        <f t="shared" si="36"/>
        <v>7796.2500000000009</v>
      </c>
      <c r="F52" s="25">
        <f t="shared" si="36"/>
        <v>8364.1250000000018</v>
      </c>
      <c r="G52" s="24">
        <f t="shared" si="36"/>
        <v>9412.287500000004</v>
      </c>
      <c r="H52" s="24">
        <f t="shared" si="36"/>
        <v>10565.266250000008</v>
      </c>
      <c r="I52" s="24">
        <f t="shared" si="36"/>
        <v>11833.542875000006</v>
      </c>
      <c r="J52" s="24">
        <f t="shared" si="36"/>
        <v>13228.647162500007</v>
      </c>
      <c r="K52" s="24">
        <f t="shared" si="36"/>
        <v>14763.261878750011</v>
      </c>
      <c r="L52" s="24">
        <f t="shared" si="36"/>
        <v>16451.338066625012</v>
      </c>
      <c r="M52" s="24">
        <f t="shared" si="36"/>
        <v>18308.221873287515</v>
      </c>
    </row>
    <row r="53" spans="1:13" outlineLevel="1" collapsed="1" x14ac:dyDescent="0.3"/>
    <row r="54" spans="1:13" outlineLevel="1" x14ac:dyDescent="0.3"/>
    <row r="55" spans="1:13" outlineLevel="1" x14ac:dyDescent="0.3">
      <c r="A55" t="s">
        <v>23</v>
      </c>
      <c r="B55" s="1" t="s">
        <v>18</v>
      </c>
      <c r="C55" s="29">
        <v>45519</v>
      </c>
    </row>
    <row r="56" spans="1:13" outlineLevel="1" x14ac:dyDescent="0.3">
      <c r="D56">
        <v>0</v>
      </c>
      <c r="E56">
        <v>1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</row>
    <row r="57" spans="1:13" outlineLevel="1" x14ac:dyDescent="0.3">
      <c r="B57" t="s">
        <v>20</v>
      </c>
      <c r="D57" s="29">
        <f>EOMONTH($C$55,D56)</f>
        <v>45535</v>
      </c>
      <c r="E57" s="29">
        <f t="shared" ref="E57:M57" si="37">EOMONTH($C$55,E56)</f>
        <v>45565</v>
      </c>
      <c r="F57" s="29">
        <f t="shared" si="37"/>
        <v>45596</v>
      </c>
      <c r="G57" s="29">
        <f t="shared" si="37"/>
        <v>45626</v>
      </c>
      <c r="H57" s="29">
        <f t="shared" si="37"/>
        <v>45657</v>
      </c>
      <c r="I57" s="29">
        <f t="shared" si="37"/>
        <v>45688</v>
      </c>
      <c r="J57" s="29">
        <f t="shared" si="37"/>
        <v>45716</v>
      </c>
      <c r="K57" s="29">
        <f t="shared" si="37"/>
        <v>45747</v>
      </c>
      <c r="L57" s="29">
        <f t="shared" si="37"/>
        <v>45777</v>
      </c>
      <c r="M57" s="29">
        <f t="shared" si="37"/>
        <v>45808</v>
      </c>
    </row>
    <row r="58" spans="1:13" outlineLevel="1" x14ac:dyDescent="0.3">
      <c r="B58" t="s">
        <v>19</v>
      </c>
      <c r="D58" s="29">
        <f>DATE(YEAR($C$55)+D56,12,31)</f>
        <v>45657</v>
      </c>
      <c r="E58" s="29">
        <f t="shared" ref="E58:M58" si="38">DATE(YEAR($C$55)+E56,12,31)</f>
        <v>46022</v>
      </c>
      <c r="F58" s="29">
        <f t="shared" si="38"/>
        <v>46387</v>
      </c>
      <c r="G58" s="29">
        <f t="shared" si="38"/>
        <v>46752</v>
      </c>
      <c r="H58" s="29">
        <f t="shared" si="38"/>
        <v>47118</v>
      </c>
      <c r="I58" s="29">
        <f t="shared" si="38"/>
        <v>47483</v>
      </c>
      <c r="J58" s="29">
        <f t="shared" si="38"/>
        <v>47848</v>
      </c>
      <c r="K58" s="29">
        <f t="shared" si="38"/>
        <v>48213</v>
      </c>
      <c r="L58" s="29">
        <f t="shared" si="38"/>
        <v>48579</v>
      </c>
      <c r="M58" s="29">
        <f t="shared" si="38"/>
        <v>48944</v>
      </c>
    </row>
    <row r="59" spans="1:13" outlineLevel="1" x14ac:dyDescent="0.3"/>
    <row r="60" spans="1:13" outlineLevel="1" x14ac:dyDescent="0.3">
      <c r="B60" t="s">
        <v>21</v>
      </c>
      <c r="D60">
        <f>YEARFRAC(C55,D57)</f>
        <v>4.4444444444444446E-2</v>
      </c>
      <c r="E60">
        <f t="shared" ref="E60:M60" si="39">YEARFRAC(D55,E57)</f>
        <v>124.75</v>
      </c>
      <c r="F60">
        <f t="shared" si="39"/>
        <v>124.83611111111111</v>
      </c>
      <c r="G60">
        <f t="shared" si="39"/>
        <v>124.91666666666667</v>
      </c>
      <c r="H60">
        <f t="shared" si="39"/>
        <v>125.00277777777778</v>
      </c>
      <c r="I60">
        <f t="shared" si="39"/>
        <v>125.08611111111111</v>
      </c>
      <c r="J60">
        <f t="shared" si="39"/>
        <v>125.16111111111111</v>
      </c>
      <c r="K60">
        <f t="shared" si="39"/>
        <v>125.25277777777778</v>
      </c>
      <c r="L60">
        <f t="shared" si="39"/>
        <v>125.33333333333333</v>
      </c>
      <c r="M60">
        <f t="shared" si="39"/>
        <v>125.41944444444445</v>
      </c>
    </row>
    <row r="61" spans="1:13" outlineLevel="1" x14ac:dyDescent="0.3">
      <c r="B61" t="s">
        <v>22</v>
      </c>
      <c r="D61">
        <f>YEARFRAC(C55,D58)</f>
        <v>0.37777777777777777</v>
      </c>
      <c r="E61">
        <f t="shared" ref="E61:M61" si="40">YEARFRAC(D55,E58)</f>
        <v>126.00277777777778</v>
      </c>
      <c r="F61">
        <f t="shared" si="40"/>
        <v>127.00277777777778</v>
      </c>
      <c r="G61">
        <f t="shared" si="40"/>
        <v>128.00277777777777</v>
      </c>
      <c r="H61">
        <f t="shared" si="40"/>
        <v>129.00277777777777</v>
      </c>
      <c r="I61">
        <f t="shared" si="40"/>
        <v>130.00277777777777</v>
      </c>
      <c r="J61">
        <f t="shared" si="40"/>
        <v>131.00277777777777</v>
      </c>
      <c r="K61">
        <f t="shared" si="40"/>
        <v>132.00277777777777</v>
      </c>
      <c r="L61">
        <f t="shared" si="40"/>
        <v>133.00277777777777</v>
      </c>
      <c r="M61">
        <f t="shared" si="40"/>
        <v>134.00277777777777</v>
      </c>
    </row>
    <row r="62" spans="1:13" x14ac:dyDescent="0.3">
      <c r="B62" t="s">
        <v>32</v>
      </c>
      <c r="D62" t="str">
        <f>IF(D61&lt;1,"stub","full year")</f>
        <v>stub</v>
      </c>
      <c r="E62" t="str">
        <f t="shared" ref="E62:M62" si="41">IF(E61&lt;1,"stub","full year")</f>
        <v>full year</v>
      </c>
      <c r="F62" t="str">
        <f t="shared" si="41"/>
        <v>full year</v>
      </c>
      <c r="G62" t="str">
        <f t="shared" si="41"/>
        <v>full year</v>
      </c>
      <c r="H62" t="str">
        <f t="shared" si="41"/>
        <v>full year</v>
      </c>
      <c r="I62" t="str">
        <f t="shared" si="41"/>
        <v>full year</v>
      </c>
      <c r="J62" t="str">
        <f t="shared" si="41"/>
        <v>full year</v>
      </c>
      <c r="K62" t="str">
        <f t="shared" si="41"/>
        <v>full year</v>
      </c>
      <c r="L62" t="str">
        <f t="shared" si="41"/>
        <v>full year</v>
      </c>
      <c r="M62" t="str">
        <f t="shared" si="41"/>
        <v>full year</v>
      </c>
    </row>
    <row r="64" spans="1:13" x14ac:dyDescent="0.3">
      <c r="B64" s="12" t="s">
        <v>24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2:13" outlineLevel="1" x14ac:dyDescent="0.3">
      <c r="B65" t="s">
        <v>2</v>
      </c>
      <c r="C65" s="9">
        <v>0.1</v>
      </c>
      <c r="D65" s="4">
        <f>D8</f>
        <v>8000</v>
      </c>
      <c r="E65">
        <f t="shared" ref="E65:M65" si="42">E8</f>
        <v>9000</v>
      </c>
      <c r="F65">
        <f t="shared" si="42"/>
        <v>9900.0000000000018</v>
      </c>
      <c r="G65">
        <f t="shared" si="42"/>
        <v>10890.000000000004</v>
      </c>
      <c r="H65">
        <f t="shared" si="42"/>
        <v>11979.000000000005</v>
      </c>
      <c r="I65">
        <f t="shared" si="42"/>
        <v>13176.900000000007</v>
      </c>
      <c r="J65">
        <f t="shared" si="42"/>
        <v>14494.590000000009</v>
      </c>
      <c r="K65">
        <f t="shared" si="42"/>
        <v>15944.049000000012</v>
      </c>
      <c r="L65">
        <f t="shared" si="42"/>
        <v>17538.453900000015</v>
      </c>
      <c r="M65">
        <f t="shared" si="42"/>
        <v>19292.299290000017</v>
      </c>
    </row>
    <row r="66" spans="2:13" outlineLevel="1" x14ac:dyDescent="0.3">
      <c r="B66" t="s">
        <v>4</v>
      </c>
      <c r="C66" s="9">
        <v>0.2</v>
      </c>
      <c r="D66" s="4">
        <f>D10</f>
        <v>2000</v>
      </c>
      <c r="E66">
        <f t="shared" ref="E66:M66" si="43">E10</f>
        <v>2250</v>
      </c>
      <c r="F66">
        <f t="shared" si="43"/>
        <v>2500</v>
      </c>
      <c r="G66">
        <f t="shared" si="43"/>
        <v>2500</v>
      </c>
      <c r="H66">
        <f t="shared" si="43"/>
        <v>2500</v>
      </c>
      <c r="I66">
        <f t="shared" si="43"/>
        <v>2500</v>
      </c>
      <c r="J66">
        <f t="shared" si="43"/>
        <v>2500</v>
      </c>
      <c r="K66">
        <f t="shared" si="43"/>
        <v>2500</v>
      </c>
      <c r="L66">
        <f t="shared" si="43"/>
        <v>2500</v>
      </c>
      <c r="M66">
        <f t="shared" si="43"/>
        <v>2500</v>
      </c>
    </row>
    <row r="67" spans="2:13" outlineLevel="1" x14ac:dyDescent="0.3">
      <c r="B67" t="s">
        <v>6</v>
      </c>
      <c r="C67" s="9">
        <v>0.2</v>
      </c>
      <c r="D67" s="4">
        <f>D12</f>
        <v>800</v>
      </c>
      <c r="E67">
        <f t="shared" ref="E67:M67" si="44">E12</f>
        <v>900</v>
      </c>
      <c r="F67">
        <f t="shared" si="44"/>
        <v>1237.5000000000002</v>
      </c>
      <c r="G67">
        <f t="shared" si="44"/>
        <v>1361.2500000000005</v>
      </c>
      <c r="H67">
        <f t="shared" si="44"/>
        <v>1497.3750000000007</v>
      </c>
      <c r="I67">
        <f t="shared" si="44"/>
        <v>1647.1125000000009</v>
      </c>
      <c r="J67">
        <f t="shared" si="44"/>
        <v>1811.8237500000012</v>
      </c>
      <c r="K67">
        <f t="shared" si="44"/>
        <v>1993.0061250000015</v>
      </c>
      <c r="L67">
        <f t="shared" si="44"/>
        <v>2192.3067375000019</v>
      </c>
      <c r="M67">
        <f t="shared" si="44"/>
        <v>2411.5374112500022</v>
      </c>
    </row>
    <row r="68" spans="2:13" outlineLevel="1" x14ac:dyDescent="0.3">
      <c r="B68" t="s">
        <v>7</v>
      </c>
      <c r="C68" s="9">
        <v>0.3</v>
      </c>
      <c r="D68" s="4">
        <f>D13</f>
        <v>200</v>
      </c>
      <c r="E68">
        <f t="shared" ref="E68:M68" si="45">E13</f>
        <v>225</v>
      </c>
      <c r="F68">
        <f t="shared" si="45"/>
        <v>250</v>
      </c>
      <c r="G68">
        <f t="shared" si="45"/>
        <v>250</v>
      </c>
      <c r="H68">
        <f t="shared" si="45"/>
        <v>250</v>
      </c>
      <c r="I68">
        <f t="shared" si="45"/>
        <v>250</v>
      </c>
      <c r="J68">
        <f t="shared" si="45"/>
        <v>250</v>
      </c>
      <c r="K68">
        <f t="shared" si="45"/>
        <v>250</v>
      </c>
      <c r="L68">
        <f t="shared" si="45"/>
        <v>250</v>
      </c>
      <c r="M68">
        <f t="shared" si="45"/>
        <v>250</v>
      </c>
    </row>
    <row r="69" spans="2:13" ht="15" outlineLevel="1" thickBot="1" x14ac:dyDescent="0.35">
      <c r="B69" t="s">
        <v>9</v>
      </c>
      <c r="C69" s="9">
        <v>0.2</v>
      </c>
      <c r="D69" s="4">
        <f>D15</f>
        <v>2700</v>
      </c>
      <c r="E69">
        <f t="shared" ref="E69:M69" si="46">E15</f>
        <v>3037.5</v>
      </c>
      <c r="F69">
        <f t="shared" si="46"/>
        <v>3258.7500000000005</v>
      </c>
      <c r="G69">
        <f t="shared" si="46"/>
        <v>3667.1250000000009</v>
      </c>
      <c r="H69">
        <f t="shared" si="46"/>
        <v>4116.3375000000024</v>
      </c>
      <c r="I69">
        <f t="shared" si="46"/>
        <v>4610.4712500000014</v>
      </c>
      <c r="J69">
        <f t="shared" si="46"/>
        <v>5154.0183750000015</v>
      </c>
      <c r="K69">
        <f t="shared" si="46"/>
        <v>5751.9202125000038</v>
      </c>
      <c r="L69">
        <f t="shared" si="46"/>
        <v>6409.6122337500046</v>
      </c>
      <c r="M69">
        <f t="shared" si="46"/>
        <v>7133.0734571250059</v>
      </c>
    </row>
    <row r="70" spans="2:13" ht="15.6" outlineLevel="1" thickTop="1" thickBot="1" x14ac:dyDescent="0.35">
      <c r="C70" s="30">
        <f>SUM(C65:C69)</f>
        <v>1</v>
      </c>
      <c r="D70" s="30">
        <f>SUM(D65:D69)</f>
        <v>13700</v>
      </c>
      <c r="E70" s="30">
        <f t="shared" ref="E70:M70" si="47">SUM(E65:E69)</f>
        <v>15412.5</v>
      </c>
      <c r="F70" s="30">
        <f t="shared" si="47"/>
        <v>17146.250000000004</v>
      </c>
      <c r="G70" s="30">
        <f t="shared" si="47"/>
        <v>18668.375000000004</v>
      </c>
      <c r="H70" s="30">
        <f t="shared" si="47"/>
        <v>20342.712500000009</v>
      </c>
      <c r="I70" s="30">
        <f t="shared" si="47"/>
        <v>22184.48375000001</v>
      </c>
      <c r="J70" s="30">
        <f t="shared" si="47"/>
        <v>24210.432125000014</v>
      </c>
      <c r="K70" s="30">
        <f t="shared" si="47"/>
        <v>26438.975337500018</v>
      </c>
      <c r="L70" s="30">
        <f t="shared" si="47"/>
        <v>28890.372871250023</v>
      </c>
      <c r="M70" s="30">
        <f t="shared" si="47"/>
        <v>31586.910158375027</v>
      </c>
    </row>
    <row r="71" spans="2:13" ht="15" thickTop="1" x14ac:dyDescent="0.3"/>
    <row r="72" spans="2:13" x14ac:dyDescent="0.3">
      <c r="B72" t="s">
        <v>33</v>
      </c>
    </row>
    <row r="73" spans="2:13" x14ac:dyDescent="0.3">
      <c r="B73" t="str">
        <f>"if"&amp;"  &lt;"&amp; C73</f>
        <v>if  &lt;17500</v>
      </c>
      <c r="C73" s="9">
        <v>17500</v>
      </c>
      <c r="D73">
        <f>IF(D70&lt;$C$73,D70,0)</f>
        <v>13700</v>
      </c>
      <c r="E73">
        <f t="shared" ref="E73:M73" si="48">IF(E70&lt;$C$73,E70,0)</f>
        <v>15412.5</v>
      </c>
      <c r="F73">
        <f t="shared" si="48"/>
        <v>17146.250000000004</v>
      </c>
      <c r="G73">
        <f t="shared" si="48"/>
        <v>0</v>
      </c>
      <c r="H73">
        <f t="shared" si="48"/>
        <v>0</v>
      </c>
      <c r="I73">
        <f t="shared" si="48"/>
        <v>0</v>
      </c>
      <c r="J73">
        <f t="shared" si="48"/>
        <v>0</v>
      </c>
      <c r="K73">
        <f t="shared" si="48"/>
        <v>0</v>
      </c>
      <c r="L73">
        <f t="shared" si="48"/>
        <v>0</v>
      </c>
      <c r="M73">
        <f t="shared" si="48"/>
        <v>0</v>
      </c>
    </row>
    <row r="74" spans="2:13" x14ac:dyDescent="0.3">
      <c r="B74" t="str">
        <f>"if"&amp;"  &lt;"&amp; " ="&amp;C74</f>
        <v>if  &lt; =17500</v>
      </c>
      <c r="C74">
        <f>C73</f>
        <v>17500</v>
      </c>
      <c r="D74">
        <f>IF(D70&gt;=$C$74,D70,0)</f>
        <v>0</v>
      </c>
      <c r="E74">
        <f t="shared" ref="E74:M74" si="49">IF(E70&gt;=$C$74,E70,0)</f>
        <v>0</v>
      </c>
      <c r="F74">
        <f t="shared" si="49"/>
        <v>0</v>
      </c>
      <c r="G74">
        <f t="shared" si="49"/>
        <v>18668.375000000004</v>
      </c>
      <c r="H74">
        <f t="shared" si="49"/>
        <v>20342.712500000009</v>
      </c>
      <c r="I74">
        <f t="shared" si="49"/>
        <v>22184.48375000001</v>
      </c>
      <c r="J74">
        <f t="shared" si="49"/>
        <v>24210.432125000014</v>
      </c>
      <c r="K74">
        <f t="shared" si="49"/>
        <v>26438.975337500018</v>
      </c>
      <c r="L74">
        <f t="shared" si="49"/>
        <v>28890.372871250023</v>
      </c>
      <c r="M74">
        <f t="shared" si="49"/>
        <v>31586.910158375027</v>
      </c>
    </row>
    <row r="75" spans="2:13" x14ac:dyDescent="0.3">
      <c r="B75" t="s">
        <v>34</v>
      </c>
      <c r="D75">
        <f>SUM(D73:D74)</f>
        <v>13700</v>
      </c>
      <c r="E75">
        <f t="shared" ref="E75:M75" si="50">SUM(E73:E74)</f>
        <v>15412.5</v>
      </c>
      <c r="F75">
        <f t="shared" si="50"/>
        <v>17146.250000000004</v>
      </c>
      <c r="G75">
        <f t="shared" si="50"/>
        <v>18668.375000000004</v>
      </c>
      <c r="H75">
        <f t="shared" si="50"/>
        <v>20342.712500000009</v>
      </c>
      <c r="I75">
        <f t="shared" si="50"/>
        <v>22184.48375000001</v>
      </c>
      <c r="J75">
        <f t="shared" si="50"/>
        <v>24210.432125000014</v>
      </c>
      <c r="K75">
        <f t="shared" si="50"/>
        <v>26438.975337500018</v>
      </c>
      <c r="L75">
        <f t="shared" si="50"/>
        <v>28890.372871250023</v>
      </c>
      <c r="M75">
        <f t="shared" si="50"/>
        <v>31586.910158375027</v>
      </c>
    </row>
    <row r="76" spans="2:13" x14ac:dyDescent="0.3">
      <c r="B76" t="s">
        <v>35</v>
      </c>
      <c r="D76" t="str">
        <f>IF(D70=D75,"ok","error")</f>
        <v>ok</v>
      </c>
      <c r="E76" t="str">
        <f t="shared" ref="E76:M76" si="51">IF(E70=E75,"ok","error")</f>
        <v>ok</v>
      </c>
      <c r="F76" t="str">
        <f t="shared" si="51"/>
        <v>ok</v>
      </c>
      <c r="G76" t="str">
        <f t="shared" si="51"/>
        <v>ok</v>
      </c>
      <c r="H76" t="str">
        <f t="shared" si="51"/>
        <v>ok</v>
      </c>
      <c r="I76" t="str">
        <f t="shared" si="51"/>
        <v>ok</v>
      </c>
      <c r="J76" t="str">
        <f t="shared" si="51"/>
        <v>ok</v>
      </c>
      <c r="K76" t="str">
        <f t="shared" si="51"/>
        <v>ok</v>
      </c>
      <c r="L76" t="str">
        <f t="shared" si="51"/>
        <v>ok</v>
      </c>
      <c r="M76" t="str">
        <f t="shared" si="51"/>
        <v>ok</v>
      </c>
    </row>
    <row r="79" spans="2:13" outlineLevel="1" x14ac:dyDescent="0.3">
      <c r="B79" t="s">
        <v>25</v>
      </c>
      <c r="D79" s="4">
        <f>AVERAGE(D65:D69)</f>
        <v>2740</v>
      </c>
      <c r="E79" s="4">
        <f t="shared" ref="E79:M79" si="52">AVERAGE(E65:E69)</f>
        <v>3082.5</v>
      </c>
      <c r="F79" s="4">
        <f t="shared" si="52"/>
        <v>3429.2500000000009</v>
      </c>
      <c r="G79" s="4">
        <f t="shared" si="52"/>
        <v>3733.6750000000006</v>
      </c>
      <c r="H79" s="4">
        <f t="shared" si="52"/>
        <v>4068.5425000000018</v>
      </c>
      <c r="I79" s="4">
        <f t="shared" si="52"/>
        <v>4436.8967500000017</v>
      </c>
      <c r="J79" s="4">
        <f t="shared" si="52"/>
        <v>4842.0864250000031</v>
      </c>
      <c r="K79" s="4">
        <f t="shared" si="52"/>
        <v>5287.7950675000038</v>
      </c>
      <c r="L79" s="4">
        <f t="shared" si="52"/>
        <v>5778.0745742500048</v>
      </c>
      <c r="M79" s="4">
        <f t="shared" si="52"/>
        <v>6317.3820316750052</v>
      </c>
    </row>
    <row r="80" spans="2:13" outlineLevel="1" x14ac:dyDescent="0.3">
      <c r="B80" t="s">
        <v>26</v>
      </c>
      <c r="D80">
        <f>SUMPRODUCT(C65:C69,D65:D69)</f>
        <v>1960</v>
      </c>
      <c r="E80">
        <f t="shared" ref="E80:M80" si="53">SUMPRODUCT(D65:D69,E65:E69)</f>
        <v>85466250</v>
      </c>
      <c r="F80">
        <f t="shared" si="53"/>
        <v>105793453.12500001</v>
      </c>
      <c r="G80">
        <f t="shared" si="53"/>
        <v>127758290.46875006</v>
      </c>
      <c r="H80">
        <f t="shared" si="53"/>
        <v>153897235.87343764</v>
      </c>
      <c r="I80">
        <f t="shared" si="53"/>
        <v>185603185.87873453</v>
      </c>
      <c r="J80">
        <f t="shared" si="53"/>
        <v>224052994.05733135</v>
      </c>
      <c r="K80">
        <f t="shared" si="53"/>
        <v>270671431.49283969</v>
      </c>
      <c r="L80">
        <f t="shared" si="53"/>
        <v>327183327.28315181</v>
      </c>
      <c r="M80">
        <f t="shared" si="53"/>
        <v>395676666.33211088</v>
      </c>
    </row>
    <row r="81" spans="2:13" outlineLevel="1" x14ac:dyDescent="0.3">
      <c r="B81" t="s">
        <v>27</v>
      </c>
      <c r="D81" s="4">
        <f>MEDIAN(D65:D69)</f>
        <v>2000</v>
      </c>
      <c r="E81">
        <f t="shared" ref="E81:M81" si="54">MEDIAN(E65:E69)</f>
        <v>2250</v>
      </c>
      <c r="F81">
        <f t="shared" si="54"/>
        <v>2500</v>
      </c>
      <c r="G81">
        <f t="shared" si="54"/>
        <v>2500</v>
      </c>
      <c r="H81">
        <f t="shared" si="54"/>
        <v>2500</v>
      </c>
      <c r="I81">
        <f t="shared" si="54"/>
        <v>2500</v>
      </c>
      <c r="J81">
        <f t="shared" si="54"/>
        <v>2500</v>
      </c>
      <c r="K81">
        <f t="shared" si="54"/>
        <v>2500</v>
      </c>
      <c r="L81">
        <f t="shared" si="54"/>
        <v>2500</v>
      </c>
      <c r="M81">
        <f t="shared" si="54"/>
        <v>2500</v>
      </c>
    </row>
    <row r="84" spans="2:13" x14ac:dyDescent="0.3">
      <c r="B84" t="s">
        <v>28</v>
      </c>
      <c r="D84" s="4">
        <f>MIN(D65:D69)</f>
        <v>200</v>
      </c>
      <c r="E84">
        <f t="shared" ref="E84:M84" si="55">MIN(E65:E69)</f>
        <v>225</v>
      </c>
      <c r="F84">
        <f t="shared" si="55"/>
        <v>250</v>
      </c>
      <c r="G84">
        <f t="shared" si="55"/>
        <v>250</v>
      </c>
      <c r="H84">
        <f t="shared" si="55"/>
        <v>250</v>
      </c>
      <c r="I84">
        <f t="shared" si="55"/>
        <v>250</v>
      </c>
      <c r="J84">
        <f t="shared" si="55"/>
        <v>250</v>
      </c>
      <c r="K84">
        <f t="shared" si="55"/>
        <v>250</v>
      </c>
      <c r="L84">
        <f t="shared" si="55"/>
        <v>250</v>
      </c>
      <c r="M84">
        <f t="shared" si="55"/>
        <v>250</v>
      </c>
    </row>
    <row r="85" spans="2:13" x14ac:dyDescent="0.3">
      <c r="B85" t="s">
        <v>29</v>
      </c>
      <c r="D85" s="4">
        <f>MAX(D65:D69)</f>
        <v>8000</v>
      </c>
      <c r="E85">
        <f t="shared" ref="E85:M85" si="56">MAX(E65:E69)</f>
        <v>9000</v>
      </c>
      <c r="F85">
        <f t="shared" si="56"/>
        <v>9900.0000000000018</v>
      </c>
      <c r="G85">
        <f t="shared" si="56"/>
        <v>10890.000000000004</v>
      </c>
      <c r="H85">
        <f t="shared" si="56"/>
        <v>11979.000000000005</v>
      </c>
      <c r="I85">
        <f t="shared" si="56"/>
        <v>13176.900000000007</v>
      </c>
      <c r="J85">
        <f t="shared" si="56"/>
        <v>14494.590000000009</v>
      </c>
      <c r="K85">
        <f t="shared" si="56"/>
        <v>15944.049000000012</v>
      </c>
      <c r="L85">
        <f t="shared" si="56"/>
        <v>17538.453900000015</v>
      </c>
      <c r="M85">
        <f t="shared" si="56"/>
        <v>19292.299290000017</v>
      </c>
    </row>
    <row r="86" spans="2:13" x14ac:dyDescent="0.3">
      <c r="B86" t="s">
        <v>30</v>
      </c>
      <c r="C86" s="9">
        <v>3</v>
      </c>
      <c r="D86">
        <f>SMALL(D65:D69,$C$86)</f>
        <v>2000</v>
      </c>
      <c r="E86">
        <f t="shared" ref="E86:M86" si="57">SMALL(E65:E69,$C$86)</f>
        <v>2250</v>
      </c>
      <c r="F86">
        <f t="shared" si="57"/>
        <v>2500</v>
      </c>
      <c r="G86">
        <f t="shared" si="57"/>
        <v>2500</v>
      </c>
      <c r="H86">
        <f t="shared" si="57"/>
        <v>2500</v>
      </c>
      <c r="I86">
        <f t="shared" si="57"/>
        <v>2500</v>
      </c>
      <c r="J86">
        <f t="shared" si="57"/>
        <v>2500</v>
      </c>
      <c r="K86">
        <f t="shared" si="57"/>
        <v>2500</v>
      </c>
      <c r="L86">
        <f t="shared" si="57"/>
        <v>2500</v>
      </c>
      <c r="M86">
        <f t="shared" si="57"/>
        <v>2500</v>
      </c>
    </row>
    <row r="87" spans="2:13" x14ac:dyDescent="0.3">
      <c r="B87" t="s">
        <v>31</v>
      </c>
      <c r="C87" s="9">
        <v>3</v>
      </c>
      <c r="D87">
        <f>LARGE(D66:D70,$C$86)</f>
        <v>2000</v>
      </c>
      <c r="E87">
        <f t="shared" ref="E87:M87" si="58">LARGE(E66:E70,$C$86)</f>
        <v>2250</v>
      </c>
      <c r="F87">
        <f t="shared" si="58"/>
        <v>2500</v>
      </c>
      <c r="G87">
        <f t="shared" si="58"/>
        <v>2500</v>
      </c>
      <c r="H87">
        <f t="shared" si="58"/>
        <v>2500</v>
      </c>
      <c r="I87">
        <f t="shared" si="58"/>
        <v>2500</v>
      </c>
      <c r="J87">
        <f t="shared" si="58"/>
        <v>2500</v>
      </c>
      <c r="K87">
        <f t="shared" si="58"/>
        <v>2500</v>
      </c>
      <c r="L87">
        <f t="shared" si="58"/>
        <v>2500</v>
      </c>
      <c r="M87">
        <f t="shared" si="58"/>
        <v>2500</v>
      </c>
    </row>
  </sheetData>
  <mergeCells count="1">
    <mergeCell ref="A1:D1"/>
  </mergeCells>
  <conditionalFormatting sqref="D29:M38">
    <cfRule type="cellIs" dxfId="1" priority="2" operator="lessThan">
      <formula>0.1</formula>
    </cfRule>
  </conditionalFormatting>
  <conditionalFormatting sqref="D47:M47">
    <cfRule type="cellIs" dxfId="0" priority="1" operator="lessThan">
      <formula>15000</formula>
    </cfRule>
  </conditionalFormatting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AB40-8446-4D86-87FA-530BFE74B612}">
  <dimension ref="B2:O52"/>
  <sheetViews>
    <sheetView showGridLines="0" topLeftCell="A10" zoomScale="107" zoomScaleNormal="70" workbookViewId="0">
      <selection activeCell="I17" sqref="I17"/>
    </sheetView>
  </sheetViews>
  <sheetFormatPr defaultRowHeight="14.4" x14ac:dyDescent="0.3"/>
  <cols>
    <col min="2" max="3" width="22.88671875" customWidth="1"/>
    <col min="8" max="8" width="11.109375" customWidth="1"/>
    <col min="14" max="14" width="17.21875" customWidth="1"/>
    <col min="15" max="15" width="25.109375" customWidth="1"/>
  </cols>
  <sheetData>
    <row r="2" spans="2:15" ht="21" x14ac:dyDescent="0.4">
      <c r="B2" s="66" t="s">
        <v>57</v>
      </c>
      <c r="C2" s="66"/>
    </row>
    <row r="3" spans="2:15" ht="15.6" x14ac:dyDescent="0.3">
      <c r="H3" s="35" t="s">
        <v>49</v>
      </c>
    </row>
    <row r="4" spans="2:15" x14ac:dyDescent="0.3">
      <c r="B4" t="s">
        <v>36</v>
      </c>
      <c r="C4" s="31">
        <v>0.04</v>
      </c>
      <c r="F4" t="s">
        <v>45</v>
      </c>
      <c r="H4" s="9" t="s">
        <v>50</v>
      </c>
      <c r="I4" s="9">
        <v>14500</v>
      </c>
    </row>
    <row r="5" spans="2:15" x14ac:dyDescent="0.3">
      <c r="B5" t="s">
        <v>37</v>
      </c>
      <c r="C5" s="31">
        <v>0.1</v>
      </c>
      <c r="H5" s="9" t="s">
        <v>51</v>
      </c>
      <c r="I5" s="6">
        <v>0.1</v>
      </c>
    </row>
    <row r="6" spans="2:15" x14ac:dyDescent="0.3">
      <c r="B6" t="s">
        <v>38</v>
      </c>
      <c r="C6">
        <v>1.25</v>
      </c>
      <c r="H6" s="9" t="s">
        <v>52</v>
      </c>
      <c r="I6" s="6">
        <v>0.6</v>
      </c>
      <c r="J6" s="69" t="s">
        <v>64</v>
      </c>
      <c r="K6" s="69"/>
      <c r="L6" s="69"/>
      <c r="M6" s="69"/>
      <c r="N6" s="69"/>
      <c r="O6" s="69"/>
    </row>
    <row r="7" spans="2:15" x14ac:dyDescent="0.3">
      <c r="B7" t="s">
        <v>39</v>
      </c>
      <c r="C7" s="31">
        <v>0.14000000000000001</v>
      </c>
      <c r="J7" s="70"/>
      <c r="K7" s="70"/>
      <c r="L7" s="70"/>
      <c r="M7" s="70"/>
      <c r="N7" s="70"/>
      <c r="O7" s="70"/>
    </row>
    <row r="8" spans="2:15" x14ac:dyDescent="0.3">
      <c r="B8" t="s">
        <v>40</v>
      </c>
      <c r="C8" s="31">
        <v>0.3</v>
      </c>
      <c r="H8" t="s">
        <v>53</v>
      </c>
      <c r="J8" s="70"/>
      <c r="K8" s="70"/>
      <c r="L8" s="70"/>
      <c r="M8" s="70"/>
      <c r="N8" s="70"/>
      <c r="O8" s="70"/>
    </row>
    <row r="9" spans="2:15" x14ac:dyDescent="0.3">
      <c r="B9" t="s">
        <v>41</v>
      </c>
      <c r="C9">
        <v>125000</v>
      </c>
      <c r="H9" t="s">
        <v>54</v>
      </c>
      <c r="I9">
        <f>(I4+(I4*I5))</f>
        <v>15950</v>
      </c>
      <c r="J9" s="70"/>
      <c r="K9" s="70"/>
      <c r="L9" s="70"/>
      <c r="M9" s="70"/>
      <c r="N9" s="70"/>
      <c r="O9" s="70"/>
    </row>
    <row r="10" spans="2:15" x14ac:dyDescent="0.3">
      <c r="B10" t="s">
        <v>42</v>
      </c>
      <c r="C10">
        <v>125000</v>
      </c>
      <c r="H10" t="s">
        <v>55</v>
      </c>
      <c r="I10">
        <f>I9*I6</f>
        <v>9570</v>
      </c>
      <c r="J10" s="69" t="s">
        <v>56</v>
      </c>
      <c r="K10" s="69"/>
      <c r="L10" s="69"/>
      <c r="M10" s="69"/>
      <c r="N10" s="69"/>
    </row>
    <row r="12" spans="2:15" x14ac:dyDescent="0.3">
      <c r="B12" t="s">
        <v>44</v>
      </c>
      <c r="C12" s="34">
        <f>(risk_free_rate+Beta*(MarketRate-risk_free_rate))</f>
        <v>0.11500000000000002</v>
      </c>
    </row>
    <row r="13" spans="2:15" x14ac:dyDescent="0.3">
      <c r="B13" t="s">
        <v>46</v>
      </c>
      <c r="C13" s="33">
        <f>(Costofdebt*(1-TaxRate))</f>
        <v>9.8000000000000004E-2</v>
      </c>
    </row>
    <row r="14" spans="2:15" x14ac:dyDescent="0.3">
      <c r="B14" t="s">
        <v>47</v>
      </c>
      <c r="C14" s="32">
        <f>(EquityValue/(EquityValue+DebtValue))</f>
        <v>0.5</v>
      </c>
      <c r="H14" s="1" t="s">
        <v>65</v>
      </c>
    </row>
    <row r="15" spans="2:15" x14ac:dyDescent="0.3">
      <c r="B15" t="s">
        <v>48</v>
      </c>
      <c r="C15" s="32">
        <f>(DebtValue/(EquityValue+DebtValue))</f>
        <v>0.5</v>
      </c>
      <c r="H15" t="s">
        <v>50</v>
      </c>
      <c r="I15">
        <v>14500</v>
      </c>
    </row>
    <row r="16" spans="2:15" x14ac:dyDescent="0.3">
      <c r="C16" s="32"/>
      <c r="H16" t="s">
        <v>51</v>
      </c>
      <c r="I16" s="31">
        <v>1.2494252873563223</v>
      </c>
    </row>
    <row r="17" spans="2:9" x14ac:dyDescent="0.3">
      <c r="B17" t="s">
        <v>43</v>
      </c>
      <c r="C17" s="33">
        <f>(((EquityValue/(EquityValue+DebtValue))*cost_of_equity)+(Costofdebt*(DebtValue/(DebtValue+EquityValue))*(1-TaxRate)))</f>
        <v>0.10650000000000001</v>
      </c>
      <c r="H17" t="s">
        <v>52</v>
      </c>
      <c r="I17" s="31">
        <v>0.6</v>
      </c>
    </row>
    <row r="18" spans="2:9" x14ac:dyDescent="0.3">
      <c r="B18" t="s">
        <v>43</v>
      </c>
      <c r="C18" s="33">
        <f>(cost_of_equity*equity_funding)+(cost_of_debt_post_tax*debt_funding)</f>
        <v>0.10650000000000001</v>
      </c>
    </row>
    <row r="19" spans="2:9" x14ac:dyDescent="0.3">
      <c r="H19" t="s">
        <v>53</v>
      </c>
    </row>
    <row r="20" spans="2:9" x14ac:dyDescent="0.3">
      <c r="H20" t="s">
        <v>54</v>
      </c>
      <c r="I20">
        <f>(I15+(I15*I16))</f>
        <v>32616.666666666675</v>
      </c>
    </row>
    <row r="21" spans="2:9" x14ac:dyDescent="0.3">
      <c r="H21" t="s">
        <v>55</v>
      </c>
      <c r="I21">
        <f>I20*I17</f>
        <v>19570.000000000004</v>
      </c>
    </row>
    <row r="25" spans="2:9" ht="23.4" x14ac:dyDescent="0.45">
      <c r="B25" s="45" t="s">
        <v>68</v>
      </c>
    </row>
    <row r="26" spans="2:9" x14ac:dyDescent="0.3">
      <c r="B26" s="40" t="s">
        <v>66</v>
      </c>
      <c r="C26" s="40" t="s">
        <v>67</v>
      </c>
    </row>
    <row r="27" spans="2:9" x14ac:dyDescent="0.3">
      <c r="C27" s="44">
        <f>I10</f>
        <v>9570</v>
      </c>
    </row>
    <row r="28" spans="2:9" x14ac:dyDescent="0.3">
      <c r="B28" s="41">
        <v>0.08</v>
      </c>
      <c r="C28" s="42">
        <f t="dataTable" ref="C28:C36" dt2D="0" dtr="0" r1="I5" ca="1"/>
        <v>9396</v>
      </c>
    </row>
    <row r="29" spans="2:9" x14ac:dyDescent="0.3">
      <c r="B29" s="41">
        <v>0.1</v>
      </c>
      <c r="C29" s="43">
        <v>9570</v>
      </c>
    </row>
    <row r="30" spans="2:9" x14ac:dyDescent="0.3">
      <c r="B30" s="41">
        <v>0.12</v>
      </c>
      <c r="C30" s="43">
        <v>9744</v>
      </c>
    </row>
    <row r="31" spans="2:9" x14ac:dyDescent="0.3">
      <c r="B31" s="41">
        <v>0.14000000000000001</v>
      </c>
      <c r="C31" s="43">
        <v>9918</v>
      </c>
    </row>
    <row r="32" spans="2:9" x14ac:dyDescent="0.3">
      <c r="B32" s="41">
        <v>0.16</v>
      </c>
      <c r="C32" s="43">
        <v>10092</v>
      </c>
    </row>
    <row r="33" spans="2:12" x14ac:dyDescent="0.3">
      <c r="B33" s="41">
        <v>0.18</v>
      </c>
      <c r="C33" s="43">
        <v>10266</v>
      </c>
    </row>
    <row r="34" spans="2:12" x14ac:dyDescent="0.3">
      <c r="B34" s="41">
        <v>0.2</v>
      </c>
      <c r="C34" s="43">
        <v>10440</v>
      </c>
    </row>
    <row r="35" spans="2:12" x14ac:dyDescent="0.3">
      <c r="B35" s="41">
        <v>0.22</v>
      </c>
      <c r="C35" s="43">
        <v>10614</v>
      </c>
    </row>
    <row r="36" spans="2:12" x14ac:dyDescent="0.3">
      <c r="B36" s="41">
        <v>0.24</v>
      </c>
      <c r="C36" s="43">
        <v>10788</v>
      </c>
    </row>
    <row r="37" spans="2:12" x14ac:dyDescent="0.3">
      <c r="B37" s="32"/>
    </row>
    <row r="38" spans="2:12" x14ac:dyDescent="0.3">
      <c r="B38" s="32"/>
    </row>
    <row r="39" spans="2:12" x14ac:dyDescent="0.3">
      <c r="B39" s="32"/>
    </row>
    <row r="40" spans="2:12" x14ac:dyDescent="0.3">
      <c r="B40" s="32"/>
    </row>
    <row r="41" spans="2:12" ht="23.4" x14ac:dyDescent="0.45">
      <c r="C41" s="45" t="s">
        <v>69</v>
      </c>
    </row>
    <row r="42" spans="2:12" x14ac:dyDescent="0.3">
      <c r="B42" s="42"/>
      <c r="C42" s="67" t="s">
        <v>70</v>
      </c>
      <c r="D42" s="67"/>
      <c r="E42" s="67"/>
      <c r="F42" s="67"/>
      <c r="G42" s="67"/>
      <c r="H42" s="67"/>
      <c r="I42" s="67"/>
      <c r="J42" s="68"/>
    </row>
    <row r="43" spans="2:12" x14ac:dyDescent="0.3">
      <c r="B43" s="43"/>
      <c r="C43">
        <f>I10</f>
        <v>9570</v>
      </c>
      <c r="D43" s="46">
        <v>0.4</v>
      </c>
      <c r="E43" s="46">
        <v>0.5</v>
      </c>
      <c r="F43" s="46">
        <v>0.6</v>
      </c>
      <c r="G43" s="46">
        <v>0.7</v>
      </c>
      <c r="H43" s="46">
        <v>0.8</v>
      </c>
      <c r="I43" s="46">
        <v>0.9</v>
      </c>
      <c r="J43" s="47"/>
    </row>
    <row r="44" spans="2:12" x14ac:dyDescent="0.3">
      <c r="B44" s="43"/>
      <c r="C44" s="41">
        <v>0.08</v>
      </c>
      <c r="D44" s="43">
        <f t="dataTable" ref="D44:I52" dt2D="1" dtr="1" r1="I6" r2="I5"/>
        <v>6264</v>
      </c>
      <c r="E44">
        <v>7830</v>
      </c>
      <c r="F44">
        <v>9396</v>
      </c>
      <c r="G44">
        <v>10962</v>
      </c>
      <c r="H44">
        <v>12528</v>
      </c>
      <c r="I44">
        <v>14094</v>
      </c>
      <c r="J44" s="48"/>
    </row>
    <row r="45" spans="2:12" x14ac:dyDescent="0.3">
      <c r="B45" s="43"/>
      <c r="C45" s="41">
        <v>0.1</v>
      </c>
      <c r="D45" s="43">
        <v>6380</v>
      </c>
      <c r="E45">
        <v>7975</v>
      </c>
      <c r="F45" s="53">
        <v>9570</v>
      </c>
      <c r="G45">
        <v>11165</v>
      </c>
      <c r="H45">
        <v>12760</v>
      </c>
      <c r="I45">
        <v>14355</v>
      </c>
      <c r="J45" s="48"/>
      <c r="L45" t="s">
        <v>71</v>
      </c>
    </row>
    <row r="46" spans="2:12" x14ac:dyDescent="0.3">
      <c r="B46" s="43"/>
      <c r="C46" s="41">
        <v>0.12</v>
      </c>
      <c r="D46" s="43">
        <v>6496</v>
      </c>
      <c r="E46">
        <v>8120</v>
      </c>
      <c r="F46">
        <v>9744</v>
      </c>
      <c r="G46">
        <v>11368</v>
      </c>
      <c r="H46">
        <v>12992</v>
      </c>
      <c r="I46">
        <v>14616</v>
      </c>
      <c r="J46" s="48"/>
      <c r="L46" t="s">
        <v>72</v>
      </c>
    </row>
    <row r="47" spans="2:12" ht="21" x14ac:dyDescent="0.4">
      <c r="B47" s="49" t="s">
        <v>66</v>
      </c>
      <c r="C47" s="41">
        <v>0.14000000000000001</v>
      </c>
      <c r="D47" s="43">
        <v>6612</v>
      </c>
      <c r="E47">
        <v>8265</v>
      </c>
      <c r="F47">
        <v>9918</v>
      </c>
      <c r="G47">
        <v>11571</v>
      </c>
      <c r="H47">
        <v>13224</v>
      </c>
      <c r="I47">
        <v>14877</v>
      </c>
      <c r="J47" s="48"/>
    </row>
    <row r="48" spans="2:12" x14ac:dyDescent="0.3">
      <c r="B48" s="43"/>
      <c r="C48" s="41">
        <v>0.16</v>
      </c>
      <c r="D48" s="43">
        <v>6728</v>
      </c>
      <c r="E48">
        <v>8410</v>
      </c>
      <c r="F48">
        <v>10092</v>
      </c>
      <c r="G48">
        <v>11774</v>
      </c>
      <c r="H48">
        <v>13456</v>
      </c>
      <c r="I48">
        <v>15138</v>
      </c>
      <c r="J48" s="48"/>
    </row>
    <row r="49" spans="2:10" x14ac:dyDescent="0.3">
      <c r="B49" s="43"/>
      <c r="C49" s="41">
        <v>0.18</v>
      </c>
      <c r="D49" s="43">
        <v>6844</v>
      </c>
      <c r="E49">
        <v>8555</v>
      </c>
      <c r="F49">
        <v>10266</v>
      </c>
      <c r="G49">
        <v>11977</v>
      </c>
      <c r="H49">
        <v>13688</v>
      </c>
      <c r="I49">
        <v>15399</v>
      </c>
      <c r="J49" s="48"/>
    </row>
    <row r="50" spans="2:10" x14ac:dyDescent="0.3">
      <c r="B50" s="43"/>
      <c r="C50" s="41">
        <v>0.2</v>
      </c>
      <c r="D50" s="43">
        <v>6960</v>
      </c>
      <c r="E50">
        <v>8700</v>
      </c>
      <c r="F50">
        <v>10440</v>
      </c>
      <c r="G50">
        <v>12180</v>
      </c>
      <c r="H50">
        <v>13920</v>
      </c>
      <c r="I50">
        <v>15660</v>
      </c>
      <c r="J50" s="48"/>
    </row>
    <row r="51" spans="2:10" x14ac:dyDescent="0.3">
      <c r="B51" s="43"/>
      <c r="C51" s="41">
        <v>0.22</v>
      </c>
      <c r="D51" s="43">
        <v>7076</v>
      </c>
      <c r="E51">
        <v>8845</v>
      </c>
      <c r="F51">
        <v>10614</v>
      </c>
      <c r="G51">
        <v>12383</v>
      </c>
      <c r="H51">
        <v>14152</v>
      </c>
      <c r="I51">
        <v>15921</v>
      </c>
      <c r="J51" s="48"/>
    </row>
    <row r="52" spans="2:10" x14ac:dyDescent="0.3">
      <c r="B52" s="50"/>
      <c r="C52" s="46">
        <v>0.24</v>
      </c>
      <c r="D52" s="50">
        <v>7192</v>
      </c>
      <c r="E52" s="51">
        <v>8990</v>
      </c>
      <c r="F52" s="51">
        <v>10788</v>
      </c>
      <c r="G52" s="51">
        <v>12586</v>
      </c>
      <c r="H52" s="51">
        <v>14384</v>
      </c>
      <c r="I52" s="51">
        <v>16182</v>
      </c>
      <c r="J52" s="52"/>
    </row>
  </sheetData>
  <scenarios current="2" show="0" sqref="I9:I10">
    <scenario name="Base case " locked="1" count="3" user="Lahari" comment="Created by Lahari on 25-07-2025_x000a_Modified by Lahari on 25-07-2025">
      <inputCells r="I4" val="14500"/>
      <inputCells r="I5" val="0.1" numFmtId="9"/>
      <inputCells r="I6" val="0.6" numFmtId="9"/>
    </scenario>
    <scenario name="Worst case " locked="1" count="3" user="Lahari" comment="Created by Lahari on 25-07-2025_x000a_Modified by Lahari on 25-07-2025">
      <inputCells r="I4" val="13000"/>
      <inputCells r="I5" val="0.05" numFmtId="9"/>
      <inputCells r="I6" val="0.5" numFmtId="9"/>
    </scenario>
    <scenario name="Best Case " locked="1" count="3" user="Lahari" comment="Created by Lahari on 25-07-2025_x000a_Modified by Lahari on 25-07-2025">
      <inputCells r="I4" val="15500"/>
      <inputCells r="I5" val="0.2" numFmtId="9"/>
      <inputCells r="I6" val="0.7" numFmtId="9"/>
    </scenario>
  </scenarios>
  <mergeCells count="7">
    <mergeCell ref="B2:C2"/>
    <mergeCell ref="C42:J42"/>
    <mergeCell ref="J6:O6"/>
    <mergeCell ref="J7:O7"/>
    <mergeCell ref="J8:O8"/>
    <mergeCell ref="J9:O9"/>
    <mergeCell ref="J10:N10"/>
  </mergeCells>
  <dataValidations count="1">
    <dataValidation type="decimal" errorStyle="warning" allowBlank="1" showInputMessage="1" showErrorMessage="1" errorTitle="Warning" error="You have input incorrect gross margin. It should be less than 100% please recheck." promptTitle="Please Note:" prompt="Gross Margin is profit left after cost of sales: Should be less the 100%" sqref="I17" xr:uid="{18FEB773-ECF8-4C2E-BF43-E93DA073E0A7}">
      <formula1>0</formula1>
      <formula2>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6A9F-F2F1-40F6-8B83-5FE7AFBE30EF}">
  <sheetPr>
    <outlinePr summaryBelow="0"/>
  </sheetPr>
  <dimension ref="B1:G14"/>
  <sheetViews>
    <sheetView showGridLines="0" workbookViewId="0">
      <selection activeCell="M7" sqref="M7"/>
    </sheetView>
  </sheetViews>
  <sheetFormatPr defaultRowHeight="14.4" outlineLevelRow="1" outlineLevelCol="1" x14ac:dyDescent="0.3"/>
  <cols>
    <col min="3" max="3" width="5.55468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56" t="s">
        <v>81</v>
      </c>
      <c r="C2" s="56"/>
      <c r="D2" s="61"/>
      <c r="E2" s="61"/>
      <c r="F2" s="61"/>
      <c r="G2" s="61"/>
    </row>
    <row r="3" spans="2:7" ht="15.6" collapsed="1" x14ac:dyDescent="0.3">
      <c r="B3" s="55"/>
      <c r="C3" s="55"/>
      <c r="D3" s="62" t="s">
        <v>83</v>
      </c>
      <c r="E3" s="62" t="s">
        <v>78</v>
      </c>
      <c r="F3" s="62" t="s">
        <v>79</v>
      </c>
      <c r="G3" s="62" t="s">
        <v>80</v>
      </c>
    </row>
    <row r="4" spans="2:7" ht="40.799999999999997" hidden="1" outlineLevel="1" x14ac:dyDescent="0.3">
      <c r="B4" s="58"/>
      <c r="C4" s="58"/>
      <c r="E4" s="65" t="s">
        <v>88</v>
      </c>
      <c r="F4" s="65" t="s">
        <v>88</v>
      </c>
      <c r="G4" s="65" t="s">
        <v>88</v>
      </c>
    </row>
    <row r="5" spans="2:7" x14ac:dyDescent="0.3">
      <c r="B5" s="59" t="s">
        <v>82</v>
      </c>
      <c r="C5" s="59"/>
      <c r="D5" s="57"/>
      <c r="E5" s="57"/>
      <c r="F5" s="57"/>
      <c r="G5" s="57"/>
    </row>
    <row r="6" spans="2:7" outlineLevel="1" x14ac:dyDescent="0.3">
      <c r="B6" s="58"/>
      <c r="C6" s="58" t="s">
        <v>73</v>
      </c>
      <c r="D6">
        <v>14500</v>
      </c>
      <c r="E6" s="63">
        <v>14500</v>
      </c>
      <c r="F6" s="63">
        <v>13000</v>
      </c>
      <c r="G6" s="63">
        <v>15500</v>
      </c>
    </row>
    <row r="7" spans="2:7" outlineLevel="1" x14ac:dyDescent="0.3">
      <c r="B7" s="58"/>
      <c r="C7" s="58" t="s">
        <v>74</v>
      </c>
      <c r="D7" s="31">
        <v>0.1</v>
      </c>
      <c r="E7" s="64">
        <v>0.1</v>
      </c>
      <c r="F7" s="64">
        <v>0.05</v>
      </c>
      <c r="G7" s="64">
        <v>0.2</v>
      </c>
    </row>
    <row r="8" spans="2:7" outlineLevel="1" x14ac:dyDescent="0.3">
      <c r="B8" s="58"/>
      <c r="C8" s="58" t="s">
        <v>75</v>
      </c>
      <c r="D8" s="31">
        <v>0.6</v>
      </c>
      <c r="E8" s="64">
        <v>0.6</v>
      </c>
      <c r="F8" s="64">
        <v>0.5</v>
      </c>
      <c r="G8" s="64">
        <v>0.7</v>
      </c>
    </row>
    <row r="9" spans="2:7" x14ac:dyDescent="0.3">
      <c r="B9" s="59" t="s">
        <v>84</v>
      </c>
      <c r="C9" s="59"/>
      <c r="D9" s="57"/>
      <c r="E9" s="57"/>
      <c r="F9" s="57"/>
      <c r="G9" s="57"/>
    </row>
    <row r="10" spans="2:7" outlineLevel="1" x14ac:dyDescent="0.3">
      <c r="B10" s="58"/>
      <c r="C10" s="58" t="s">
        <v>76</v>
      </c>
      <c r="D10">
        <v>15950</v>
      </c>
      <c r="E10">
        <v>15950</v>
      </c>
      <c r="F10">
        <v>13650</v>
      </c>
      <c r="G10">
        <v>18600</v>
      </c>
    </row>
    <row r="11" spans="2:7" ht="15" outlineLevel="1" thickBot="1" x14ac:dyDescent="0.35">
      <c r="B11" s="60"/>
      <c r="C11" s="60" t="s">
        <v>77</v>
      </c>
      <c r="D11" s="54">
        <v>9570</v>
      </c>
      <c r="E11" s="54">
        <v>9570</v>
      </c>
      <c r="F11" s="54">
        <v>6825</v>
      </c>
      <c r="G11" s="54">
        <v>13020</v>
      </c>
    </row>
    <row r="12" spans="2:7" x14ac:dyDescent="0.3">
      <c r="B12" t="s">
        <v>85</v>
      </c>
    </row>
    <row r="13" spans="2:7" x14ac:dyDescent="0.3">
      <c r="B13" t="s">
        <v>86</v>
      </c>
    </row>
    <row r="14" spans="2:7" x14ac:dyDescent="0.3">
      <c r="B14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E5E3-8D21-44AD-9A86-6F222AC650D3}">
  <dimension ref="B2:D11"/>
  <sheetViews>
    <sheetView workbookViewId="0">
      <selection activeCell="H19" sqref="H19"/>
    </sheetView>
  </sheetViews>
  <sheetFormatPr defaultRowHeight="14.4" x14ac:dyDescent="0.3"/>
  <cols>
    <col min="2" max="2" width="13.6640625" bestFit="1" customWidth="1"/>
    <col min="3" max="3" width="11.77734375" bestFit="1" customWidth="1"/>
    <col min="4" max="4" width="13.88671875" bestFit="1" customWidth="1"/>
  </cols>
  <sheetData>
    <row r="2" spans="2:4" x14ac:dyDescent="0.3">
      <c r="B2" t="s">
        <v>58</v>
      </c>
      <c r="C2" s="31">
        <v>0.3</v>
      </c>
    </row>
    <row r="3" spans="2:4" x14ac:dyDescent="0.3">
      <c r="B3" t="s">
        <v>59</v>
      </c>
      <c r="C3" s="34">
        <f>VLOOKUP(C2,B7:D10,3,1)</f>
        <v>9.7500000000000003E-2</v>
      </c>
    </row>
    <row r="6" spans="2:4" x14ac:dyDescent="0.3">
      <c r="B6" s="36" t="s">
        <v>58</v>
      </c>
      <c r="C6" s="36" t="s">
        <v>60</v>
      </c>
      <c r="D6" s="36" t="s">
        <v>59</v>
      </c>
    </row>
    <row r="7" spans="2:4" x14ac:dyDescent="0.3">
      <c r="B7" s="37">
        <v>0</v>
      </c>
      <c r="C7" s="38" t="s">
        <v>61</v>
      </c>
      <c r="D7" s="39">
        <v>9.5000000000000001E-2</v>
      </c>
    </row>
    <row r="8" spans="2:4" x14ac:dyDescent="0.3">
      <c r="B8" s="37">
        <v>0.3</v>
      </c>
      <c r="C8" s="38" t="s">
        <v>62</v>
      </c>
      <c r="D8" s="39">
        <v>9.7500000000000003E-2</v>
      </c>
    </row>
    <row r="9" spans="2:4" x14ac:dyDescent="0.3">
      <c r="B9" s="37">
        <v>0.5</v>
      </c>
      <c r="C9" s="38" t="s">
        <v>63</v>
      </c>
      <c r="D9" s="39">
        <v>0.1225</v>
      </c>
    </row>
    <row r="10" spans="2:4" x14ac:dyDescent="0.3">
      <c r="B10" s="37">
        <v>0.6</v>
      </c>
      <c r="C10" s="38" t="s">
        <v>63</v>
      </c>
      <c r="D10" s="39">
        <v>0.13750000000000001</v>
      </c>
    </row>
    <row r="11" spans="2:4" x14ac:dyDescent="0.3">
      <c r="B11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0B94-7E78-47FC-8DD7-D1F98E3DA8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income statement </vt:lpstr>
      <vt:lpstr>Projections</vt:lpstr>
      <vt:lpstr>Scenario Summary</vt:lpstr>
      <vt:lpstr>vlookup</vt:lpstr>
      <vt:lpstr>Sheet1</vt:lpstr>
      <vt:lpstr>Beta</vt:lpstr>
      <vt:lpstr>cost_of_debt_post_tax</vt:lpstr>
      <vt:lpstr>cost_of_equity</vt:lpstr>
      <vt:lpstr>Costofdebt</vt:lpstr>
      <vt:lpstr>debt_funding</vt:lpstr>
      <vt:lpstr>DebtValue</vt:lpstr>
      <vt:lpstr>equity_funding</vt:lpstr>
      <vt:lpstr>EquityValue</vt:lpstr>
      <vt:lpstr>MarketRate</vt:lpstr>
      <vt:lpstr>risk_free_rate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arcotlahari@outlook.com</dc:creator>
  <cp:lastModifiedBy>arcotlahari@outlook.com</cp:lastModifiedBy>
  <cp:lastPrinted>2025-07-24T09:13:02Z</cp:lastPrinted>
  <dcterms:created xsi:type="dcterms:W3CDTF">2025-07-24T09:04:08Z</dcterms:created>
  <dcterms:modified xsi:type="dcterms:W3CDTF">2025-07-29T09:40:51Z</dcterms:modified>
</cp:coreProperties>
</file>