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/>
  <mc:AlternateContent xmlns:mc="http://schemas.openxmlformats.org/markup-compatibility/2006">
    <mc:Choice Requires="x15">
      <x15ac:absPath xmlns:x15ac="http://schemas.microsoft.com/office/spreadsheetml/2010/11/ac" url="D:\Dropbox\"/>
    </mc:Choice>
  </mc:AlternateContent>
  <xr:revisionPtr revIDLastSave="0" documentId="13_ncr:1_{6659C797-D750-4B77-89D0-0B305E01AF34}" xr6:coauthVersionLast="45" xr6:coauthVersionMax="45" xr10:uidLastSave="{00000000-0000-0000-0000-000000000000}"/>
  <bookViews>
    <workbookView xWindow="-120" yWindow="-120" windowWidth="29040" windowHeight="15840" tabRatio="760" activeTab="7" xr2:uid="{00000000-000D-0000-FFFF-FFFF00000000}"/>
  </bookViews>
  <sheets>
    <sheet name="2018-2019秋账单" sheetId="2" r:id="rId1"/>
    <sheet name="2018-2019秋总账" sheetId="6" r:id="rId2"/>
    <sheet name="2018-2019春账单" sheetId="8" r:id="rId3"/>
    <sheet name="2018-2019春总账" sheetId="9" r:id="rId4"/>
    <sheet name="社会实践" sheetId="11" r:id="rId5"/>
    <sheet name="宜昌行" sheetId="12" r:id="rId6"/>
    <sheet name="2019-2020 秋账单（一）" sheetId="10" r:id="rId7"/>
    <sheet name="2019-2020秋账单（二）" sheetId="13" r:id="rId8"/>
  </sheets>
  <definedNames>
    <definedName name="TheStart">'2018-2019春账单'!$Y$2</definedName>
    <definedName name="微信">'2018-2019秋账单'!$H$396,'2018-2019秋账单'!$L$396</definedName>
    <definedName name="支付宝">'2018-2019秋账单'!$H$391,'2018-2019秋账单'!$L$391,'2018-2019秋账单'!$L$386</definedName>
  </definedNames>
  <calcPr calcId="18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1" i="13" l="1"/>
  <c r="Y71" i="13"/>
  <c r="Q71" i="13"/>
  <c r="P71" i="13" s="1"/>
  <c r="U71" i="13"/>
  <c r="X70" i="13" l="1"/>
  <c r="Y70" i="13"/>
  <c r="Q70" i="13"/>
  <c r="P70" i="13" s="1"/>
  <c r="U70" i="13"/>
  <c r="X69" i="13" l="1"/>
  <c r="Y69" i="13"/>
  <c r="Q69" i="13"/>
  <c r="P69" i="13" s="1"/>
  <c r="U69" i="13"/>
  <c r="Y62" i="13" l="1"/>
  <c r="U62" i="13"/>
  <c r="X62" i="13" s="1"/>
  <c r="X52" i="13"/>
  <c r="Y52" i="13"/>
  <c r="X53" i="13"/>
  <c r="Y53" i="13"/>
  <c r="X54" i="13"/>
  <c r="Y54" i="13"/>
  <c r="X55" i="13"/>
  <c r="Y55" i="13"/>
  <c r="X56" i="13"/>
  <c r="Y56" i="13"/>
  <c r="X57" i="13"/>
  <c r="Y57" i="13"/>
  <c r="X58" i="13"/>
  <c r="Y58" i="13"/>
  <c r="X59" i="13"/>
  <c r="Y59" i="13"/>
  <c r="X60" i="13"/>
  <c r="Y60" i="13"/>
  <c r="X61" i="13"/>
  <c r="Y61" i="13"/>
  <c r="Y63" i="13"/>
  <c r="X64" i="13"/>
  <c r="Y64" i="13"/>
  <c r="X65" i="13"/>
  <c r="Y65" i="13"/>
  <c r="X66" i="13"/>
  <c r="Y66" i="13"/>
  <c r="X67" i="13"/>
  <c r="Y67" i="13"/>
  <c r="X68" i="13"/>
  <c r="Y68" i="13"/>
  <c r="Q52" i="13"/>
  <c r="P52" i="13" s="1"/>
  <c r="Q53" i="13"/>
  <c r="P53" i="13" s="1"/>
  <c r="P54" i="13"/>
  <c r="Q54" i="13"/>
  <c r="Q55" i="13"/>
  <c r="P55" i="13" s="1"/>
  <c r="P56" i="13"/>
  <c r="Q56" i="13"/>
  <c r="Q57" i="13"/>
  <c r="P57" i="13" s="1"/>
  <c r="Q58" i="13"/>
  <c r="P58" i="13" s="1"/>
  <c r="Q59" i="13"/>
  <c r="P59" i="13" s="1"/>
  <c r="P60" i="13"/>
  <c r="Q60" i="13"/>
  <c r="Q61" i="13"/>
  <c r="P61" i="13" s="1"/>
  <c r="Q63" i="13"/>
  <c r="P63" i="13" s="1"/>
  <c r="Q64" i="13"/>
  <c r="P64" i="13" s="1"/>
  <c r="Q65" i="13"/>
  <c r="P65" i="13" s="1"/>
  <c r="P66" i="13"/>
  <c r="Q66" i="13"/>
  <c r="Q67" i="13"/>
  <c r="P67" i="13" s="1"/>
  <c r="P68" i="13"/>
  <c r="Q68" i="13"/>
  <c r="Q62" i="13" l="1"/>
  <c r="X63" i="13" s="1"/>
  <c r="Q51" i="13"/>
  <c r="P51" i="13" s="1"/>
  <c r="Q2" i="13"/>
  <c r="Q43" i="13"/>
  <c r="X44" i="13" s="1"/>
  <c r="Q44" i="13"/>
  <c r="X45" i="13" s="1"/>
  <c r="Q45" i="13"/>
  <c r="X46" i="13" s="1"/>
  <c r="Q46" i="13"/>
  <c r="X47" i="13" s="1"/>
  <c r="Q47" i="13"/>
  <c r="P47" i="13" s="1"/>
  <c r="Q48" i="13"/>
  <c r="P48" i="13" s="1"/>
  <c r="Q49" i="13"/>
  <c r="X50" i="13" s="1"/>
  <c r="Q50" i="13"/>
  <c r="Q38" i="13"/>
  <c r="Q37" i="13"/>
  <c r="Q10" i="13"/>
  <c r="Q4" i="13"/>
  <c r="Q34" i="13"/>
  <c r="U51" i="13"/>
  <c r="Y44" i="13"/>
  <c r="Y45" i="13"/>
  <c r="Y46" i="13"/>
  <c r="Y47" i="13"/>
  <c r="Y48" i="13"/>
  <c r="X49" i="13"/>
  <c r="Y49" i="13"/>
  <c r="Y50" i="13"/>
  <c r="X51" i="13"/>
  <c r="Y51" i="13"/>
  <c r="P44" i="13"/>
  <c r="P45" i="13"/>
  <c r="P46" i="13"/>
  <c r="P50" i="13"/>
  <c r="P62" i="13" l="1"/>
  <c r="X48" i="13"/>
  <c r="P49" i="13"/>
  <c r="X43" i="13"/>
  <c r="Y43" i="13"/>
  <c r="Y34" i="13" l="1"/>
  <c r="Y30" i="13"/>
  <c r="Y31" i="13"/>
  <c r="Y32" i="13"/>
  <c r="Y33" i="13"/>
  <c r="Y35" i="13"/>
  <c r="Y36" i="13"/>
  <c r="Y37" i="13"/>
  <c r="Y38" i="13"/>
  <c r="Y39" i="13"/>
  <c r="Y40" i="13"/>
  <c r="Y41" i="13"/>
  <c r="Y42" i="13"/>
  <c r="D42" i="13"/>
  <c r="X42" i="13"/>
  <c r="E42" i="13"/>
  <c r="U42" i="13"/>
  <c r="Q42" i="13"/>
  <c r="P42" i="13" s="1"/>
  <c r="P43" i="13"/>
  <c r="O37" i="13" l="1"/>
  <c r="P37" i="13"/>
  <c r="P38" i="13"/>
  <c r="Q39" i="13"/>
  <c r="P39" i="13" s="1"/>
  <c r="Q40" i="13"/>
  <c r="P40" i="13" s="1"/>
  <c r="Q41" i="13"/>
  <c r="P41" i="13" s="1"/>
  <c r="X41" i="13" l="1"/>
  <c r="X40" i="13"/>
  <c r="X38" i="13"/>
  <c r="X39" i="13"/>
  <c r="E36" i="13"/>
  <c r="D35" i="13" l="1"/>
  <c r="O35" i="13"/>
  <c r="U35" i="13"/>
  <c r="Q35" i="13" s="1"/>
  <c r="P35" i="13" s="1"/>
  <c r="Q36" i="13"/>
  <c r="P36" i="13" l="1"/>
  <c r="X37" i="13"/>
  <c r="X36" i="13"/>
  <c r="U32" i="13" l="1"/>
  <c r="D32" i="13"/>
  <c r="U31" i="13" l="1"/>
  <c r="Q32" i="13"/>
  <c r="P32" i="13" s="1"/>
  <c r="Q33" i="13"/>
  <c r="P33" i="13" s="1"/>
  <c r="P34" i="13" l="1"/>
  <c r="X35" i="13"/>
  <c r="X34" i="13"/>
  <c r="X33" i="13"/>
  <c r="Q31" i="13"/>
  <c r="G30" i="13"/>
  <c r="D29" i="13"/>
  <c r="I29" i="13"/>
  <c r="N30" i="13"/>
  <c r="U30" i="13"/>
  <c r="P31" i="13" l="1"/>
  <c r="X32" i="13"/>
  <c r="U27" i="13"/>
  <c r="Y24" i="13" l="1"/>
  <c r="Y25" i="13"/>
  <c r="Y26" i="13"/>
  <c r="Y27" i="13"/>
  <c r="Y28" i="13"/>
  <c r="Y29" i="13"/>
  <c r="Q24" i="13"/>
  <c r="P24" i="13" s="1"/>
  <c r="Q25" i="13"/>
  <c r="P25" i="13" s="1"/>
  <c r="Q26" i="13"/>
  <c r="P26" i="13" s="1"/>
  <c r="Q27" i="13"/>
  <c r="P27" i="13" s="1"/>
  <c r="Q28" i="13"/>
  <c r="P28" i="13" s="1"/>
  <c r="Q29" i="13"/>
  <c r="P29" i="13" s="1"/>
  <c r="Q30" i="13"/>
  <c r="X30" i="13" l="1"/>
  <c r="P30" i="13"/>
  <c r="X31" i="13"/>
  <c r="X27" i="13"/>
  <c r="X29" i="13"/>
  <c r="X28" i="13"/>
  <c r="X26" i="13"/>
  <c r="X25" i="13"/>
  <c r="G22" i="13"/>
  <c r="D22" i="13"/>
  <c r="J18" i="13" l="1"/>
  <c r="D18" i="13"/>
  <c r="Y16" i="13" l="1"/>
  <c r="Y17" i="13"/>
  <c r="Y18" i="13"/>
  <c r="Q16" i="13"/>
  <c r="P16" i="13" s="1"/>
  <c r="Q17" i="13"/>
  <c r="P17" i="13" s="1"/>
  <c r="Q18" i="13"/>
  <c r="P18" i="13" s="1"/>
  <c r="Q19" i="13"/>
  <c r="P19" i="13" s="1"/>
  <c r="X17" i="13" l="1"/>
  <c r="X18" i="13"/>
  <c r="D15" i="13"/>
  <c r="G15" i="13"/>
  <c r="X19" i="13"/>
  <c r="Y19" i="13"/>
  <c r="Y20" i="13"/>
  <c r="Y21" i="13"/>
  <c r="Y22" i="13"/>
  <c r="Y23" i="13"/>
  <c r="Q20" i="13"/>
  <c r="P20" i="13" s="1"/>
  <c r="Q21" i="13"/>
  <c r="P21" i="13" s="1"/>
  <c r="Q22" i="13"/>
  <c r="P22" i="13" s="1"/>
  <c r="Q23" i="13"/>
  <c r="Y15" i="13" l="1"/>
  <c r="P23" i="13"/>
  <c r="X24" i="13"/>
  <c r="X23" i="13"/>
  <c r="X22" i="13"/>
  <c r="X21" i="13"/>
  <c r="X20" i="13"/>
  <c r="D13" i="13"/>
  <c r="E12" i="13" l="1"/>
  <c r="Y12" i="13" s="1"/>
  <c r="Y13" i="13"/>
  <c r="Y14" i="13"/>
  <c r="Q12" i="13"/>
  <c r="P12" i="13" s="1"/>
  <c r="Q13" i="13"/>
  <c r="P13" i="13" s="1"/>
  <c r="Q14" i="13"/>
  <c r="X15" i="13" s="1"/>
  <c r="Q15" i="13"/>
  <c r="X16" i="13" s="1"/>
  <c r="P15" i="13" l="1"/>
  <c r="P14" i="13"/>
  <c r="X14" i="13"/>
  <c r="X13" i="13"/>
  <c r="Y10" i="13"/>
  <c r="Y11" i="13"/>
  <c r="X11" i="13"/>
  <c r="Q11" i="13"/>
  <c r="P10" i="13" l="1"/>
  <c r="P11" i="13"/>
  <c r="X12" i="13"/>
  <c r="G4" i="13"/>
  <c r="Y4" i="13" l="1"/>
  <c r="Y5" i="13"/>
  <c r="Y6" i="13"/>
  <c r="Y7" i="13"/>
  <c r="Y8" i="13"/>
  <c r="Y9" i="13"/>
  <c r="Y3" i="13"/>
  <c r="X9" i="13"/>
  <c r="Q3" i="13"/>
  <c r="X4" i="13" s="1"/>
  <c r="Q5" i="13"/>
  <c r="P5" i="13" s="1"/>
  <c r="Q6" i="13"/>
  <c r="P6" i="13" s="1"/>
  <c r="Q7" i="13"/>
  <c r="P7" i="13" s="1"/>
  <c r="Q8" i="13"/>
  <c r="P8" i="13" s="1"/>
  <c r="Q9" i="13"/>
  <c r="X10" i="13" s="1"/>
  <c r="X8" i="13" l="1"/>
  <c r="X7" i="13"/>
  <c r="X6" i="13"/>
  <c r="P9" i="13"/>
  <c r="P3" i="13"/>
  <c r="P4" i="13"/>
  <c r="X5" i="13"/>
  <c r="Y2" i="13"/>
  <c r="U2" i="13"/>
  <c r="Z43" i="10"/>
  <c r="Z44" i="10"/>
  <c r="Z45" i="10"/>
  <c r="Y46" i="10"/>
  <c r="Z46" i="10"/>
  <c r="Z47" i="10"/>
  <c r="Z48" i="10"/>
  <c r="Z49" i="10"/>
  <c r="R43" i="10"/>
  <c r="Q43" i="10" s="1"/>
  <c r="R44" i="10"/>
  <c r="Q44" i="10" s="1"/>
  <c r="R45" i="10"/>
  <c r="Q45" i="10" s="1"/>
  <c r="R46" i="10"/>
  <c r="Q46" i="10" s="1"/>
  <c r="R47" i="10"/>
  <c r="Q47" i="10" s="1"/>
  <c r="R48" i="10"/>
  <c r="Q48" i="10" s="1"/>
  <c r="R49" i="10"/>
  <c r="Q49" i="10" s="1"/>
  <c r="X2" i="13" l="1"/>
  <c r="Y48" i="10"/>
  <c r="Y47" i="10"/>
  <c r="Y45" i="10"/>
  <c r="Y44" i="10"/>
  <c r="Y49" i="10"/>
  <c r="R40" i="10"/>
  <c r="Y41" i="10" s="1"/>
  <c r="Y40" i="10"/>
  <c r="Z40" i="10"/>
  <c r="Z41" i="10"/>
  <c r="Y42" i="10"/>
  <c r="Z42" i="10"/>
  <c r="R41" i="10"/>
  <c r="Q41" i="10" s="1"/>
  <c r="R42" i="10"/>
  <c r="V40" i="10"/>
  <c r="Z35" i="10"/>
  <c r="Y36" i="10"/>
  <c r="Z36" i="10"/>
  <c r="Z37" i="10"/>
  <c r="Y38" i="10"/>
  <c r="Z38" i="10"/>
  <c r="Z39" i="10"/>
  <c r="R35" i="10"/>
  <c r="Q35" i="10" s="1"/>
  <c r="R36" i="10"/>
  <c r="Q36" i="10" s="1"/>
  <c r="R37" i="10"/>
  <c r="Q37" i="10" s="1"/>
  <c r="R38" i="10"/>
  <c r="Q38" i="10" s="1"/>
  <c r="R39" i="10"/>
  <c r="Q39" i="10" s="1"/>
  <c r="Y37" i="10" l="1"/>
  <c r="Q42" i="10"/>
  <c r="Y43" i="10"/>
  <c r="X3" i="13"/>
  <c r="P2" i="13"/>
  <c r="Q40" i="10"/>
  <c r="Y39" i="10"/>
  <c r="O34" i="10"/>
  <c r="V34" i="10"/>
  <c r="Z34" i="10" l="1"/>
  <c r="R34" i="10"/>
  <c r="Q34" i="10" l="1"/>
  <c r="Y35" i="10"/>
  <c r="O33" i="10"/>
  <c r="L33" i="10"/>
  <c r="Z32" i="10"/>
  <c r="Z33" i="10"/>
  <c r="R32" i="10"/>
  <c r="Q32" i="10" s="1"/>
  <c r="R33" i="10"/>
  <c r="Q33" i="10" l="1"/>
  <c r="Y34" i="10"/>
  <c r="Y33" i="10"/>
  <c r="Z31" i="10"/>
  <c r="R31" i="10"/>
  <c r="Q31" i="10" l="1"/>
  <c r="Y32" i="10"/>
  <c r="E30" i="10"/>
  <c r="Z30" i="10" s="1"/>
  <c r="Z29" i="10"/>
  <c r="R29" i="10"/>
  <c r="Q29" i="10" s="1"/>
  <c r="R30" i="10"/>
  <c r="Y30" i="10" l="1"/>
  <c r="Q30" i="10"/>
  <c r="Y31" i="10"/>
  <c r="H28" i="10"/>
  <c r="V28" i="10"/>
  <c r="R28" i="10" s="1"/>
  <c r="D28" i="10"/>
  <c r="E28" i="10"/>
  <c r="Z27" i="10"/>
  <c r="Q28" i="10" l="1"/>
  <c r="Y29" i="10"/>
  <c r="Z28" i="10"/>
  <c r="V27" i="10"/>
  <c r="R27" i="10" s="1"/>
  <c r="Q27" i="10" s="1"/>
  <c r="Z25" i="10"/>
  <c r="Z26" i="10"/>
  <c r="R25" i="10"/>
  <c r="Q25" i="10" s="1"/>
  <c r="R26" i="10"/>
  <c r="Y28" i="10" l="1"/>
  <c r="Q26" i="10"/>
  <c r="Y27" i="10"/>
  <c r="Y26" i="10"/>
  <c r="V24" i="10"/>
  <c r="Z22" i="10"/>
  <c r="Z23" i="10"/>
  <c r="Z24" i="10"/>
  <c r="R22" i="10"/>
  <c r="Q22" i="10" s="1"/>
  <c r="R23" i="10"/>
  <c r="Q23" i="10" s="1"/>
  <c r="Y23" i="10" l="1"/>
  <c r="Y24" i="10"/>
  <c r="R24" i="10"/>
  <c r="V21" i="10"/>
  <c r="Z20" i="10"/>
  <c r="Z21" i="10"/>
  <c r="R20" i="10"/>
  <c r="Q20" i="10" s="1"/>
  <c r="R21" i="10"/>
  <c r="Q21" i="10" l="1"/>
  <c r="Y22" i="10"/>
  <c r="Y21" i="10"/>
  <c r="Q24" i="10"/>
  <c r="Y25" i="10"/>
  <c r="R19" i="10"/>
  <c r="Z19" i="10"/>
  <c r="V18" i="10"/>
  <c r="R18" i="10" s="1"/>
  <c r="Q18" i="10" s="1"/>
  <c r="Z18" i="10"/>
  <c r="Q19" i="10" l="1"/>
  <c r="Y20" i="10"/>
  <c r="Y19" i="10"/>
  <c r="V17" i="10"/>
  <c r="R17" i="10" s="1"/>
  <c r="Z17" i="10"/>
  <c r="V16" i="10"/>
  <c r="Z16" i="10"/>
  <c r="R16" i="10"/>
  <c r="Q16" i="10" s="1"/>
  <c r="V15" i="10"/>
  <c r="R15" i="10" s="1"/>
  <c r="Z15" i="10"/>
  <c r="V14" i="10"/>
  <c r="R14" i="10" s="1"/>
  <c r="Z14" i="10"/>
  <c r="V13" i="10"/>
  <c r="R13" i="10" s="1"/>
  <c r="Z12" i="10"/>
  <c r="R12" i="10"/>
  <c r="Q12" i="10" s="1"/>
  <c r="Z13" i="10"/>
  <c r="Y11" i="10"/>
  <c r="Z11" i="10"/>
  <c r="R11" i="10"/>
  <c r="Q11" i="10" s="1"/>
  <c r="Y8" i="10"/>
  <c r="R3" i="10"/>
  <c r="Y4" i="10" s="1"/>
  <c r="R4" i="10"/>
  <c r="R6" i="10"/>
  <c r="Q6" i="10" s="1"/>
  <c r="R7" i="10"/>
  <c r="Q7" i="10" s="1"/>
  <c r="R8" i="10"/>
  <c r="Y9" i="10" s="1"/>
  <c r="R9" i="10"/>
  <c r="Y10" i="10" s="1"/>
  <c r="R10" i="10"/>
  <c r="Q10" i="10" s="1"/>
  <c r="Z10" i="10"/>
  <c r="Z9" i="10"/>
  <c r="Z8" i="10"/>
  <c r="Z7" i="10"/>
  <c r="W5" i="10"/>
  <c r="R5" i="10" s="1"/>
  <c r="Z5" i="10"/>
  <c r="Z6" i="10"/>
  <c r="Z4" i="10"/>
  <c r="J3" i="10"/>
  <c r="Z3" i="10" s="1"/>
  <c r="W2" i="10"/>
  <c r="R2" i="10" s="1"/>
  <c r="Q2" i="10" s="1"/>
  <c r="Y2" i="10" s="1"/>
  <c r="B14" i="11"/>
  <c r="B6" i="12"/>
  <c r="B9" i="12" s="1"/>
  <c r="Z2" i="10"/>
  <c r="T108" i="8"/>
  <c r="R108" i="8" s="1"/>
  <c r="X109" i="8" s="1"/>
  <c r="M108" i="8"/>
  <c r="W108" i="8"/>
  <c r="D104" i="8"/>
  <c r="W103" i="8"/>
  <c r="R103" i="8" s="1"/>
  <c r="X104" i="8" s="1"/>
  <c r="Y103" i="8"/>
  <c r="Y104" i="8"/>
  <c r="Y105" i="8"/>
  <c r="Y106" i="8"/>
  <c r="Y107" i="8"/>
  <c r="Y108" i="8"/>
  <c r="Y109" i="8"/>
  <c r="R102" i="8"/>
  <c r="X103" i="8" s="1"/>
  <c r="R104" i="8"/>
  <c r="X105" i="8" s="1"/>
  <c r="R105" i="8"/>
  <c r="X106" i="8" s="1"/>
  <c r="R106" i="8"/>
  <c r="X107" i="8"/>
  <c r="R107" i="8"/>
  <c r="R109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X83" i="8"/>
  <c r="X86" i="8"/>
  <c r="X91" i="8"/>
  <c r="X93" i="8"/>
  <c r="X94" i="8"/>
  <c r="R82" i="8"/>
  <c r="R83" i="8"/>
  <c r="X84" i="8" s="1"/>
  <c r="R84" i="8"/>
  <c r="X85" i="8" s="1"/>
  <c r="R85" i="8"/>
  <c r="R86" i="8"/>
  <c r="X87" i="8" s="1"/>
  <c r="R87" i="8"/>
  <c r="X88" i="8" s="1"/>
  <c r="R88" i="8"/>
  <c r="X89" i="8" s="1"/>
  <c r="R89" i="8"/>
  <c r="X90" i="8" s="1"/>
  <c r="R90" i="8"/>
  <c r="R91" i="8"/>
  <c r="X92" i="8" s="1"/>
  <c r="R92" i="8"/>
  <c r="R93" i="8"/>
  <c r="R94" i="8"/>
  <c r="X95" i="8" s="1"/>
  <c r="R95" i="8"/>
  <c r="X96" i="8" s="1"/>
  <c r="R96" i="8"/>
  <c r="X97" i="8" s="1"/>
  <c r="R97" i="8"/>
  <c r="X98" i="8" s="1"/>
  <c r="R98" i="8"/>
  <c r="X99" i="8" s="1"/>
  <c r="R99" i="8"/>
  <c r="X100" i="8" s="1"/>
  <c r="R100" i="8"/>
  <c r="X101" i="8" s="1"/>
  <c r="R101" i="8"/>
  <c r="X102" i="8" s="1"/>
  <c r="R76" i="8"/>
  <c r="D77" i="8"/>
  <c r="R74" i="8"/>
  <c r="X75" i="8" s="1"/>
  <c r="Y75" i="8"/>
  <c r="R75" i="8"/>
  <c r="X76" i="8" s="1"/>
  <c r="Y76" i="8"/>
  <c r="X77" i="8"/>
  <c r="Y77" i="8"/>
  <c r="R77" i="8"/>
  <c r="X78" i="8" s="1"/>
  <c r="Y78" i="8"/>
  <c r="R78" i="8"/>
  <c r="X79" i="8" s="1"/>
  <c r="Y79" i="8"/>
  <c r="R79" i="8"/>
  <c r="X80" i="8" s="1"/>
  <c r="Y80" i="8"/>
  <c r="R80" i="8"/>
  <c r="X81" i="8"/>
  <c r="Y81" i="8"/>
  <c r="R81" i="8"/>
  <c r="X82" i="8" s="1"/>
  <c r="M73" i="8"/>
  <c r="X73" i="8" s="1"/>
  <c r="R70" i="8"/>
  <c r="X71" i="8" s="1"/>
  <c r="R71" i="8"/>
  <c r="X72" i="8" s="1"/>
  <c r="R72" i="8"/>
  <c r="R73" i="8"/>
  <c r="Y70" i="8"/>
  <c r="Y71" i="8"/>
  <c r="Y72" i="8"/>
  <c r="Y74" i="8"/>
  <c r="V69" i="8"/>
  <c r="R69" i="8" s="1"/>
  <c r="X70" i="8" s="1"/>
  <c r="X74" i="8"/>
  <c r="R68" i="8"/>
  <c r="X69" i="8" s="1"/>
  <c r="Y68" i="8"/>
  <c r="M69" i="8"/>
  <c r="Y69" i="8" s="1"/>
  <c r="R67" i="8"/>
  <c r="X68" i="8" s="1"/>
  <c r="R60" i="8"/>
  <c r="X61" i="8" s="1"/>
  <c r="Y61" i="8"/>
  <c r="R61" i="8"/>
  <c r="X62" i="8"/>
  <c r="Y62" i="8"/>
  <c r="R62" i="8"/>
  <c r="X63" i="8" s="1"/>
  <c r="Y63" i="8"/>
  <c r="R63" i="8"/>
  <c r="X64" i="8"/>
  <c r="Y64" i="8"/>
  <c r="R64" i="8"/>
  <c r="X65" i="8" s="1"/>
  <c r="Y65" i="8"/>
  <c r="R65" i="8"/>
  <c r="X66" i="8" s="1"/>
  <c r="Y66" i="8"/>
  <c r="R66" i="8"/>
  <c r="X67" i="8"/>
  <c r="Y67" i="8"/>
  <c r="R50" i="8"/>
  <c r="R53" i="8"/>
  <c r="X54" i="8" s="1"/>
  <c r="Y53" i="8"/>
  <c r="Y54" i="8"/>
  <c r="Y55" i="8"/>
  <c r="Y56" i="8"/>
  <c r="Y57" i="8"/>
  <c r="Y58" i="8"/>
  <c r="Y59" i="8"/>
  <c r="Y60" i="8"/>
  <c r="R54" i="8"/>
  <c r="X55" i="8" s="1"/>
  <c r="R55" i="8"/>
  <c r="X56" i="8" s="1"/>
  <c r="R56" i="8"/>
  <c r="X57" i="8" s="1"/>
  <c r="R57" i="8"/>
  <c r="X58" i="8" s="1"/>
  <c r="R58" i="8"/>
  <c r="X59" i="8"/>
  <c r="R59" i="8"/>
  <c r="X60" i="8" s="1"/>
  <c r="D48" i="8"/>
  <c r="X48" i="8" s="1"/>
  <c r="Y47" i="8"/>
  <c r="Y48" i="8"/>
  <c r="Y49" i="8"/>
  <c r="Y50" i="8"/>
  <c r="R46" i="8"/>
  <c r="X47" i="8"/>
  <c r="R47" i="8"/>
  <c r="R48" i="8"/>
  <c r="X49" i="8" s="1"/>
  <c r="R49" i="8"/>
  <c r="X50" i="8" s="1"/>
  <c r="R51" i="8"/>
  <c r="R52" i="8"/>
  <c r="X53" i="8"/>
  <c r="E45" i="8"/>
  <c r="U44" i="8"/>
  <c r="D44" i="8"/>
  <c r="Y44" i="8" s="1"/>
  <c r="U41" i="8"/>
  <c r="R39" i="8"/>
  <c r="X40" i="8"/>
  <c r="Y40" i="8"/>
  <c r="R40" i="8"/>
  <c r="X41" i="8" s="1"/>
  <c r="Y41" i="8"/>
  <c r="R41" i="8"/>
  <c r="X42" i="8"/>
  <c r="Y42" i="8"/>
  <c r="R42" i="8"/>
  <c r="X43" i="8"/>
  <c r="Y43" i="8"/>
  <c r="R43" i="8"/>
  <c r="X44" i="8"/>
  <c r="R44" i="8"/>
  <c r="R45" i="8"/>
  <c r="X46" i="8" s="1"/>
  <c r="Y46" i="8"/>
  <c r="R38" i="8"/>
  <c r="X39" i="8"/>
  <c r="I33" i="8"/>
  <c r="Y33" i="8" s="1"/>
  <c r="Y34" i="8"/>
  <c r="Y35" i="8"/>
  <c r="Y36" i="8"/>
  <c r="Y37" i="8"/>
  <c r="Y38" i="8"/>
  <c r="Y39" i="8"/>
  <c r="R32" i="8"/>
  <c r="R33" i="8"/>
  <c r="X34" i="8" s="1"/>
  <c r="R34" i="8"/>
  <c r="X35" i="8" s="1"/>
  <c r="R35" i="8"/>
  <c r="X36" i="8" s="1"/>
  <c r="R36" i="8"/>
  <c r="X37" i="8"/>
  <c r="R37" i="8"/>
  <c r="X38" i="8"/>
  <c r="O28" i="8"/>
  <c r="R27" i="8"/>
  <c r="R28" i="8"/>
  <c r="R29" i="8"/>
  <c r="X30" i="8" s="1"/>
  <c r="R30" i="8"/>
  <c r="R31" i="8"/>
  <c r="Y26" i="8"/>
  <c r="Y27" i="8"/>
  <c r="Y28" i="8"/>
  <c r="Y29" i="8"/>
  <c r="Y30" i="8"/>
  <c r="Y31" i="8"/>
  <c r="Y32" i="8"/>
  <c r="R25" i="8"/>
  <c r="X26" i="8" s="1"/>
  <c r="R26" i="8"/>
  <c r="X27" i="8" s="1"/>
  <c r="X29" i="8"/>
  <c r="X31" i="8"/>
  <c r="X32" i="8"/>
  <c r="U23" i="8"/>
  <c r="R23" i="8" s="1"/>
  <c r="X24" i="8" s="1"/>
  <c r="O22" i="8"/>
  <c r="Y2" i="8"/>
  <c r="Y3" i="8"/>
  <c r="Y4" i="8"/>
  <c r="E5" i="8"/>
  <c r="Y5" i="8" s="1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R24" i="8"/>
  <c r="X25" i="8" s="1"/>
  <c r="R4" i="8"/>
  <c r="R5" i="8"/>
  <c r="R6" i="8"/>
  <c r="X7" i="8" s="1"/>
  <c r="R7" i="8"/>
  <c r="R8" i="8"/>
  <c r="X9" i="8" s="1"/>
  <c r="R9" i="8"/>
  <c r="R10" i="8"/>
  <c r="X11" i="8" s="1"/>
  <c r="R11" i="8"/>
  <c r="X12" i="8" s="1"/>
  <c r="R12" i="8"/>
  <c r="X13" i="8" s="1"/>
  <c r="R13" i="8"/>
  <c r="X14" i="8" s="1"/>
  <c r="R14" i="8"/>
  <c r="X15" i="8" s="1"/>
  <c r="R15" i="8"/>
  <c r="R16" i="8"/>
  <c r="X17" i="8" s="1"/>
  <c r="R17" i="8"/>
  <c r="R18" i="8"/>
  <c r="R19" i="8"/>
  <c r="X20" i="8" s="1"/>
  <c r="R20" i="8"/>
  <c r="X21" i="8" s="1"/>
  <c r="R21" i="8"/>
  <c r="X22" i="8" s="1"/>
  <c r="R22" i="8"/>
  <c r="X23" i="8" s="1"/>
  <c r="X19" i="8"/>
  <c r="R2" i="8"/>
  <c r="X3" i="8" s="1"/>
  <c r="R3" i="8"/>
  <c r="X4" i="8" s="1"/>
  <c r="X16" i="8"/>
  <c r="X18" i="8"/>
  <c r="X5" i="8"/>
  <c r="X6" i="8"/>
  <c r="X8" i="8"/>
  <c r="X10" i="8"/>
  <c r="X2" i="8"/>
  <c r="S396" i="2"/>
  <c r="J2" i="6"/>
  <c r="J3" i="6"/>
  <c r="J4" i="6"/>
  <c r="J5" i="6"/>
  <c r="J6" i="6"/>
  <c r="J7" i="6"/>
  <c r="I8" i="6"/>
  <c r="L472" i="2"/>
  <c r="P472" i="2"/>
  <c r="H472" i="2"/>
  <c r="T440" i="2"/>
  <c r="H431" i="2"/>
  <c r="H8" i="6"/>
  <c r="G8" i="6"/>
  <c r="F8" i="6"/>
  <c r="E8" i="6"/>
  <c r="D8" i="6"/>
  <c r="L268" i="2"/>
  <c r="B8" i="6"/>
  <c r="C8" i="6"/>
  <c r="H127" i="2"/>
  <c r="Y14" i="10" l="1"/>
  <c r="Q13" i="10"/>
  <c r="Y7" i="10"/>
  <c r="X33" i="8"/>
  <c r="X28" i="8"/>
  <c r="J8" i="6"/>
  <c r="X108" i="8"/>
  <c r="Q9" i="10"/>
  <c r="Q3" i="10"/>
  <c r="X45" i="8"/>
  <c r="Q15" i="10"/>
  <c r="Y16" i="10"/>
  <c r="Y5" i="10"/>
  <c r="Y45" i="8"/>
  <c r="Y73" i="8"/>
  <c r="Q4" i="10"/>
  <c r="Y13" i="10"/>
  <c r="Y17" i="10"/>
  <c r="Y15" i="10"/>
  <c r="Q14" i="10"/>
  <c r="Y6" i="10"/>
  <c r="Q5" i="10"/>
  <c r="Y18" i="10"/>
  <c r="Q17" i="10"/>
  <c r="Q8" i="10"/>
  <c r="Y12" i="10"/>
  <c r="Y3" i="10"/>
</calcChain>
</file>

<file path=xl/sharedStrings.xml><?xml version="1.0" encoding="utf-8"?>
<sst xmlns="http://schemas.openxmlformats.org/spreadsheetml/2006/main" count="916" uniqueCount="352">
  <si>
    <t>校园卡充值</t>
    <rPh sb="0" eb="1">
      <t>xiao yuan ka</t>
    </rPh>
    <rPh sb="3" eb="4">
      <t>chong zhi</t>
    </rPh>
    <phoneticPr fontId="3" type="noConversion"/>
  </si>
  <si>
    <t>体检费</t>
    <rPh sb="0" eb="1">
      <t>ti jian fei</t>
    </rPh>
    <phoneticPr fontId="3" type="noConversion"/>
  </si>
  <si>
    <t>红外耳机</t>
    <rPh sb="0" eb="1">
      <t>hong wai er ji</t>
    </rPh>
    <phoneticPr fontId="3" type="noConversion"/>
  </si>
  <si>
    <t>雪碧漱口杯</t>
    <rPh sb="0" eb="1">
      <t>xue bi</t>
    </rPh>
    <rPh sb="2" eb="3">
      <t>shu kou bei</t>
    </rPh>
    <phoneticPr fontId="3" type="noConversion"/>
  </si>
  <si>
    <t>文具</t>
    <rPh sb="0" eb="1">
      <t>wen ju</t>
    </rPh>
    <phoneticPr fontId="3" type="noConversion"/>
  </si>
  <si>
    <t>银行卡充值</t>
    <rPh sb="0" eb="1">
      <t>yin hang ka</t>
    </rPh>
    <rPh sb="3" eb="4">
      <t>chong zhi</t>
    </rPh>
    <phoneticPr fontId="3" type="noConversion"/>
  </si>
  <si>
    <t>买水</t>
    <rPh sb="0" eb="1">
      <t>mai shui</t>
    </rPh>
    <phoneticPr fontId="3" type="noConversion"/>
  </si>
  <si>
    <t>买水收款</t>
    <rPh sb="0" eb="1">
      <t>mai shui</t>
    </rPh>
    <rPh sb="2" eb="3">
      <t>shou kuan</t>
    </rPh>
    <phoneticPr fontId="3" type="noConversion"/>
  </si>
  <si>
    <t>洗衣</t>
    <rPh sb="0" eb="1">
      <t>xi yi</t>
    </rPh>
    <phoneticPr fontId="3" type="noConversion"/>
  </si>
  <si>
    <t>买面包</t>
    <rPh sb="0" eb="1">
      <t>mai mian bao</t>
    </rPh>
    <phoneticPr fontId="3" type="noConversion"/>
  </si>
  <si>
    <t>生活用品</t>
    <rPh sb="0" eb="1">
      <t>sheng huo yong ping</t>
    </rPh>
    <phoneticPr fontId="3" type="noConversion"/>
  </si>
  <si>
    <t>学习用品</t>
    <rPh sb="0" eb="1">
      <t>xue xi yong ping</t>
    </rPh>
    <phoneticPr fontId="3" type="noConversion"/>
  </si>
  <si>
    <t>吃喝</t>
    <rPh sb="0" eb="1">
      <t>chi he</t>
    </rPh>
    <phoneticPr fontId="3" type="noConversion"/>
  </si>
  <si>
    <t>洗衣洗澡</t>
    <rPh sb="0" eb="1">
      <t>xi yi xi zao</t>
    </rPh>
    <phoneticPr fontId="3" type="noConversion"/>
  </si>
  <si>
    <t>四级</t>
    <rPh sb="0" eb="1">
      <t>si ji</t>
    </rPh>
    <phoneticPr fontId="3" type="noConversion"/>
  </si>
  <si>
    <t>学校充值</t>
    <rPh sb="0" eb="1">
      <t>xue xiao chong zhi</t>
    </rPh>
    <phoneticPr fontId="3" type="noConversion"/>
  </si>
  <si>
    <t>吃饭</t>
    <rPh sb="0" eb="1">
      <t>chi fan</t>
    </rPh>
    <phoneticPr fontId="3" type="noConversion"/>
  </si>
  <si>
    <t>妈妈充值</t>
    <rPh sb="0" eb="1">
      <t>ma ma</t>
    </rPh>
    <rPh sb="2" eb="3">
      <t>chong zhi</t>
    </rPh>
    <phoneticPr fontId="3" type="noConversion"/>
  </si>
  <si>
    <t>微信转账</t>
    <rPh sb="0" eb="1">
      <t>wei xin</t>
    </rPh>
    <rPh sb="2" eb="3">
      <t>zhuan zhang</t>
    </rPh>
    <phoneticPr fontId="3" type="noConversion"/>
  </si>
  <si>
    <t>洗澡</t>
    <rPh sb="0" eb="1">
      <t>xi zoa</t>
    </rPh>
    <phoneticPr fontId="3" type="noConversion"/>
  </si>
  <si>
    <t>微信充值</t>
    <rPh sb="0" eb="1">
      <t>wei xin chon zhi</t>
    </rPh>
    <phoneticPr fontId="3" type="noConversion"/>
  </si>
  <si>
    <t>校园卡充值</t>
    <rPh sb="0" eb="1">
      <t>xiao yuan ka chogn zhi</t>
    </rPh>
    <phoneticPr fontId="3" type="noConversion"/>
  </si>
  <si>
    <t>保险</t>
    <rPh sb="0" eb="1">
      <t>bao xian</t>
    </rPh>
    <phoneticPr fontId="3" type="noConversion"/>
  </si>
  <si>
    <t>向微信充值</t>
    <rPh sb="0" eb="1">
      <t>xiang</t>
    </rPh>
    <rPh sb="1" eb="2">
      <t>wei xin</t>
    </rPh>
    <rPh sb="3" eb="4">
      <t>chong zhi</t>
    </rPh>
    <phoneticPr fontId="3" type="noConversion"/>
  </si>
  <si>
    <t>向微信充值</t>
    <rPh sb="0" eb="1">
      <t>xiang wei xin</t>
    </rPh>
    <rPh sb="3" eb="4">
      <t>chong zhi</t>
    </rPh>
    <phoneticPr fontId="3" type="noConversion"/>
  </si>
  <si>
    <t>向支付宝充值</t>
    <rPh sb="0" eb="1">
      <t>xiang zhi fu bao chong zhi</t>
    </rPh>
    <phoneticPr fontId="3" type="noConversion"/>
  </si>
  <si>
    <t>现金充值</t>
    <rPh sb="0" eb="1">
      <t>xian jin chong zhi</t>
    </rPh>
    <phoneticPr fontId="3" type="noConversion"/>
  </si>
  <si>
    <t>银行卡存钱</t>
    <rPh sb="0" eb="1">
      <t>yin hang ka cun qian</t>
    </rPh>
    <phoneticPr fontId="3" type="noConversion"/>
  </si>
  <si>
    <t>早饭</t>
    <rPh sb="0" eb="1">
      <t>zao fan</t>
    </rPh>
    <phoneticPr fontId="3" type="noConversion"/>
  </si>
  <si>
    <t>洗衣服</t>
    <rPh sb="0" eb="1">
      <t>xi yi fu</t>
    </rPh>
    <phoneticPr fontId="3" type="noConversion"/>
  </si>
  <si>
    <t>无</t>
    <phoneticPr fontId="3" type="noConversion"/>
  </si>
  <si>
    <t>洗衣服</t>
    <phoneticPr fontId="3" type="noConversion"/>
  </si>
  <si>
    <t>生活用品</t>
    <phoneticPr fontId="3" type="noConversion"/>
  </si>
  <si>
    <t>牛奶</t>
    <phoneticPr fontId="3" type="noConversion"/>
  </si>
  <si>
    <t>文具</t>
    <phoneticPr fontId="3" type="noConversion"/>
  </si>
  <si>
    <t>包含80押金</t>
    <phoneticPr fontId="3" type="noConversion"/>
  </si>
  <si>
    <t>买水</t>
    <phoneticPr fontId="3" type="noConversion"/>
  </si>
  <si>
    <t>余额宝</t>
    <phoneticPr fontId="3" type="noConversion"/>
  </si>
  <si>
    <t>总账</t>
    <phoneticPr fontId="3" type="noConversion"/>
  </si>
  <si>
    <t>买水果</t>
    <phoneticPr fontId="3" type="noConversion"/>
  </si>
  <si>
    <t>买水</t>
    <rPh sb="0" eb="1">
      <t>chi fan</t>
    </rPh>
    <phoneticPr fontId="3" type="noConversion"/>
  </si>
  <si>
    <t>支付宝</t>
    <phoneticPr fontId="3" type="noConversion"/>
  </si>
  <si>
    <t>原余额</t>
    <phoneticPr fontId="3" type="noConversion"/>
  </si>
  <si>
    <t>微信</t>
    <phoneticPr fontId="3" type="noConversion"/>
  </si>
  <si>
    <t>银行卡</t>
    <phoneticPr fontId="3" type="noConversion"/>
  </si>
  <si>
    <t>现金</t>
    <phoneticPr fontId="3" type="noConversion"/>
  </si>
  <si>
    <t>买退烧药</t>
    <phoneticPr fontId="3" type="noConversion"/>
  </si>
  <si>
    <t>校园卡充值</t>
    <phoneticPr fontId="3" type="noConversion"/>
  </si>
  <si>
    <t>现金转账</t>
    <phoneticPr fontId="3" type="noConversion"/>
  </si>
  <si>
    <t>食堂故障</t>
    <phoneticPr fontId="3" type="noConversion"/>
  </si>
  <si>
    <t>社团聚餐</t>
    <phoneticPr fontId="3" type="noConversion"/>
  </si>
  <si>
    <t>午饭代刷</t>
    <phoneticPr fontId="3" type="noConversion"/>
  </si>
  <si>
    <t>买面包</t>
    <phoneticPr fontId="3" type="noConversion"/>
  </si>
  <si>
    <t>餐巾纸</t>
    <phoneticPr fontId="3" type="noConversion"/>
  </si>
  <si>
    <t>教材</t>
    <rPh sb="0" eb="1">
      <t>jiao cai</t>
    </rPh>
    <phoneticPr fontId="3" type="noConversion"/>
  </si>
  <si>
    <t>二手教材</t>
    <rPh sb="0" eb="1">
      <t>er shou jiao cai</t>
    </rPh>
    <phoneticPr fontId="3" type="noConversion"/>
  </si>
  <si>
    <t>网费</t>
    <rPh sb="0" eb="1">
      <t>wang fei</t>
    </rPh>
    <phoneticPr fontId="3" type="noConversion"/>
  </si>
  <si>
    <t>校园卡</t>
    <phoneticPr fontId="3" type="noConversion"/>
  </si>
  <si>
    <t>马克飞象专业版</t>
    <rPh sb="0" eb="1">
      <t>ma ke fei xiang</t>
    </rPh>
    <rPh sb="4" eb="5">
      <t>zhuan ye ban</t>
    </rPh>
    <phoneticPr fontId="3" type="noConversion"/>
  </si>
  <si>
    <t>修车</t>
    <rPh sb="0" eb="1">
      <t>xiu che</t>
    </rPh>
    <phoneticPr fontId="3" type="noConversion"/>
  </si>
  <si>
    <t>买锁</t>
    <rPh sb="0" eb="1">
      <t>mai suo</t>
    </rPh>
    <phoneticPr fontId="3" type="noConversion"/>
  </si>
  <si>
    <t>找零</t>
    <rPh sb="0" eb="1">
      <t>zhao ling</t>
    </rPh>
    <phoneticPr fontId="3" type="noConversion"/>
  </si>
  <si>
    <t>交车行团费</t>
    <rPh sb="0" eb="1">
      <t>jiao</t>
    </rPh>
    <rPh sb="1" eb="2">
      <t>che hang</t>
    </rPh>
    <rPh sb="3" eb="4">
      <t>tuan fei</t>
    </rPh>
    <phoneticPr fontId="3" type="noConversion"/>
  </si>
  <si>
    <t>现金转</t>
    <rPh sb="0" eb="1">
      <t>xian jin</t>
    </rPh>
    <rPh sb="2" eb="3">
      <t>zhuan</t>
    </rPh>
    <phoneticPr fontId="3" type="noConversion"/>
  </si>
  <si>
    <t>车费</t>
    <rPh sb="0" eb="1">
      <t>ch fei</t>
    </rPh>
    <phoneticPr fontId="3" type="noConversion"/>
  </si>
  <si>
    <t>月饼钱</t>
    <rPh sb="0" eb="1">
      <t>yue bing</t>
    </rPh>
    <rPh sb="2" eb="3">
      <t>qian</t>
    </rPh>
    <phoneticPr fontId="3" type="noConversion"/>
  </si>
  <si>
    <t>买书架</t>
    <phoneticPr fontId="3" type="noConversion"/>
  </si>
  <si>
    <t>.</t>
    <phoneticPr fontId="3" type="noConversion"/>
  </si>
  <si>
    <t>校园卡充值</t>
    <phoneticPr fontId="3" type="noConversion"/>
  </si>
  <si>
    <t>余额宝转账</t>
    <phoneticPr fontId="3" type="noConversion"/>
  </si>
  <si>
    <t>快递费</t>
    <rPh sb="0" eb="1">
      <t>xiang wei xinchong zhi</t>
    </rPh>
    <phoneticPr fontId="3" type="noConversion"/>
  </si>
  <si>
    <t>微信充值</t>
    <rPh sb="0" eb="1">
      <t>xiao yuan ka</t>
    </rPh>
    <rPh sb="3" eb="4">
      <t>chong zhi</t>
    </rPh>
    <phoneticPr fontId="3" type="noConversion"/>
  </si>
  <si>
    <t>月饼</t>
    <phoneticPr fontId="3" type="noConversion"/>
  </si>
  <si>
    <t>充值</t>
    <phoneticPr fontId="3" type="noConversion"/>
  </si>
  <si>
    <t>乡村实践</t>
    <phoneticPr fontId="3" type="noConversion"/>
  </si>
  <si>
    <t>卖红薯</t>
    <phoneticPr fontId="3" type="noConversion"/>
  </si>
  <si>
    <t>制作月饼</t>
    <phoneticPr fontId="3" type="noConversion"/>
  </si>
  <si>
    <t>微信红包</t>
    <phoneticPr fontId="3" type="noConversion"/>
  </si>
  <si>
    <t>利息</t>
    <phoneticPr fontId="3" type="noConversion"/>
  </si>
  <si>
    <t>卡西欧</t>
    <phoneticPr fontId="3" type="noConversion"/>
  </si>
  <si>
    <t>妈妈转账</t>
    <rPh sb="0" eb="1">
      <t>yue bing</t>
    </rPh>
    <rPh sb="2" eb="3">
      <t>qian</t>
    </rPh>
    <phoneticPr fontId="3" type="noConversion"/>
  </si>
  <si>
    <t>聚餐</t>
    <phoneticPr fontId="3" type="noConversion"/>
  </si>
  <si>
    <t>晚餐</t>
    <phoneticPr fontId="3" type="noConversion"/>
  </si>
  <si>
    <t>四级报名</t>
    <phoneticPr fontId="3" type="noConversion"/>
  </si>
  <si>
    <t>买数据线</t>
    <phoneticPr fontId="3" type="noConversion"/>
  </si>
  <si>
    <t>食堂出错</t>
    <phoneticPr fontId="3" type="noConversion"/>
  </si>
  <si>
    <t>微信红包</t>
    <phoneticPr fontId="3" type="noConversion"/>
  </si>
  <si>
    <t>买窗帘</t>
    <phoneticPr fontId="3" type="noConversion"/>
  </si>
  <si>
    <t>秦皇岛</t>
    <phoneticPr fontId="3" type="noConversion"/>
  </si>
  <si>
    <t>早饭</t>
    <phoneticPr fontId="3" type="noConversion"/>
  </si>
  <si>
    <t>午饭</t>
    <phoneticPr fontId="3" type="noConversion"/>
  </si>
  <si>
    <t>卖水</t>
    <phoneticPr fontId="3" type="noConversion"/>
  </si>
  <si>
    <t>买桃子</t>
    <phoneticPr fontId="3" type="noConversion"/>
  </si>
  <si>
    <t>银行卡充值</t>
    <phoneticPr fontId="3" type="noConversion"/>
  </si>
  <si>
    <t>饭钱</t>
    <phoneticPr fontId="3" type="noConversion"/>
  </si>
  <si>
    <t>夜宵钱</t>
    <phoneticPr fontId="3" type="noConversion"/>
  </si>
  <si>
    <t>中饭</t>
    <phoneticPr fontId="3" type="noConversion"/>
  </si>
  <si>
    <t>校园卡充值</t>
    <phoneticPr fontId="3" type="noConversion"/>
  </si>
  <si>
    <t>秦皇岛补助</t>
    <phoneticPr fontId="3" type="noConversion"/>
  </si>
  <si>
    <t>支付宝充值</t>
    <phoneticPr fontId="3" type="noConversion"/>
  </si>
  <si>
    <t>微信充值</t>
    <phoneticPr fontId="3" type="noConversion"/>
  </si>
  <si>
    <t>农大补助</t>
    <phoneticPr fontId="3" type="noConversion"/>
  </si>
  <si>
    <t>10天工资</t>
    <phoneticPr fontId="3" type="noConversion"/>
  </si>
  <si>
    <t>吃饭</t>
    <phoneticPr fontId="3" type="noConversion"/>
  </si>
  <si>
    <t>校园卡充值</t>
    <phoneticPr fontId="3" type="noConversion"/>
  </si>
  <si>
    <t>红包</t>
    <phoneticPr fontId="3" type="noConversion"/>
  </si>
  <si>
    <t>代付饭钱</t>
    <phoneticPr fontId="3" type="noConversion"/>
  </si>
  <si>
    <t>充值</t>
    <phoneticPr fontId="3" type="noConversion"/>
  </si>
  <si>
    <t>洗衣服</t>
    <phoneticPr fontId="3" type="noConversion"/>
  </si>
  <si>
    <t>买餐巾纸</t>
    <phoneticPr fontId="3" type="noConversion"/>
  </si>
  <si>
    <t>校园卡充值</t>
    <phoneticPr fontId="3" type="noConversion"/>
  </si>
  <si>
    <t>网费</t>
    <phoneticPr fontId="3" type="noConversion"/>
  </si>
  <si>
    <t>洗澡</t>
    <phoneticPr fontId="3" type="noConversion"/>
  </si>
  <si>
    <t>文具</t>
    <phoneticPr fontId="3" type="noConversion"/>
  </si>
  <si>
    <t>生活用品</t>
    <phoneticPr fontId="3" type="noConversion"/>
  </si>
  <si>
    <t>买教材</t>
    <phoneticPr fontId="3" type="noConversion"/>
  </si>
  <si>
    <t>牛奶</t>
    <phoneticPr fontId="3" type="noConversion"/>
  </si>
  <si>
    <t>买uno</t>
    <phoneticPr fontId="3" type="noConversion"/>
  </si>
  <si>
    <t>校园卡充值</t>
    <phoneticPr fontId="3" type="noConversion"/>
  </si>
  <si>
    <t>班费</t>
    <phoneticPr fontId="3" type="noConversion"/>
  </si>
  <si>
    <t>买实验服钱</t>
    <phoneticPr fontId="3" type="noConversion"/>
  </si>
  <si>
    <t>支付宝转入</t>
    <phoneticPr fontId="3" type="noConversion"/>
  </si>
  <si>
    <t>洗衣服</t>
    <phoneticPr fontId="3" type="noConversion"/>
  </si>
  <si>
    <t>保险费</t>
    <phoneticPr fontId="3" type="noConversion"/>
  </si>
  <si>
    <t>打印费</t>
    <phoneticPr fontId="3" type="noConversion"/>
  </si>
  <si>
    <t>采访礼物</t>
    <phoneticPr fontId="3" type="noConversion"/>
  </si>
  <si>
    <t>午饭</t>
    <phoneticPr fontId="3" type="noConversion"/>
  </si>
  <si>
    <t>吃饭</t>
    <phoneticPr fontId="3" type="noConversion"/>
  </si>
  <si>
    <t>网费</t>
    <phoneticPr fontId="3" type="noConversion"/>
  </si>
  <si>
    <t>校园卡充值</t>
    <phoneticPr fontId="3" type="noConversion"/>
  </si>
  <si>
    <t>提现</t>
    <phoneticPr fontId="3" type="noConversion"/>
  </si>
  <si>
    <t>红包</t>
    <phoneticPr fontId="3" type="noConversion"/>
  </si>
  <si>
    <t>充值</t>
    <phoneticPr fontId="3" type="noConversion"/>
  </si>
  <si>
    <t>生活用品</t>
    <phoneticPr fontId="3" type="noConversion"/>
  </si>
  <si>
    <t>花呗红包</t>
    <phoneticPr fontId="3" type="noConversion"/>
  </si>
  <si>
    <t>洗衣服</t>
    <phoneticPr fontId="3" type="noConversion"/>
  </si>
  <si>
    <t>吃饭</t>
    <phoneticPr fontId="3" type="noConversion"/>
  </si>
  <si>
    <t>红包+转账</t>
    <phoneticPr fontId="3" type="noConversion"/>
  </si>
  <si>
    <t>兴趣、活动、购物</t>
    <phoneticPr fontId="3" type="noConversion"/>
  </si>
  <si>
    <t>10/22-10/28</t>
    <phoneticPr fontId="3" type="noConversion"/>
  </si>
  <si>
    <t>其他</t>
    <phoneticPr fontId="3" type="noConversion"/>
  </si>
  <si>
    <t>10/1-10/21</t>
    <phoneticPr fontId="3" type="noConversion"/>
  </si>
  <si>
    <t>吃饭</t>
    <phoneticPr fontId="3" type="noConversion"/>
  </si>
  <si>
    <t>洗澡</t>
    <phoneticPr fontId="3" type="noConversion"/>
  </si>
  <si>
    <t>8/27-9/30</t>
    <phoneticPr fontId="3" type="noConversion"/>
  </si>
  <si>
    <t>80押金</t>
    <phoneticPr fontId="3" type="noConversion"/>
  </si>
  <si>
    <t>车配件</t>
    <phoneticPr fontId="3" type="noConversion"/>
  </si>
  <si>
    <t>贷款</t>
    <phoneticPr fontId="3" type="noConversion"/>
  </si>
  <si>
    <t>买车</t>
    <phoneticPr fontId="3" type="noConversion"/>
  </si>
  <si>
    <t>妈妈转账</t>
    <phoneticPr fontId="3" type="noConversion"/>
  </si>
  <si>
    <t>转入支付宝</t>
    <phoneticPr fontId="3" type="noConversion"/>
  </si>
  <si>
    <t>微信充值</t>
    <phoneticPr fontId="3" type="noConversion"/>
  </si>
  <si>
    <t>吃饭</t>
    <phoneticPr fontId="3" type="noConversion"/>
  </si>
  <si>
    <t>误差</t>
    <phoneticPr fontId="3" type="noConversion"/>
  </si>
  <si>
    <t>校园卡充值</t>
    <phoneticPr fontId="3" type="noConversion"/>
  </si>
  <si>
    <t>8/27-9/30</t>
    <phoneticPr fontId="3" type="noConversion"/>
  </si>
  <si>
    <t>单车</t>
    <phoneticPr fontId="3" type="noConversion"/>
  </si>
  <si>
    <t>吃饭</t>
    <phoneticPr fontId="3" type="noConversion"/>
  </si>
  <si>
    <t>洗澡</t>
    <phoneticPr fontId="3" type="noConversion"/>
  </si>
  <si>
    <t>洗脚水</t>
    <phoneticPr fontId="3" type="noConversion"/>
  </si>
  <si>
    <t>充值</t>
    <phoneticPr fontId="3" type="noConversion"/>
  </si>
  <si>
    <t>买零食</t>
    <phoneticPr fontId="3" type="noConversion"/>
  </si>
  <si>
    <t>买工具</t>
    <phoneticPr fontId="3" type="noConversion"/>
  </si>
  <si>
    <t>用单车</t>
    <phoneticPr fontId="3" type="noConversion"/>
  </si>
  <si>
    <t>吃饭</t>
    <phoneticPr fontId="3" type="noConversion"/>
  </si>
  <si>
    <t>食物</t>
    <phoneticPr fontId="3" type="noConversion"/>
  </si>
  <si>
    <t>打印</t>
    <phoneticPr fontId="3" type="noConversion"/>
  </si>
  <si>
    <t>学校转账</t>
    <phoneticPr fontId="3" type="noConversion"/>
  </si>
  <si>
    <t>买车协队服</t>
    <phoneticPr fontId="3" type="noConversion"/>
  </si>
  <si>
    <t>充值校园卡</t>
    <phoneticPr fontId="3" type="noConversion"/>
  </si>
  <si>
    <t>校园卡充值</t>
    <phoneticPr fontId="3" type="noConversion"/>
  </si>
  <si>
    <t>10/29-11/4</t>
    <phoneticPr fontId="3" type="noConversion"/>
  </si>
  <si>
    <t>10/29-11/4</t>
    <phoneticPr fontId="3" type="noConversion"/>
  </si>
  <si>
    <t>日语培训</t>
    <phoneticPr fontId="3" type="noConversion"/>
  </si>
  <si>
    <t>洗衣服</t>
    <phoneticPr fontId="3" type="noConversion"/>
  </si>
  <si>
    <t>校园卡充值</t>
    <phoneticPr fontId="3" type="noConversion"/>
  </si>
  <si>
    <t>晚饭</t>
    <phoneticPr fontId="3" type="noConversion"/>
  </si>
  <si>
    <t>吃饭</t>
    <phoneticPr fontId="3" type="noConversion"/>
  </si>
  <si>
    <t>零食</t>
    <phoneticPr fontId="3" type="noConversion"/>
  </si>
  <si>
    <t>学习用品</t>
    <phoneticPr fontId="3" type="noConversion"/>
  </si>
  <si>
    <t>红包</t>
    <phoneticPr fontId="3" type="noConversion"/>
  </si>
  <si>
    <t>吃饭</t>
    <phoneticPr fontId="3" type="noConversion"/>
  </si>
  <si>
    <t>吃饭</t>
    <phoneticPr fontId="3" type="noConversion"/>
  </si>
  <si>
    <t>洗澡</t>
    <phoneticPr fontId="3" type="noConversion"/>
  </si>
  <si>
    <t>修车</t>
    <phoneticPr fontId="3" type="noConversion"/>
  </si>
  <si>
    <t>充饭卡</t>
    <phoneticPr fontId="3" type="noConversion"/>
  </si>
  <si>
    <t>中晚饭</t>
    <phoneticPr fontId="3" type="noConversion"/>
  </si>
  <si>
    <t>会帽</t>
    <phoneticPr fontId="3" type="noConversion"/>
  </si>
  <si>
    <t>吃饭</t>
    <phoneticPr fontId="3" type="noConversion"/>
  </si>
  <si>
    <t>网费</t>
    <phoneticPr fontId="3" type="noConversion"/>
  </si>
  <si>
    <t>洗衣服</t>
    <phoneticPr fontId="3" type="noConversion"/>
  </si>
  <si>
    <t>打印</t>
    <phoneticPr fontId="3" type="noConversion"/>
  </si>
  <si>
    <t>零食</t>
    <phoneticPr fontId="3" type="noConversion"/>
  </si>
  <si>
    <t>文具</t>
    <phoneticPr fontId="3" type="noConversion"/>
  </si>
  <si>
    <t>红包</t>
    <phoneticPr fontId="3" type="noConversion"/>
  </si>
  <si>
    <t>下午茶</t>
    <phoneticPr fontId="3" type="noConversion"/>
  </si>
  <si>
    <t>红包</t>
    <phoneticPr fontId="3" type="noConversion"/>
  </si>
  <si>
    <t>吃饭</t>
    <phoneticPr fontId="3" type="noConversion"/>
  </si>
  <si>
    <t>发红包</t>
    <phoneticPr fontId="3" type="noConversion"/>
  </si>
  <si>
    <t>班费</t>
    <phoneticPr fontId="3" type="noConversion"/>
  </si>
  <si>
    <t>吃饭</t>
    <phoneticPr fontId="3" type="noConversion"/>
  </si>
  <si>
    <t>洗衣服</t>
    <phoneticPr fontId="3" type="noConversion"/>
  </si>
  <si>
    <t>红包</t>
    <phoneticPr fontId="3" type="noConversion"/>
  </si>
  <si>
    <t>晚饭</t>
    <phoneticPr fontId="3" type="noConversion"/>
  </si>
  <si>
    <t>喝水</t>
    <phoneticPr fontId="3" type="noConversion"/>
  </si>
  <si>
    <t>11/5-11/12</t>
    <phoneticPr fontId="3" type="noConversion"/>
  </si>
  <si>
    <t>11/13-11/18</t>
    <phoneticPr fontId="3" type="noConversion"/>
  </si>
  <si>
    <t>妈妈转账</t>
    <phoneticPr fontId="3" type="noConversion"/>
  </si>
  <si>
    <t>校园卡充值</t>
    <phoneticPr fontId="3" type="noConversion"/>
  </si>
  <si>
    <t>昨日晚饭</t>
    <phoneticPr fontId="3" type="noConversion"/>
  </si>
  <si>
    <t>网费</t>
    <phoneticPr fontId="3" type="noConversion"/>
  </si>
  <si>
    <t>充饭卡</t>
    <phoneticPr fontId="3" type="noConversion"/>
  </si>
  <si>
    <t>红包</t>
    <phoneticPr fontId="3" type="noConversion"/>
  </si>
  <si>
    <t>吃饭</t>
    <phoneticPr fontId="3" type="noConversion"/>
  </si>
  <si>
    <t>买扳手</t>
    <phoneticPr fontId="3" type="noConversion"/>
  </si>
  <si>
    <t>还债</t>
    <phoneticPr fontId="3" type="noConversion"/>
  </si>
  <si>
    <t>提现</t>
    <phoneticPr fontId="3" type="noConversion"/>
  </si>
  <si>
    <t>转账</t>
    <phoneticPr fontId="3" type="noConversion"/>
  </si>
  <si>
    <t>彩铅</t>
    <phoneticPr fontId="3" type="noConversion"/>
  </si>
  <si>
    <t>红包</t>
    <phoneticPr fontId="3" type="noConversion"/>
  </si>
  <si>
    <t>食物</t>
    <phoneticPr fontId="3" type="noConversion"/>
  </si>
  <si>
    <t>吃饭</t>
    <phoneticPr fontId="3" type="noConversion"/>
  </si>
  <si>
    <t>返帐</t>
    <phoneticPr fontId="3" type="noConversion"/>
  </si>
  <si>
    <t>打印</t>
    <phoneticPr fontId="3" type="noConversion"/>
  </si>
  <si>
    <t>买马克笔</t>
    <phoneticPr fontId="3" type="noConversion"/>
  </si>
  <si>
    <t>网费</t>
    <phoneticPr fontId="3" type="noConversion"/>
  </si>
  <si>
    <t>流畅阅读</t>
    <phoneticPr fontId="3" type="noConversion"/>
  </si>
  <si>
    <t>琉璃阅读</t>
    <phoneticPr fontId="3" type="noConversion"/>
  </si>
  <si>
    <t>校园卡充值</t>
    <phoneticPr fontId="3" type="noConversion"/>
  </si>
  <si>
    <t>PPT</t>
    <phoneticPr fontId="3" type="noConversion"/>
  </si>
  <si>
    <t>提现</t>
    <phoneticPr fontId="3" type="noConversion"/>
  </si>
  <si>
    <t>食物</t>
    <phoneticPr fontId="3" type="noConversion"/>
  </si>
  <si>
    <t>红包</t>
    <phoneticPr fontId="3" type="noConversion"/>
  </si>
  <si>
    <t>买书</t>
    <phoneticPr fontId="3" type="noConversion"/>
  </si>
  <si>
    <t>转给微信</t>
    <phoneticPr fontId="3" type="noConversion"/>
  </si>
  <si>
    <t>充饭卡</t>
    <phoneticPr fontId="3" type="noConversion"/>
  </si>
  <si>
    <t>吃饭</t>
    <phoneticPr fontId="3" type="noConversion"/>
  </si>
  <si>
    <t>喝水</t>
    <phoneticPr fontId="3" type="noConversion"/>
  </si>
  <si>
    <t>买衣服</t>
    <phoneticPr fontId="3" type="noConversion"/>
  </si>
  <si>
    <t>校园卡充值</t>
    <phoneticPr fontId="3" type="noConversion"/>
  </si>
  <si>
    <t>班费</t>
    <phoneticPr fontId="3" type="noConversion"/>
  </si>
  <si>
    <t>零度</t>
    <phoneticPr fontId="3" type="noConversion"/>
  </si>
  <si>
    <t>微信转账</t>
    <phoneticPr fontId="3" type="noConversion"/>
  </si>
  <si>
    <t>打印</t>
    <phoneticPr fontId="3" type="noConversion"/>
  </si>
  <si>
    <t>洗澡</t>
    <phoneticPr fontId="3" type="noConversion"/>
  </si>
  <si>
    <t>吃饭</t>
    <phoneticPr fontId="3" type="noConversion"/>
  </si>
  <si>
    <t>食物</t>
    <phoneticPr fontId="3" type="noConversion"/>
  </si>
  <si>
    <t>吃饭</t>
    <phoneticPr fontId="3" type="noConversion"/>
  </si>
  <si>
    <t>红包</t>
    <phoneticPr fontId="3" type="noConversion"/>
  </si>
  <si>
    <t>交通</t>
    <phoneticPr fontId="3" type="noConversion"/>
  </si>
  <si>
    <t>吃饭</t>
    <phoneticPr fontId="3" type="noConversion"/>
  </si>
  <si>
    <t>误差</t>
    <phoneticPr fontId="3" type="noConversion"/>
  </si>
  <si>
    <t>11/19-11/25</t>
    <phoneticPr fontId="3" type="noConversion"/>
  </si>
  <si>
    <t>11/26-12/2</t>
    <phoneticPr fontId="3" type="noConversion"/>
  </si>
  <si>
    <t>微信提现</t>
    <phoneticPr fontId="3" type="noConversion"/>
  </si>
  <si>
    <t>自然之友月捐</t>
    <phoneticPr fontId="3" type="noConversion"/>
  </si>
  <si>
    <t>红包1</t>
    <phoneticPr fontId="3" type="noConversion"/>
  </si>
  <si>
    <t>公交</t>
    <phoneticPr fontId="3" type="noConversion"/>
  </si>
  <si>
    <t>余额充值</t>
    <phoneticPr fontId="3" type="noConversion"/>
  </si>
  <si>
    <t>加绒头巾</t>
    <phoneticPr fontId="3" type="noConversion"/>
  </si>
  <si>
    <t>晚饭</t>
    <phoneticPr fontId="3" type="noConversion"/>
  </si>
  <si>
    <t>红包</t>
    <phoneticPr fontId="3" type="noConversion"/>
  </si>
  <si>
    <t>食物</t>
    <phoneticPr fontId="3" type="noConversion"/>
  </si>
  <si>
    <t>提现</t>
    <phoneticPr fontId="3" type="noConversion"/>
  </si>
  <si>
    <t>洗澡</t>
    <phoneticPr fontId="3" type="noConversion"/>
  </si>
  <si>
    <t>洗衣服</t>
    <phoneticPr fontId="3" type="noConversion"/>
  </si>
  <si>
    <t>校园卡充值</t>
    <phoneticPr fontId="3" type="noConversion"/>
  </si>
  <si>
    <t>还款</t>
    <phoneticPr fontId="3" type="noConversion"/>
  </si>
  <si>
    <t>吃饭</t>
    <phoneticPr fontId="3" type="noConversion"/>
  </si>
  <si>
    <t>买螺母</t>
    <phoneticPr fontId="3" type="noConversion"/>
  </si>
  <si>
    <t>饭卡转账</t>
    <phoneticPr fontId="3" type="noConversion"/>
  </si>
  <si>
    <t>耳机</t>
    <phoneticPr fontId="3" type="noConversion"/>
  </si>
  <si>
    <t>退款</t>
    <phoneticPr fontId="3" type="noConversion"/>
  </si>
  <si>
    <t>arduino</t>
    <phoneticPr fontId="3" type="noConversion"/>
  </si>
  <si>
    <t>吃饭</t>
  </si>
  <si>
    <t>郭天祥单片机</t>
    <phoneticPr fontId="3" type="noConversion"/>
  </si>
  <si>
    <t>面包版</t>
    <phoneticPr fontId="3" type="noConversion"/>
  </si>
  <si>
    <t>内裤</t>
    <phoneticPr fontId="3" type="noConversion"/>
  </si>
  <si>
    <t>电池</t>
    <phoneticPr fontId="3" type="noConversion"/>
  </si>
  <si>
    <t>变现</t>
    <phoneticPr fontId="3" type="noConversion"/>
  </si>
  <si>
    <t>螺丝刀</t>
    <phoneticPr fontId="3" type="noConversion"/>
  </si>
  <si>
    <t>冬训</t>
    <phoneticPr fontId="3" type="noConversion"/>
  </si>
  <si>
    <t>圣诞红包</t>
    <phoneticPr fontId="3" type="noConversion"/>
  </si>
  <si>
    <t>12/3-12/26</t>
    <phoneticPr fontId="3" type="noConversion"/>
  </si>
  <si>
    <t>总账</t>
    <phoneticPr fontId="3" type="noConversion"/>
  </si>
  <si>
    <t>12/3-12/26</t>
    <phoneticPr fontId="3" type="noConversion"/>
  </si>
  <si>
    <t>日期</t>
    <phoneticPr fontId="3" type="noConversion"/>
  </si>
  <si>
    <t>早餐</t>
    <phoneticPr fontId="3" type="noConversion"/>
  </si>
  <si>
    <t>中餐</t>
    <phoneticPr fontId="3" type="noConversion"/>
  </si>
  <si>
    <t>洗衣洗澡</t>
    <phoneticPr fontId="3" type="noConversion"/>
  </si>
  <si>
    <t>骑行活动</t>
    <phoneticPr fontId="3" type="noConversion"/>
  </si>
  <si>
    <t>月薪</t>
    <phoneticPr fontId="3" type="noConversion"/>
  </si>
  <si>
    <t>资产</t>
    <phoneticPr fontId="3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</si>
  <si>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</si>
  <si>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</si>
  <si>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</si>
  <si>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</si>
  <si>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</si>
  <si>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</si>
  <si>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</si>
  <si>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核算</t>
    <phoneticPr fontId="3" type="noConversion"/>
  </si>
  <si>
    <t>星期五</t>
    <phoneticPr fontId="3" type="noConversion"/>
  </si>
  <si>
    <t>公共交通</t>
    <phoneticPr fontId="3" type="noConversion"/>
  </si>
  <si>
    <t>花呗</t>
    <phoneticPr fontId="3" type="noConversion"/>
  </si>
  <si>
    <t>其他收入</t>
    <phoneticPr fontId="3" type="noConversion"/>
  </si>
  <si>
    <t>其他支出</t>
    <phoneticPr fontId="3" type="noConversion"/>
  </si>
  <si>
    <t>差额</t>
    <phoneticPr fontId="3" type="noConversion"/>
  </si>
  <si>
    <t>红包&amp;利息</t>
    <phoneticPr fontId="3" type="noConversion"/>
  </si>
  <si>
    <t>星期</t>
    <phoneticPr fontId="3" type="noConversion"/>
  </si>
  <si>
    <t>花销</t>
    <phoneticPr fontId="3" type="noConversion"/>
  </si>
  <si>
    <t>周</t>
    <phoneticPr fontId="3" type="noConversion"/>
  </si>
  <si>
    <t>行标签</t>
  </si>
  <si>
    <t>总计</t>
  </si>
  <si>
    <t>平均值项:早餐</t>
  </si>
  <si>
    <t>平均值项:中餐</t>
  </si>
  <si>
    <t>平均值项:晚餐</t>
  </si>
  <si>
    <t>求和项:差额</t>
  </si>
  <si>
    <t>求和项:骑行占比</t>
  </si>
  <si>
    <t>求和项:三餐占比</t>
  </si>
  <si>
    <t>(空白)</t>
  </si>
  <si>
    <t>求和项:其他支出</t>
  </si>
  <si>
    <t>求和项:骑行活动</t>
  </si>
  <si>
    <t>其他支出占比</t>
  </si>
  <si>
    <t>星期二</t>
    <phoneticPr fontId="3" type="noConversion"/>
  </si>
  <si>
    <t>漂流</t>
    <phoneticPr fontId="3" type="noConversion"/>
  </si>
  <si>
    <t>泳裤</t>
    <phoneticPr fontId="3" type="noConversion"/>
  </si>
  <si>
    <t>往返火车</t>
    <phoneticPr fontId="3" type="noConversion"/>
  </si>
  <si>
    <t>买照片</t>
    <phoneticPr fontId="3" type="noConversion"/>
  </si>
  <si>
    <t>伙食</t>
    <phoneticPr fontId="3" type="noConversion"/>
  </si>
  <si>
    <t>住宿</t>
    <phoneticPr fontId="3" type="noConversion"/>
  </si>
  <si>
    <t>总计</t>
    <phoneticPr fontId="3" type="noConversion"/>
  </si>
  <si>
    <t>车票</t>
    <phoneticPr fontId="3" type="noConversion"/>
  </si>
  <si>
    <t>的士</t>
    <phoneticPr fontId="3" type="noConversion"/>
  </si>
  <si>
    <t>地铁</t>
    <phoneticPr fontId="3" type="noConversion"/>
  </si>
  <si>
    <t>采购</t>
    <phoneticPr fontId="3" type="noConversion"/>
  </si>
  <si>
    <t>第十</t>
    <phoneticPr fontId="3" type="noConversion"/>
  </si>
  <si>
    <t>请客</t>
    <phoneticPr fontId="3" type="noConversion"/>
  </si>
  <si>
    <t>打的</t>
    <phoneticPr fontId="3" type="noConversion"/>
  </si>
  <si>
    <t>出发麦当劳</t>
    <phoneticPr fontId="3" type="noConversion"/>
  </si>
  <si>
    <t>最后天中餐</t>
    <phoneticPr fontId="3" type="noConversion"/>
  </si>
  <si>
    <t>装备</t>
    <phoneticPr fontId="3" type="noConversion"/>
  </si>
  <si>
    <t>买药</t>
    <phoneticPr fontId="3" type="noConversion"/>
  </si>
  <si>
    <t>杂七杂八</t>
    <phoneticPr fontId="3" type="noConversion"/>
  </si>
  <si>
    <t>开销</t>
    <phoneticPr fontId="3" type="noConversion"/>
  </si>
  <si>
    <t>星期三</t>
    <phoneticPr fontId="3" type="noConversion"/>
  </si>
  <si>
    <t>收入</t>
    <phoneticPr fontId="3" type="noConversion"/>
  </si>
  <si>
    <t>可用资产</t>
    <phoneticPr fontId="3" type="noConversion"/>
  </si>
  <si>
    <t>骑行</t>
    <phoneticPr fontId="3" type="noConversion"/>
  </si>
  <si>
    <t>报名费</t>
    <phoneticPr fontId="3" type="noConversion"/>
  </si>
  <si>
    <t>聚会</t>
    <phoneticPr fontId="3" type="noConversion"/>
  </si>
  <si>
    <t>星期四</t>
    <phoneticPr fontId="3" type="noConversion"/>
  </si>
  <si>
    <t>星期日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</si>
</sst>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6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8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12"/>
      <name val="Arial"/>
      <family val="2"/>
    </font>
    <font>
      <sz val="12"/>
      <color rgb="FF000000"/>
      <name val="DengXian"/>
      <family val="4"/>
      <charset val="134"/>
      <scheme val="minor"/>
    </font>
    <font>
      <sz val="12"/>
      <color theme="0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0" tint="-0.249977111117893"/>
      <name val="DengXian"/>
      <charset val="134"/>
      <scheme val="minor"/>
    </font>
    <font>
      <sz val="12"/>
      <color theme="0" tint="-0.249977111117893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b/>
      <sz val="12"/>
      <name val="DengXian"/>
      <charset val="134"/>
      <scheme val="minor"/>
    </font>
    <font>
      <sz val="12"/>
      <name val="DengXian"/>
      <charset val="134"/>
      <scheme val="minor"/>
    </font>
    <font>
      <sz val="11"/>
      <name val="DengXian"/>
      <charset val="134"/>
      <scheme val="minor"/>
    </font>
    <font>
      <sz val="12"/>
      <color theme="1"/>
      <name val="DengXian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9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49" fontId="4" fillId="0" borderId="0" xfId="0" applyNumberFormat="1" applyFont="1"/>
    <xf numFmtId="0" fontId="0" fillId="7" borderId="0" xfId="0" applyFill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8" borderId="0" xfId="0" applyFill="1"/>
    <xf numFmtId="0" fontId="7" fillId="0" borderId="0" xfId="0" applyFont="1"/>
    <xf numFmtId="0" fontId="8" fillId="0" borderId="0" xfId="0" applyFont="1"/>
    <xf numFmtId="0" fontId="9" fillId="9" borderId="0" xfId="0" applyFont="1" applyFill="1"/>
    <xf numFmtId="0" fontId="0" fillId="0" borderId="0" xfId="0" applyAlignment="1">
      <alignment horizontal="center"/>
    </xf>
    <xf numFmtId="0" fontId="10" fillId="0" borderId="0" xfId="0" applyFont="1" applyAlignment="1">
      <alignment horizontal="left" vertical="center"/>
    </xf>
    <xf numFmtId="58" fontId="10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11" fillId="0" borderId="2" xfId="0" applyFont="1" applyBorder="1"/>
    <xf numFmtId="0" fontId="11" fillId="10" borderId="0" xfId="0" applyFont="1" applyFill="1"/>
    <xf numFmtId="0" fontId="9" fillId="9" borderId="0" xfId="0" applyFont="1" applyFill="1" applyAlignment="1">
      <alignment horizontal="center"/>
    </xf>
    <xf numFmtId="0" fontId="12" fillId="9" borderId="0" xfId="0" applyFont="1" applyFill="1"/>
    <xf numFmtId="176" fontId="0" fillId="0" borderId="0" xfId="0" applyNumberFormat="1"/>
    <xf numFmtId="0" fontId="13" fillId="0" borderId="0" xfId="0" applyFont="1"/>
    <xf numFmtId="0" fontId="14" fillId="12" borderId="0" xfId="0" applyFont="1" applyFill="1"/>
    <xf numFmtId="0" fontId="15" fillId="15" borderId="0" xfId="0" applyFont="1" applyFill="1"/>
    <xf numFmtId="0" fontId="14" fillId="13" borderId="0" xfId="0" applyFont="1" applyFill="1"/>
    <xf numFmtId="0" fontId="15" fillId="9" borderId="0" xfId="0" applyFont="1" applyFill="1"/>
    <xf numFmtId="0" fontId="14" fillId="11" borderId="0" xfId="0" applyFont="1" applyFill="1"/>
    <xf numFmtId="0" fontId="14" fillId="14" borderId="0" xfId="0" applyFont="1" applyFill="1"/>
    <xf numFmtId="14" fontId="14" fillId="0" borderId="0" xfId="0" applyNumberFormat="1" applyFont="1"/>
    <xf numFmtId="176" fontId="14" fillId="0" borderId="0" xfId="0" applyNumberFormat="1" applyFont="1"/>
    <xf numFmtId="0" fontId="8" fillId="0" borderId="0" xfId="0" applyFont="1" applyAlignment="1">
      <alignment horizontal="left"/>
    </xf>
    <xf numFmtId="0" fontId="16" fillId="12" borderId="0" xfId="0" applyFont="1" applyFill="1"/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177" fontId="0" fillId="0" borderId="0" xfId="0" applyNumberFormat="1"/>
    <xf numFmtId="10" fontId="0" fillId="0" borderId="0" xfId="0" applyNumberFormat="1"/>
    <xf numFmtId="9" fontId="0" fillId="0" borderId="0" xfId="0" applyNumberFormat="1"/>
    <xf numFmtId="176" fontId="13" fillId="0" borderId="0" xfId="0" applyNumberFormat="1" applyFont="1"/>
    <xf numFmtId="0" fontId="17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/>
    <xf numFmtId="176" fontId="18" fillId="0" borderId="0" xfId="0" applyNumberFormat="1" applyFont="1"/>
    <xf numFmtId="0" fontId="19" fillId="0" borderId="0" xfId="0" applyFont="1"/>
    <xf numFmtId="0" fontId="20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0" fillId="12" borderId="0" xfId="0" applyFont="1" applyFill="1"/>
    <xf numFmtId="0" fontId="21" fillId="15" borderId="0" xfId="0" applyFont="1" applyFill="1"/>
    <xf numFmtId="0" fontId="20" fillId="13" borderId="0" xfId="0" applyFont="1" applyFill="1"/>
    <xf numFmtId="0" fontId="21" fillId="9" borderId="0" xfId="0" applyFont="1" applyFill="1"/>
    <xf numFmtId="0" fontId="20" fillId="11" borderId="0" xfId="0" applyFont="1" applyFill="1"/>
    <xf numFmtId="0" fontId="20" fillId="14" borderId="0" xfId="0" applyFont="1" applyFill="1"/>
    <xf numFmtId="0" fontId="22" fillId="0" borderId="0" xfId="0" applyFont="1" applyAlignment="1">
      <alignment horizontal="left"/>
    </xf>
    <xf numFmtId="0" fontId="21" fillId="16" borderId="0" xfId="0" applyFont="1" applyFill="1"/>
    <xf numFmtId="0" fontId="21" fillId="14" borderId="0" xfId="0" applyFont="1" applyFill="1"/>
    <xf numFmtId="0" fontId="14" fillId="0" borderId="0" xfId="0" applyFont="1" applyFill="1"/>
    <xf numFmtId="0" fontId="24" fillId="0" borderId="0" xfId="0" applyFont="1"/>
    <xf numFmtId="0" fontId="24" fillId="0" borderId="0" xfId="0" applyFont="1" applyFill="1"/>
    <xf numFmtId="0" fontId="23" fillId="0" borderId="0" xfId="0" applyFont="1"/>
    <xf numFmtId="0" fontId="25" fillId="0" borderId="0" xfId="0" applyFont="1"/>
    <xf numFmtId="176" fontId="1" fillId="0" borderId="0" xfId="0" applyNumberFormat="1" applyFont="1"/>
    <xf numFmtId="0" fontId="0" fillId="0" borderId="1" xfId="0" applyBorder="1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Medium7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'2018-2019秋总账'!$J$1</c:f>
              <c:strCache>
                <c:ptCount val="1"/>
                <c:pt idx="0">
                  <c:v>总账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33-B64E-B366-E3B43ADCB7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33-B64E-B366-E3B43ADCB7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33-B64E-B366-E3B43ADCB7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33-B64E-B366-E3B43ADCB7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33-B64E-B366-E3B43ADCB70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'2018-2019秋总账'!$A$2:$A$8</c15:sqref>
                  </c15:fullRef>
                </c:ext>
              </c:extLst>
              <c:f>'2018-2019秋总账'!$A$2:$A$6</c:f>
              <c:strCache>
                <c:ptCount val="5"/>
                <c:pt idx="0">
                  <c:v>生活用品</c:v>
                </c:pt>
                <c:pt idx="1">
                  <c:v>学习用品</c:v>
                </c:pt>
                <c:pt idx="2">
                  <c:v>吃喝</c:v>
                </c:pt>
                <c:pt idx="3">
                  <c:v>洗衣洗澡</c:v>
                </c:pt>
                <c:pt idx="4">
                  <c:v>兴趣、活动、购物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'2018-2019秋总账'!$J$2:$J$8</c15:sqref>
                  </c15:fullRef>
                </c:ext>
              </c:extLst>
              <c:f>'2018-2019秋总账'!$J$2:$J$6</c:f>
              <c:numCache>
                <c:formatCode>General</c:formatCode>
                <c:ptCount val="5"/>
                <c:pt idx="0">
                  <c:v>-920.67999999999984</c:v>
                </c:pt>
                <c:pt idx="1">
                  <c:v>-1247.18</c:v>
                </c:pt>
                <c:pt idx="2">
                  <c:v>-2727.88</c:v>
                </c:pt>
                <c:pt idx="3">
                  <c:v>-128.21</c:v>
                </c:pt>
                <c:pt idx="4">
                  <c:v>-1756.8000000000002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3B8-4634-A240-8A6552EDC3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2519630468837"/>
          <c:y val="0.31927494400443346"/>
          <c:w val="0.23387336219039501"/>
          <c:h val="0.46297519261705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11</xdr:row>
      <xdr:rowOff>38099</xdr:rowOff>
    </xdr:from>
    <xdr:to>
      <xdr:col>8</xdr:col>
      <xdr:colOff>214312</xdr:colOff>
      <xdr:row>27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6B302D-EF67-4FFB-82BA-FD6578F70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沈拙言" refreshedDate="43591.986397800923" createdVersion="6" refreshedVersion="6" minRefreshableVersion="3" recordCount="81" xr:uid="{868B0BCD-3702-4032-925F-3BD1D6634B89}">
  <cacheSource type="worksheet">
    <worksheetSource ref="A1:Y1048576" sheet="2018-2019春账单"/>
  </cacheSource>
  <cacheFields count="28">
    <cacheField name="周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日期" numFmtId="0">
      <sharedItems containsNonDate="0" containsDate="1" containsString="0" containsBlank="1" minDate="2018-02-22T00:00:00" maxDate="2018-05-13T00:00:00"/>
    </cacheField>
    <cacheField name="星期" numFmtId="0">
      <sharedItems containsBlank="1" count="8">
        <s v="星期五"/>
        <s v="星期六"/>
        <s v="星期日"/>
        <s v="星期一"/>
        <s v="星期二"/>
        <s v="星期三"/>
        <s v="星期四"/>
        <m/>
      </sharedItems>
    </cacheField>
    <cacheField name="生活用品" numFmtId="0">
      <sharedItems containsString="0" containsBlank="1" containsNumber="1" minValue="4.5" maxValue="199"/>
    </cacheField>
    <cacheField name="学习用品" numFmtId="0">
      <sharedItems containsString="0" containsBlank="1" containsNumber="1" minValue="0.2" maxValue="376"/>
    </cacheField>
    <cacheField name="早餐" numFmtId="0">
      <sharedItems containsString="0" containsBlank="1" containsNumber="1" minValue="0" maxValue="10"/>
    </cacheField>
    <cacheField name="中餐" numFmtId="0">
      <sharedItems containsString="0" containsBlank="1" containsNumber="1" minValue="0" maxValue="13"/>
    </cacheField>
    <cacheField name="晚餐" numFmtId="0">
      <sharedItems containsString="0" containsBlank="1" containsNumber="1" minValue="0" maxValue="68.52"/>
    </cacheField>
    <cacheField name="喝水" numFmtId="0">
      <sharedItems containsString="0" containsBlank="1" containsNumber="1" minValue="0" maxValue="2"/>
    </cacheField>
    <cacheField name="洗衣洗澡" numFmtId="0">
      <sharedItems containsString="0" containsBlank="1" containsNumber="1" minValue="0.81" maxValue="5.26"/>
    </cacheField>
    <cacheField name="公共交通" numFmtId="0">
      <sharedItems containsString="0" containsBlank="1" containsNumber="1" containsInteger="1" minValue="1" maxValue="4"/>
    </cacheField>
    <cacheField name="骑行活动" numFmtId="0">
      <sharedItems containsString="0" containsBlank="1" containsNumber="1" minValue="5" maxValue="1200"/>
    </cacheField>
    <cacheField name="其他支出" numFmtId="0">
      <sharedItems containsString="0" containsBlank="1" containsNumber="1" minValue="0.1" maxValue="167.6"/>
    </cacheField>
    <cacheField name="差额" numFmtId="0">
      <sharedItems containsString="0" containsBlank="1" containsNumber="1" minValue="-2.5" maxValue="5"/>
    </cacheField>
    <cacheField name="红包&amp;利息" numFmtId="0">
      <sharedItems containsString="0" containsBlank="1" containsNumber="1" minValue="-700.01" maxValue="-0.01"/>
    </cacheField>
    <cacheField name="月薪" numFmtId="0">
      <sharedItems containsString="0" containsBlank="1" containsNumber="1" containsInteger="1" minValue="-500" maxValue="-60"/>
    </cacheField>
    <cacheField name="其他收入" numFmtId="0">
      <sharedItems containsString="0" containsBlank="1" containsNumber="1" minValue="-60" maxValue="0.61"/>
    </cacheField>
    <cacheField name="资产" numFmtId="176">
      <sharedItems containsString="0" containsBlank="1" containsNumber="1" minValue="0" maxValue="2157.4499999999998"/>
    </cacheField>
    <cacheField name="支付宝" numFmtId="0">
      <sharedItems containsString="0" containsBlank="1" containsNumber="1" minValue="107.1" maxValue="343.21"/>
    </cacheField>
    <cacheField name="花呗" numFmtId="0">
      <sharedItems containsString="0" containsBlank="1" containsNumber="1" minValue="-428.99" maxValue="-21.8"/>
    </cacheField>
    <cacheField name="微信" numFmtId="0">
      <sharedItems containsString="0" containsBlank="1" containsNumber="1" minValue="5.41" maxValue="776.27"/>
    </cacheField>
    <cacheField name="校园卡" numFmtId="0">
      <sharedItems containsString="0" containsBlank="1" containsNumber="1" minValue="3.52" maxValue="109.9"/>
    </cacheField>
    <cacheField name="银行卡" numFmtId="0">
      <sharedItems containsString="0" containsBlank="1" containsNumber="1" minValue="59.11" maxValue="1355.81"/>
    </cacheField>
    <cacheField name="核算" numFmtId="0">
      <sharedItems containsString="0" containsBlank="1" containsNumber="1" minValue="-401.92999999999995" maxValue="332.68"/>
    </cacheField>
    <cacheField name="花销" numFmtId="0">
      <sharedItems containsString="0" containsBlank="1" containsNumber="1" minValue="0" maxValue="1256.07"/>
    </cacheField>
    <cacheField name="骑行占比" numFmtId="0" formula="骑行活动/花销" databaseField="0"/>
    <cacheField name="三餐占比" numFmtId="0" formula=" (早餐+晚餐+中餐)/花销" databaseField="0"/>
    <cacheField name="字段1" numFmtId="0" formula="其他支出/花销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d v="2018-02-22T00:00:00"/>
    <x v="0"/>
    <m/>
    <m/>
    <n v="0"/>
    <n v="9"/>
    <n v="10"/>
    <n v="0.38"/>
    <m/>
    <n v="4"/>
    <m/>
    <m/>
    <m/>
    <m/>
    <m/>
    <m/>
    <n v="1753.92"/>
    <n v="254.96"/>
    <n v="-65.900000000000006"/>
    <n v="554.79"/>
    <n v="10.07"/>
    <n v="1000"/>
    <n v="0"/>
    <n v="23.38"/>
  </r>
  <r>
    <x v="0"/>
    <d v="2018-02-23T00:00:00"/>
    <x v="1"/>
    <m/>
    <n v="82.9"/>
    <n v="7.3"/>
    <n v="8"/>
    <n v="10"/>
    <n v="0.02"/>
    <n v="2.2200000000000002"/>
    <m/>
    <m/>
    <n v="12"/>
    <n v="-0.02"/>
    <m/>
    <m/>
    <n v="-9"/>
    <n v="1640.5"/>
    <n v="263.95999999999998"/>
    <n v="-148.80000000000001"/>
    <n v="442.79"/>
    <n v="82.55"/>
    <n v="1000"/>
    <n v="0"/>
    <n v="122.42"/>
  </r>
  <r>
    <x v="0"/>
    <d v="2018-02-24T00:00:00"/>
    <x v="2"/>
    <m/>
    <n v="104.7"/>
    <n v="6.4"/>
    <n v="10"/>
    <n v="40"/>
    <n v="0.1"/>
    <m/>
    <m/>
    <m/>
    <n v="15"/>
    <n v="-0.1"/>
    <n v="-0.1"/>
    <m/>
    <m/>
    <n v="1464.5"/>
    <n v="263.95999999999998"/>
    <n v="-163.69999999999999"/>
    <n v="298.08999999999997"/>
    <n v="66.150000000000006"/>
    <n v="1000"/>
    <n v="0"/>
    <n v="176.10000000000002"/>
  </r>
  <r>
    <x v="1"/>
    <d v="2018-02-25T00:00:00"/>
    <x v="3"/>
    <m/>
    <n v="75.8"/>
    <n v="4.8"/>
    <n v="10"/>
    <n v="11.25"/>
    <n v="0.14000000000000001"/>
    <m/>
    <m/>
    <m/>
    <m/>
    <n v="-0.02"/>
    <m/>
    <m/>
    <n v="-13.5"/>
    <n v="1376.03"/>
    <n v="213.36"/>
    <n v="-188.9"/>
    <n v="311.58999999999997"/>
    <n v="39.979999999999997"/>
    <n v="1000"/>
    <n v="0"/>
    <n v="101.97"/>
  </r>
  <r>
    <x v="1"/>
    <d v="2018-02-26T00:00:00"/>
    <x v="4"/>
    <n v="5"/>
    <n v="0.9"/>
    <n v="6"/>
    <n v="8"/>
    <n v="10"/>
    <n v="2"/>
    <m/>
    <m/>
    <m/>
    <n v="0.1"/>
    <m/>
    <m/>
    <m/>
    <m/>
    <n v="1344.03"/>
    <n v="213.36"/>
    <n v="-195.9"/>
    <n v="310.69"/>
    <n v="15.88"/>
    <n v="1000"/>
    <n v="0"/>
    <n v="32"/>
  </r>
  <r>
    <x v="1"/>
    <d v="2018-02-27T00:00:00"/>
    <x v="5"/>
    <m/>
    <m/>
    <n v="8"/>
    <n v="8"/>
    <n v="10.25"/>
    <n v="0.52"/>
    <m/>
    <m/>
    <m/>
    <n v="50"/>
    <n v="-0.1"/>
    <n v="-0.02"/>
    <m/>
    <m/>
    <n v="1267.3800000000001"/>
    <n v="213.38"/>
    <n v="-195.9"/>
    <n v="160.69"/>
    <n v="89.21"/>
    <n v="1000"/>
    <n v="0"/>
    <n v="76.67"/>
  </r>
  <r>
    <x v="1"/>
    <d v="2018-02-28T00:00:00"/>
    <x v="6"/>
    <m/>
    <m/>
    <n v="6.3"/>
    <n v="9"/>
    <n v="10.5"/>
    <n v="0.02"/>
    <n v="1.88"/>
    <m/>
    <m/>
    <m/>
    <n v="0.02"/>
    <n v="-0.02"/>
    <n v="-500"/>
    <m/>
    <n v="1739.68"/>
    <n v="213.4"/>
    <n v="-195.9"/>
    <n v="660.69"/>
    <n v="61.49"/>
    <n v="1000"/>
    <n v="0"/>
    <n v="27.72"/>
  </r>
  <r>
    <x v="1"/>
    <d v="2018-03-01T00:00:00"/>
    <x v="0"/>
    <m/>
    <m/>
    <n v="7.1"/>
    <n v="8"/>
    <n v="8.5"/>
    <n v="0.16"/>
    <n v="3"/>
    <m/>
    <m/>
    <m/>
    <n v="-0.08"/>
    <n v="-0.02"/>
    <m/>
    <m/>
    <n v="1713.02"/>
    <n v="210.42"/>
    <n v="-195.9"/>
    <n v="660.69"/>
    <n v="37.81"/>
    <n v="1000"/>
    <n v="0"/>
    <n v="26.680000000000003"/>
  </r>
  <r>
    <x v="1"/>
    <d v="2018-03-02T00:00:00"/>
    <x v="1"/>
    <m/>
    <m/>
    <n v="3.9"/>
    <n v="10"/>
    <n v="8.75"/>
    <n v="0.14000000000000001"/>
    <m/>
    <m/>
    <m/>
    <m/>
    <n v="-0.12"/>
    <n v="-0.02"/>
    <m/>
    <m/>
    <n v="1690.37"/>
    <n v="210.44"/>
    <n v="-195.9"/>
    <n v="660.69"/>
    <n v="15.14"/>
    <n v="1000"/>
    <n v="0"/>
    <n v="22.669999999999998"/>
  </r>
  <r>
    <x v="1"/>
    <d v="2018-03-03T00:00:00"/>
    <x v="2"/>
    <m/>
    <m/>
    <n v="9"/>
    <n v="8"/>
    <n v="7.25"/>
    <n v="0.14000000000000001"/>
    <m/>
    <m/>
    <m/>
    <m/>
    <m/>
    <n v="-0.02"/>
    <m/>
    <m/>
    <n v="1666"/>
    <n v="210.46"/>
    <n v="-195.9"/>
    <n v="560.69000000000005"/>
    <n v="90.75"/>
    <n v="1000"/>
    <n v="0"/>
    <n v="24.39"/>
  </r>
  <r>
    <x v="2"/>
    <d v="2018-03-04T00:00:00"/>
    <x v="3"/>
    <m/>
    <m/>
    <n v="4.4000000000000004"/>
    <n v="8"/>
    <n v="10"/>
    <n v="0.08"/>
    <m/>
    <m/>
    <m/>
    <m/>
    <m/>
    <n v="-0.02"/>
    <m/>
    <m/>
    <n v="1643.54"/>
    <n v="210.48"/>
    <n v="-195.9"/>
    <n v="560.69000000000005"/>
    <n v="68.27"/>
    <n v="1000"/>
    <n v="0"/>
    <n v="22.479999999999997"/>
  </r>
  <r>
    <x v="2"/>
    <d v="2018-03-05T00:00:00"/>
    <x v="4"/>
    <m/>
    <m/>
    <n v="6.7"/>
    <n v="8"/>
    <n v="9"/>
    <n v="0.12"/>
    <m/>
    <m/>
    <m/>
    <m/>
    <n v="-0.1"/>
    <n v="-0.02"/>
    <m/>
    <n v="0.61"/>
    <n v="1619.23"/>
    <n v="210.5"/>
    <n v="-195.9"/>
    <n v="560.69000000000005"/>
    <n v="43.94"/>
    <n v="1000"/>
    <n v="0"/>
    <n v="23.72"/>
  </r>
  <r>
    <x v="2"/>
    <d v="2018-03-06T00:00:00"/>
    <x v="5"/>
    <n v="15"/>
    <m/>
    <n v="6"/>
    <n v="10"/>
    <n v="9"/>
    <n v="0.1"/>
    <n v="5.26"/>
    <m/>
    <m/>
    <n v="1"/>
    <n v="-0.06"/>
    <n v="-0.02"/>
    <n v="-60"/>
    <m/>
    <n v="1632.95"/>
    <n v="207.52"/>
    <n v="-195.9"/>
    <n v="545.69000000000005"/>
    <n v="16.64"/>
    <n v="1059"/>
    <n v="0"/>
    <n v="46.3"/>
  </r>
  <r>
    <x v="2"/>
    <d v="2018-03-07T00:00:00"/>
    <x v="6"/>
    <n v="45"/>
    <m/>
    <n v="4.5999999999999996"/>
    <n v="10"/>
    <n v="9"/>
    <n v="0.12"/>
    <m/>
    <m/>
    <m/>
    <m/>
    <n v="-0.06"/>
    <n v="-0.01"/>
    <m/>
    <m/>
    <n v="1564.3"/>
    <n v="207.53"/>
    <n v="-195.9"/>
    <n v="445.69"/>
    <n v="92.98"/>
    <n v="1014"/>
    <n v="0"/>
    <n v="68.66"/>
  </r>
  <r>
    <x v="2"/>
    <d v="2018-03-08T00:00:00"/>
    <x v="0"/>
    <m/>
    <m/>
    <n v="6"/>
    <n v="8"/>
    <n v="6"/>
    <n v="0.08"/>
    <m/>
    <m/>
    <m/>
    <m/>
    <n v="-0.04"/>
    <n v="-0.01"/>
    <m/>
    <m/>
    <n v="1544.27"/>
    <n v="207.54"/>
    <n v="-195.9"/>
    <n v="445.69"/>
    <n v="72.94"/>
    <n v="1014"/>
    <n v="0"/>
    <n v="20.04"/>
  </r>
  <r>
    <x v="2"/>
    <d v="2018-03-09T00:00:00"/>
    <x v="1"/>
    <m/>
    <m/>
    <n v="0"/>
    <n v="9"/>
    <n v="9"/>
    <n v="0.22"/>
    <m/>
    <m/>
    <m/>
    <m/>
    <n v="-0.16"/>
    <n v="-0.01"/>
    <m/>
    <m/>
    <n v="1526.22"/>
    <n v="207.55"/>
    <n v="-195.9"/>
    <n v="445.69"/>
    <n v="54.88"/>
    <n v="1014"/>
    <n v="0"/>
    <n v="18.059999999999999"/>
  </r>
  <r>
    <x v="2"/>
    <d v="2018-03-10T00:00:00"/>
    <x v="2"/>
    <m/>
    <m/>
    <n v="5.2"/>
    <n v="8"/>
    <n v="9.5"/>
    <n v="0.14000000000000001"/>
    <m/>
    <m/>
    <m/>
    <n v="1.4"/>
    <n v="-0.1"/>
    <n v="-0.01"/>
    <m/>
    <m/>
    <n v="1502.09"/>
    <n v="207.56"/>
    <n v="-21.8"/>
    <n v="444.29"/>
    <n v="32.14"/>
    <n v="839.9"/>
    <n v="0"/>
    <n v="24.139999999999997"/>
  </r>
  <r>
    <x v="3"/>
    <d v="2018-03-11T00:00:00"/>
    <x v="3"/>
    <m/>
    <n v="30.6"/>
    <n v="5.2"/>
    <n v="7"/>
    <n v="10"/>
    <n v="0.04"/>
    <m/>
    <m/>
    <m/>
    <m/>
    <m/>
    <n v="-0.01"/>
    <n v="-500"/>
    <m/>
    <n v="1949.2600000000002"/>
    <n v="207.57"/>
    <n v="-52.4"/>
    <n v="344.29"/>
    <n v="109.9"/>
    <n v="1339.9"/>
    <n v="0"/>
    <n v="52.84"/>
  </r>
  <r>
    <x v="3"/>
    <d v="2018-03-12T00:00:00"/>
    <x v="4"/>
    <m/>
    <m/>
    <n v="8"/>
    <n v="8"/>
    <n v="7.75"/>
    <n v="0.04"/>
    <n v="2.6"/>
    <m/>
    <m/>
    <n v="3.38"/>
    <m/>
    <n v="-0.02"/>
    <m/>
    <m/>
    <n v="1919.5100000000002"/>
    <n v="207.59"/>
    <n v="-52.4"/>
    <n v="344.29"/>
    <n v="80.13"/>
    <n v="1339.9"/>
    <n v="0"/>
    <n v="29.77"/>
  </r>
  <r>
    <x v="3"/>
    <d v="2018-03-13T00:00:00"/>
    <x v="5"/>
    <m/>
    <m/>
    <n v="6.5"/>
    <n v="0"/>
    <n v="14"/>
    <n v="0.25"/>
    <m/>
    <m/>
    <m/>
    <m/>
    <m/>
    <n v="-0.01"/>
    <m/>
    <m/>
    <n v="1898.77"/>
    <n v="207.6"/>
    <n v="-52.4"/>
    <n v="344.29"/>
    <n v="59.38"/>
    <n v="1339.9"/>
    <n v="0"/>
    <n v="20.75"/>
  </r>
  <r>
    <x v="3"/>
    <d v="2018-03-14T00:00:00"/>
    <x v="6"/>
    <m/>
    <m/>
    <n v="4.5999999999999996"/>
    <n v="5"/>
    <n v="7.5"/>
    <n v="0.96"/>
    <m/>
    <m/>
    <m/>
    <m/>
    <m/>
    <n v="-200.02"/>
    <m/>
    <m/>
    <n v="2080.73"/>
    <n v="207.62"/>
    <n v="-52.4"/>
    <n v="544.29"/>
    <n v="41.32"/>
    <n v="1339.9"/>
    <n v="0"/>
    <n v="18.060000000000002"/>
  </r>
  <r>
    <x v="3"/>
    <d v="2018-03-15T00:00:00"/>
    <x v="0"/>
    <m/>
    <n v="0.99"/>
    <n v="4.5999999999999996"/>
    <n v="11"/>
    <n v="9"/>
    <n v="0.02"/>
    <n v="3"/>
    <n v="2"/>
    <m/>
    <m/>
    <n v="5"/>
    <n v="-0.01"/>
    <m/>
    <m/>
    <n v="2045.13"/>
    <n v="203.64"/>
    <n v="-52.4"/>
    <n v="537.29"/>
    <n v="16.7"/>
    <n v="1339.9"/>
    <n v="0"/>
    <n v="35.61"/>
  </r>
  <r>
    <x v="3"/>
    <d v="2018-03-16T00:00:00"/>
    <x v="1"/>
    <m/>
    <m/>
    <n v="8.5"/>
    <n v="11"/>
    <n v="68.52"/>
    <m/>
    <m/>
    <m/>
    <m/>
    <n v="14.94"/>
    <m/>
    <n v="-0.01"/>
    <m/>
    <m/>
    <n v="1942.18"/>
    <n v="203.65"/>
    <n v="-52.4"/>
    <n v="368.77"/>
    <n v="82.26"/>
    <n v="1339.9"/>
    <n v="0"/>
    <n v="102.96"/>
  </r>
  <r>
    <x v="3"/>
    <d v="2018-03-17T00:00:00"/>
    <x v="2"/>
    <m/>
    <n v="200"/>
    <n v="5"/>
    <n v="4"/>
    <n v="14"/>
    <n v="0.06"/>
    <m/>
    <m/>
    <m/>
    <m/>
    <m/>
    <n v="-0.01"/>
    <m/>
    <m/>
    <n v="1719.13"/>
    <n v="203.66"/>
    <n v="-52.4"/>
    <n v="168.77"/>
    <n v="59.2"/>
    <n v="1339.9"/>
    <n v="0"/>
    <n v="223.06"/>
  </r>
  <r>
    <x v="4"/>
    <d v="2018-03-18T00:00:00"/>
    <x v="3"/>
    <m/>
    <m/>
    <n v="4"/>
    <n v="9"/>
    <n v="10"/>
    <n v="0.12"/>
    <n v="1.98"/>
    <m/>
    <m/>
    <m/>
    <m/>
    <n v="-0.01"/>
    <m/>
    <m/>
    <n v="1694.04"/>
    <n v="203.67"/>
    <n v="-52.4"/>
    <n v="168.77"/>
    <n v="34.1"/>
    <n v="1339.9"/>
    <n v="0"/>
    <n v="25.1"/>
  </r>
  <r>
    <x v="4"/>
    <d v="2018-03-19T00:00:00"/>
    <x v="4"/>
    <m/>
    <m/>
    <n v="5.6"/>
    <n v="9"/>
    <n v="10"/>
    <n v="0.4"/>
    <m/>
    <m/>
    <m/>
    <m/>
    <m/>
    <n v="-0.02"/>
    <m/>
    <m/>
    <n v="1669.0600000000002"/>
    <n v="203.69"/>
    <n v="-52.4"/>
    <n v="168.77"/>
    <n v="9.1"/>
    <n v="1339.9"/>
    <n v="0"/>
    <n v="25"/>
  </r>
  <r>
    <x v="4"/>
    <d v="2018-03-20T00:00:00"/>
    <x v="5"/>
    <m/>
    <m/>
    <n v="5.5"/>
    <n v="0"/>
    <n v="9.5"/>
    <n v="0.28000000000000003"/>
    <m/>
    <m/>
    <m/>
    <m/>
    <m/>
    <n v="-500.01"/>
    <m/>
    <m/>
    <n v="2153.79"/>
    <n v="203.7"/>
    <n v="-52.4"/>
    <n v="568.77"/>
    <n v="93.82"/>
    <n v="1339.9"/>
    <n v="0"/>
    <n v="15.28"/>
  </r>
  <r>
    <x v="4"/>
    <d v="2018-03-21T00:00:00"/>
    <x v="6"/>
    <m/>
    <n v="10.5"/>
    <n v="7"/>
    <n v="10.3"/>
    <n v="10"/>
    <n v="1.26"/>
    <m/>
    <m/>
    <m/>
    <m/>
    <m/>
    <n v="-0.92"/>
    <m/>
    <m/>
    <n v="2115.6499999999996"/>
    <n v="195.71"/>
    <n v="-54.9"/>
    <n v="568.77"/>
    <n v="65.260000000000005"/>
    <n v="1340.81"/>
    <n v="0"/>
    <n v="39.059999999999995"/>
  </r>
  <r>
    <x v="4"/>
    <d v="2018-03-22T00:00:00"/>
    <x v="0"/>
    <n v="25"/>
    <m/>
    <n v="8"/>
    <n v="8"/>
    <n v="12.5"/>
    <n v="0.02"/>
    <n v="2.6"/>
    <m/>
    <m/>
    <m/>
    <n v="0.1"/>
    <n v="-0.01"/>
    <m/>
    <m/>
    <n v="2059.4399999999996"/>
    <n v="195.72"/>
    <n v="-54.9"/>
    <n v="568.77"/>
    <n v="34.04"/>
    <n v="1315.81"/>
    <n v="0"/>
    <n v="56.220000000000006"/>
  </r>
  <r>
    <x v="4"/>
    <d v="2018-03-23T00:00:00"/>
    <x v="1"/>
    <m/>
    <m/>
    <n v="3.9"/>
    <n v="10"/>
    <n v="10"/>
    <n v="0.72"/>
    <n v="3"/>
    <m/>
    <m/>
    <m/>
    <m/>
    <n v="-0.01"/>
    <m/>
    <m/>
    <n v="2031.83"/>
    <n v="192.73"/>
    <n v="-54.9"/>
    <n v="568.77"/>
    <n v="9.42"/>
    <n v="1315.81"/>
    <n v="0"/>
    <n v="27.619999999999997"/>
  </r>
  <r>
    <x v="4"/>
    <d v="2018-03-24T00:00:00"/>
    <x v="2"/>
    <m/>
    <m/>
    <n v="6.5"/>
    <n v="10"/>
    <n v="8.25"/>
    <n v="0.9"/>
    <m/>
    <m/>
    <m/>
    <n v="30"/>
    <m/>
    <n v="-0.01"/>
    <m/>
    <m/>
    <n v="1976.19"/>
    <n v="192.74"/>
    <n v="-54.9"/>
    <n v="438.77"/>
    <n v="83.77"/>
    <n v="1315.81"/>
    <n v="0"/>
    <n v="55.65"/>
  </r>
  <r>
    <x v="5"/>
    <d v="2018-03-25T00:00:00"/>
    <x v="3"/>
    <n v="16.98"/>
    <n v="17"/>
    <n v="4.5999999999999996"/>
    <n v="9"/>
    <n v="9"/>
    <n v="0.43"/>
    <m/>
    <m/>
    <m/>
    <m/>
    <n v="0.04"/>
    <n v="-0.01"/>
    <m/>
    <m/>
    <n v="1919.15"/>
    <n v="175.77"/>
    <n v="-54.9"/>
    <n v="438.77"/>
    <n v="60.7"/>
    <n v="1298.81"/>
    <n v="0"/>
    <n v="57.050000000000004"/>
  </r>
  <r>
    <x v="5"/>
    <d v="2018-03-26T00:00:00"/>
    <x v="4"/>
    <n v="50"/>
    <m/>
    <n v="6.75"/>
    <n v="0"/>
    <n v="7"/>
    <n v="0"/>
    <m/>
    <m/>
    <m/>
    <m/>
    <m/>
    <n v="-0.01"/>
    <m/>
    <m/>
    <n v="1855.4099999999999"/>
    <n v="175.78"/>
    <n v="-54.9"/>
    <n v="388.77"/>
    <n v="46.95"/>
    <n v="1298.81"/>
    <n v="0"/>
    <n v="63.75"/>
  </r>
  <r>
    <x v="5"/>
    <d v="2018-03-27T00:00:00"/>
    <x v="5"/>
    <m/>
    <n v="9.8000000000000007"/>
    <n v="5.59"/>
    <n v="9"/>
    <n v="11"/>
    <n v="0.04"/>
    <m/>
    <m/>
    <m/>
    <m/>
    <n v="3.41"/>
    <n v="-0.01"/>
    <m/>
    <m/>
    <n v="1816.58"/>
    <n v="165.99"/>
    <n v="-54.9"/>
    <n v="388.77"/>
    <n v="17.91"/>
    <n v="1298.81"/>
    <n v="0"/>
    <n v="38.840000000000003"/>
  </r>
  <r>
    <x v="5"/>
    <d v="2018-03-28T00:00:00"/>
    <x v="6"/>
    <n v="48"/>
    <m/>
    <n v="8.5"/>
    <n v="6"/>
    <n v="12"/>
    <n v="0.15"/>
    <n v="2.6"/>
    <m/>
    <m/>
    <m/>
    <n v="-1.26"/>
    <n v="-0.01"/>
    <m/>
    <m/>
    <n v="1740.6"/>
    <n v="166"/>
    <n v="-102.9"/>
    <n v="288.77"/>
    <n v="89.92"/>
    <n v="1298.81"/>
    <n v="0"/>
    <n v="75.989999999999995"/>
  </r>
  <r>
    <x v="5"/>
    <d v="2018-03-29T00:00:00"/>
    <x v="0"/>
    <n v="12.5"/>
    <m/>
    <n v="4.5999999999999996"/>
    <n v="10.5"/>
    <n v="5"/>
    <n v="0.08"/>
    <m/>
    <n v="4"/>
    <m/>
    <m/>
    <n v="-2.5"/>
    <n v="-0.01"/>
    <m/>
    <m/>
    <n v="1706.4299999999998"/>
    <n v="166.01"/>
    <n v="-102.9"/>
    <n v="278.77"/>
    <n v="68.739999999999995"/>
    <n v="1295.81"/>
    <n v="0"/>
    <n v="34.18"/>
  </r>
  <r>
    <x v="5"/>
    <d v="2018-03-30T00:00:00"/>
    <x v="1"/>
    <m/>
    <m/>
    <n v="8"/>
    <n v="6.5"/>
    <n v="0"/>
    <n v="0"/>
    <n v="4"/>
    <m/>
    <m/>
    <m/>
    <n v="2.5"/>
    <n v="-0.01"/>
    <m/>
    <m/>
    <n v="1685.44"/>
    <n v="162.02000000000001"/>
    <n v="-102.9"/>
    <n v="276.27"/>
    <n v="54.24"/>
    <n v="1295.81"/>
    <n v="0"/>
    <n v="21"/>
  </r>
  <r>
    <x v="5"/>
    <d v="2018-03-31T00:00:00"/>
    <x v="2"/>
    <m/>
    <m/>
    <n v="8"/>
    <n v="10"/>
    <n v="10"/>
    <n v="0"/>
    <m/>
    <m/>
    <m/>
    <m/>
    <m/>
    <n v="-0.01"/>
    <n v="-500"/>
    <m/>
    <n v="2157.4499999999998"/>
    <n v="162.03"/>
    <n v="-102.9"/>
    <n v="776.27"/>
    <n v="26.24"/>
    <n v="1295.81"/>
    <n v="0"/>
    <n v="28"/>
  </r>
  <r>
    <x v="6"/>
    <d v="2018-04-01T00:00:00"/>
    <x v="3"/>
    <m/>
    <m/>
    <n v="6.1"/>
    <n v="9"/>
    <n v="7"/>
    <n v="0.14000000000000001"/>
    <n v="3.2"/>
    <m/>
    <m/>
    <n v="5.5"/>
    <n v="0.05"/>
    <n v="-0.01"/>
    <m/>
    <n v="-5.5"/>
    <n v="2131.9699999999998"/>
    <n v="162.04"/>
    <n v="-102.9"/>
    <n v="681.27"/>
    <n v="95.75"/>
    <n v="1295.81"/>
    <n v="0"/>
    <n v="30.990000000000002"/>
  </r>
  <r>
    <x v="6"/>
    <d v="2018-04-02T00:00:00"/>
    <x v="4"/>
    <m/>
    <m/>
    <n v="4"/>
    <n v="12"/>
    <n v="9"/>
    <n v="1.2"/>
    <m/>
    <m/>
    <m/>
    <n v="66"/>
    <m/>
    <n v="-0.01"/>
    <m/>
    <m/>
    <n v="2039.7799999999997"/>
    <n v="162.05000000000001"/>
    <n v="-102.9"/>
    <n v="615.27"/>
    <n v="69.55"/>
    <n v="1295.81"/>
    <n v="0"/>
    <n v="92.2"/>
  </r>
  <r>
    <x v="6"/>
    <d v="2018-04-03T00:00:00"/>
    <x v="5"/>
    <n v="4.5"/>
    <m/>
    <n v="8.4"/>
    <n v="10"/>
    <n v="12"/>
    <m/>
    <m/>
    <m/>
    <m/>
    <n v="1.28"/>
    <n v="-0.5"/>
    <n v="-0.01"/>
    <m/>
    <n v="-2"/>
    <n v="2006.11"/>
    <n v="162.06"/>
    <n v="-102.9"/>
    <n v="601.27"/>
    <n v="49.87"/>
    <n v="1295.81"/>
    <n v="0"/>
    <n v="35.68"/>
  </r>
  <r>
    <x v="6"/>
    <d v="2018-04-04T00:00:00"/>
    <x v="6"/>
    <m/>
    <m/>
    <n v="4"/>
    <n v="6"/>
    <n v="12"/>
    <n v="0.19"/>
    <m/>
    <m/>
    <m/>
    <m/>
    <n v="1.2"/>
    <n v="-0.01"/>
    <m/>
    <n v="-60"/>
    <n v="2042.73"/>
    <n v="162.07"/>
    <n v="-102.9"/>
    <n v="601.27"/>
    <n v="26.48"/>
    <n v="1355.81"/>
    <n v="0"/>
    <n v="23.39"/>
  </r>
  <r>
    <x v="6"/>
    <d v="2018-04-05T00:00:00"/>
    <x v="0"/>
    <n v="33.989999999999995"/>
    <m/>
    <n v="0"/>
    <n v="9"/>
    <n v="10"/>
    <n v="0.08"/>
    <n v="3"/>
    <m/>
    <n v="1200"/>
    <m/>
    <m/>
    <n v="-0.01"/>
    <m/>
    <m/>
    <n v="786.67000000000007"/>
    <n v="137.09"/>
    <n v="-102.9"/>
    <n v="589.27"/>
    <n v="7.4"/>
    <n v="155.81"/>
    <n v="0"/>
    <n v="1256.07"/>
  </r>
  <r>
    <x v="6"/>
    <d v="2018-04-06T00:00:00"/>
    <x v="1"/>
    <n v="52"/>
    <n v="376"/>
    <n v="0"/>
    <n v="10"/>
    <n v="9"/>
    <n v="0.06"/>
    <n v="2.86"/>
    <m/>
    <m/>
    <n v="1.24"/>
    <n v="0.14000000000000001"/>
    <n v="-0.01"/>
    <m/>
    <m/>
    <n v="335.38"/>
    <n v="107.1"/>
    <n v="-102.9"/>
    <n v="36.83"/>
    <n v="85.54"/>
    <n v="208.81"/>
    <n v="0"/>
    <n v="451.3"/>
  </r>
  <r>
    <x v="6"/>
    <d v="2018-04-07T00:00:00"/>
    <x v="2"/>
    <m/>
    <m/>
    <n v="4.5999999999999996"/>
    <n v="9"/>
    <n v="10"/>
    <n v="0.06"/>
    <m/>
    <m/>
    <m/>
    <m/>
    <n v="-1.98"/>
    <n v="-0.01"/>
    <m/>
    <n v="-35"/>
    <n v="348.71000000000004"/>
    <n v="142.11000000000001"/>
    <n v="-102.9"/>
    <n v="36.83"/>
    <n v="63.86"/>
    <n v="208.81"/>
    <n v="0"/>
    <n v="21.68"/>
  </r>
  <r>
    <x v="7"/>
    <d v="2018-04-08T00:00:00"/>
    <x v="3"/>
    <m/>
    <m/>
    <n v="7.2"/>
    <n v="9"/>
    <n v="8.5"/>
    <n v="1"/>
    <m/>
    <m/>
    <m/>
    <m/>
    <n v="0.1"/>
    <n v="-0.01"/>
    <m/>
    <m/>
    <n v="322.92"/>
    <n v="142.12"/>
    <n v="-102.9"/>
    <n v="36.83"/>
    <n v="38.06"/>
    <n v="208.81"/>
    <n v="0"/>
    <n v="25.8"/>
  </r>
  <r>
    <x v="7"/>
    <d v="2018-04-09T00:00:00"/>
    <x v="4"/>
    <n v="34.89"/>
    <m/>
    <n v="6"/>
    <n v="8"/>
    <n v="10"/>
    <n v="1.2"/>
    <m/>
    <m/>
    <m/>
    <m/>
    <m/>
    <n v="-0.01"/>
    <m/>
    <n v="-11.98"/>
    <n v="274.82"/>
    <n v="132.13999999999999"/>
    <n v="-127.8"/>
    <n v="48.81"/>
    <n v="12.86"/>
    <n v="208.81"/>
    <n v="0"/>
    <n v="60.09"/>
  </r>
  <r>
    <x v="7"/>
    <d v="2018-04-10T00:00:00"/>
    <x v="5"/>
    <n v="199"/>
    <m/>
    <n v="8"/>
    <n v="8"/>
    <n v="11.5"/>
    <n v="0.1"/>
    <m/>
    <m/>
    <m/>
    <m/>
    <n v="2.46"/>
    <n v="-0.01"/>
    <n v="-500"/>
    <m/>
    <n v="545.77"/>
    <n v="132.15"/>
    <n v="-271.89999999999998"/>
    <n v="48.81"/>
    <n v="62.8"/>
    <n v="573.91"/>
    <n v="0"/>
    <n v="229.06"/>
  </r>
  <r>
    <x v="7"/>
    <d v="2018-04-11T00:00:00"/>
    <x v="6"/>
    <n v="19"/>
    <n v="0.4"/>
    <n v="8"/>
    <n v="10"/>
    <n v="10"/>
    <m/>
    <m/>
    <m/>
    <n v="5"/>
    <m/>
    <m/>
    <n v="-0.01"/>
    <m/>
    <m/>
    <n v="493.38"/>
    <n v="132.16"/>
    <n v="-276.89999999999998"/>
    <n v="29.41"/>
    <n v="34.799999999999997"/>
    <n v="573.91"/>
    <n v="0"/>
    <n v="52.4"/>
  </r>
  <r>
    <x v="7"/>
    <d v="2018-04-12T00:00:00"/>
    <x v="0"/>
    <m/>
    <m/>
    <m/>
    <m/>
    <m/>
    <m/>
    <m/>
    <m/>
    <m/>
    <m/>
    <m/>
    <m/>
    <m/>
    <m/>
    <n v="0"/>
    <m/>
    <m/>
    <m/>
    <m/>
    <m/>
    <m/>
    <m/>
  </r>
  <r>
    <x v="7"/>
    <d v="2018-04-13T00:00:00"/>
    <x v="1"/>
    <m/>
    <m/>
    <m/>
    <m/>
    <m/>
    <m/>
    <m/>
    <m/>
    <m/>
    <m/>
    <m/>
    <m/>
    <m/>
    <m/>
    <n v="0"/>
    <m/>
    <m/>
    <m/>
    <m/>
    <m/>
    <m/>
    <m/>
  </r>
  <r>
    <x v="7"/>
    <d v="2018-04-14T00:00:00"/>
    <x v="2"/>
    <m/>
    <m/>
    <m/>
    <m/>
    <m/>
    <m/>
    <m/>
    <m/>
    <m/>
    <m/>
    <m/>
    <n v="-0.01"/>
    <m/>
    <m/>
    <n v="332.69"/>
    <n v="132.19"/>
    <n v="-337.8"/>
    <n v="5.41"/>
    <n v="89.98"/>
    <n v="442.91"/>
    <n v="332.68"/>
    <n v="160.69"/>
  </r>
  <r>
    <x v="8"/>
    <d v="2018-04-15T00:00:00"/>
    <x v="3"/>
    <m/>
    <m/>
    <n v="0"/>
    <n v="9"/>
    <n v="9"/>
    <n v="0.04"/>
    <n v="1.98"/>
    <m/>
    <n v="67.8"/>
    <m/>
    <n v="1.1399999999999999"/>
    <n v="-0.01"/>
    <m/>
    <m/>
    <n v="243.73999999999998"/>
    <n v="132.19999999999999"/>
    <n v="-337.8"/>
    <n v="5.41"/>
    <n v="68.819999999999993"/>
    <n v="375.11"/>
    <n v="0"/>
    <n v="88.96"/>
  </r>
  <r>
    <x v="8"/>
    <d v="2018-04-16T00:00:00"/>
    <x v="4"/>
    <m/>
    <n v="5.98"/>
    <n v="7.6"/>
    <n v="7"/>
    <n v="10"/>
    <n v="0.06"/>
    <m/>
    <m/>
    <m/>
    <m/>
    <m/>
    <n v="-0.01"/>
    <m/>
    <m/>
    <n v="213.11000000000004"/>
    <n v="132.21"/>
    <n v="-343.78"/>
    <n v="5.41"/>
    <n v="44.16"/>
    <n v="375.11"/>
    <n v="0"/>
    <n v="30.639999999999997"/>
  </r>
  <r>
    <x v="8"/>
    <d v="2018-04-17T00:00:00"/>
    <x v="5"/>
    <m/>
    <m/>
    <n v="7.5"/>
    <n v="8"/>
    <n v="9.25"/>
    <n v="0.6"/>
    <m/>
    <m/>
    <m/>
    <m/>
    <m/>
    <n v="-0.11"/>
    <m/>
    <m/>
    <n v="187.87000000000003"/>
    <n v="132.22"/>
    <n v="-343.78"/>
    <n v="5.51"/>
    <n v="18.809999999999999"/>
    <n v="375.11"/>
    <n v="0"/>
    <n v="25.35"/>
  </r>
  <r>
    <x v="8"/>
    <d v="2018-04-18T00:00:00"/>
    <x v="6"/>
    <m/>
    <n v="27.22"/>
    <n v="0"/>
    <n v="8"/>
    <n v="10"/>
    <m/>
    <n v="0.81"/>
    <m/>
    <m/>
    <m/>
    <m/>
    <n v="-0.01"/>
    <m/>
    <m/>
    <n v="141.85"/>
    <n v="132.22999999999999"/>
    <n v="-371"/>
    <n v="5.51"/>
    <n v="100"/>
    <n v="275.11"/>
    <n v="0"/>
    <n v="46.03"/>
  </r>
  <r>
    <x v="8"/>
    <d v="2018-04-19T00:00:00"/>
    <x v="0"/>
    <m/>
    <m/>
    <n v="0"/>
    <n v="9"/>
    <n v="7.25"/>
    <m/>
    <n v="4"/>
    <m/>
    <m/>
    <m/>
    <n v="-0.01"/>
    <n v="-0.01"/>
    <m/>
    <m/>
    <n v="121.62"/>
    <n v="132.24"/>
    <n v="-375"/>
    <n v="5.51"/>
    <n v="83.76"/>
    <n v="275.11"/>
    <n v="0"/>
    <n v="20.239999999999998"/>
  </r>
  <r>
    <x v="8"/>
    <d v="2018-04-20T00:00:00"/>
    <x v="1"/>
    <m/>
    <m/>
    <n v="9"/>
    <n v="0"/>
    <n v="8"/>
    <n v="0.16"/>
    <m/>
    <m/>
    <m/>
    <m/>
    <m/>
    <n v="-0.01"/>
    <n v="-500"/>
    <m/>
    <n v="604.47"/>
    <n v="132.25"/>
    <n v="-375"/>
    <n v="505.51"/>
    <n v="66.599999999999994"/>
    <n v="275.11"/>
    <n v="0"/>
    <n v="17.16"/>
  </r>
  <r>
    <x v="8"/>
    <d v="2018-04-21T00:00:00"/>
    <x v="2"/>
    <m/>
    <m/>
    <n v="5.2"/>
    <n v="12"/>
    <n v="14"/>
    <n v="0.04"/>
    <m/>
    <m/>
    <m/>
    <m/>
    <m/>
    <n v="-0.01"/>
    <m/>
    <m/>
    <n v="573.24"/>
    <n v="132.26"/>
    <n v="-375"/>
    <n v="505.51"/>
    <n v="35.36"/>
    <n v="275.11"/>
    <n v="0"/>
    <n v="31.24"/>
  </r>
  <r>
    <x v="9"/>
    <d v="2018-04-22T00:00:00"/>
    <x v="3"/>
    <n v="85"/>
    <m/>
    <n v="8.5"/>
    <n v="13"/>
    <n v="8"/>
    <n v="0.02"/>
    <n v="2.3199999999999998"/>
    <m/>
    <m/>
    <m/>
    <m/>
    <n v="-0.01"/>
    <m/>
    <m/>
    <n v="456.41"/>
    <n v="132.27000000000001"/>
    <n v="-375"/>
    <n v="420.51"/>
    <n v="3.52"/>
    <n v="275.11"/>
    <n v="0"/>
    <n v="116.83999999999999"/>
  </r>
  <r>
    <x v="9"/>
    <d v="2018-04-23T00:00:00"/>
    <x v="4"/>
    <m/>
    <m/>
    <n v="6.3"/>
    <n v="9"/>
    <n v="10"/>
    <n v="0.51"/>
    <m/>
    <m/>
    <m/>
    <m/>
    <m/>
    <n v="-0.01"/>
    <m/>
    <m/>
    <n v="430.61"/>
    <n v="132.28"/>
    <n v="-375"/>
    <n v="320.51"/>
    <n v="77.709999999999994"/>
    <n v="275.11"/>
    <n v="0"/>
    <n v="25.810000000000002"/>
  </r>
  <r>
    <x v="9"/>
    <d v="2018-04-24T00:00:00"/>
    <x v="5"/>
    <n v="11"/>
    <m/>
    <n v="7"/>
    <n v="8"/>
    <n v="8"/>
    <n v="0.02"/>
    <m/>
    <m/>
    <m/>
    <m/>
    <m/>
    <n v="-0.01"/>
    <m/>
    <m/>
    <n v="396.6"/>
    <n v="132.29"/>
    <n v="-375"/>
    <n v="309.51"/>
    <n v="54.69"/>
    <n v="275.11"/>
    <n v="0"/>
    <n v="34.020000000000003"/>
  </r>
  <r>
    <x v="9"/>
    <d v="2018-04-25T00:00:00"/>
    <x v="6"/>
    <m/>
    <m/>
    <m/>
    <m/>
    <m/>
    <m/>
    <m/>
    <m/>
    <m/>
    <m/>
    <m/>
    <n v="-0.01"/>
    <m/>
    <m/>
    <n v="275.11"/>
    <m/>
    <m/>
    <m/>
    <m/>
    <n v="275.11"/>
    <n v="-121.5"/>
    <n v="0"/>
  </r>
  <r>
    <x v="9"/>
    <d v="2018-04-26T00:00:00"/>
    <x v="0"/>
    <m/>
    <m/>
    <m/>
    <m/>
    <m/>
    <m/>
    <m/>
    <m/>
    <n v="6"/>
    <m/>
    <m/>
    <n v="-0.01"/>
    <m/>
    <m/>
    <n v="275.11"/>
    <m/>
    <m/>
    <m/>
    <m/>
    <n v="275.11"/>
    <n v="5.9900000000000091"/>
    <n v="6"/>
  </r>
  <r>
    <x v="9"/>
    <d v="2018-04-27T00:00:00"/>
    <x v="1"/>
    <m/>
    <n v="0.99"/>
    <m/>
    <m/>
    <m/>
    <m/>
    <n v="3"/>
    <m/>
    <m/>
    <m/>
    <m/>
    <n v="-0.01"/>
    <m/>
    <n v="-10.8"/>
    <n v="275.11"/>
    <m/>
    <m/>
    <m/>
    <m/>
    <n v="275.11"/>
    <n v="-6.8199999999999932"/>
    <n v="3.99"/>
  </r>
  <r>
    <x v="9"/>
    <d v="2018-04-28T00:00:00"/>
    <x v="2"/>
    <m/>
    <n v="4"/>
    <m/>
    <m/>
    <m/>
    <m/>
    <m/>
    <m/>
    <m/>
    <m/>
    <m/>
    <n v="-0.01"/>
    <m/>
    <m/>
    <n v="264.36"/>
    <n v="143.13"/>
    <n v="-406.99"/>
    <n v="199.51"/>
    <n v="53.6"/>
    <n v="275.11"/>
    <n v="-6.7599999999999909"/>
    <n v="4"/>
  </r>
  <r>
    <x v="10"/>
    <d v="2018-04-29T00:00:00"/>
    <x v="3"/>
    <m/>
    <m/>
    <n v="8"/>
    <n v="7"/>
    <n v="10"/>
    <n v="0.2"/>
    <n v="4.2"/>
    <m/>
    <m/>
    <m/>
    <m/>
    <n v="-0.01"/>
    <m/>
    <m/>
    <n v="234.97"/>
    <n v="143.13999999999999"/>
    <n v="-406.99"/>
    <n v="199.31"/>
    <n v="24.4"/>
    <n v="275.11"/>
    <n v="0"/>
    <n v="29.4"/>
  </r>
  <r>
    <x v="10"/>
    <d v="2018-04-30T00:00:00"/>
    <x v="4"/>
    <m/>
    <n v="0.2"/>
    <n v="9.5"/>
    <n v="8"/>
    <n v="12"/>
    <n v="0.06"/>
    <m/>
    <m/>
    <m/>
    <n v="153"/>
    <n v="-0.2"/>
    <n v="-0.01"/>
    <m/>
    <m/>
    <n v="52.419999999999973"/>
    <n v="143.15"/>
    <n v="-406.99"/>
    <n v="162.31"/>
    <n v="94.84"/>
    <n v="59.11"/>
    <n v="0"/>
    <n v="182.56"/>
  </r>
  <r>
    <x v="10"/>
    <d v="2018-05-01T00:00:00"/>
    <x v="5"/>
    <m/>
    <m/>
    <n v="7"/>
    <n v="13"/>
    <n v="9.5"/>
    <n v="0.04"/>
    <m/>
    <m/>
    <m/>
    <m/>
    <m/>
    <n v="-700.01"/>
    <m/>
    <m/>
    <n v="722.8900000000001"/>
    <n v="343.16"/>
    <n v="-406.99"/>
    <n v="162.31"/>
    <n v="65.3"/>
    <n v="559.11"/>
    <n v="0"/>
    <n v="29.54"/>
  </r>
  <r>
    <x v="10"/>
    <d v="2018-05-02T00:00:00"/>
    <x v="6"/>
    <m/>
    <n v="18"/>
    <n v="5.5"/>
    <n v="9"/>
    <n v="6.5"/>
    <n v="0.04"/>
    <m/>
    <m/>
    <m/>
    <n v="167.6"/>
    <n v="-0.04"/>
    <n v="-0.01"/>
    <m/>
    <m/>
    <n v="516.29999999999995"/>
    <n v="343.17"/>
    <n v="-424.99"/>
    <n v="162.31"/>
    <n v="44.3"/>
    <n v="391.51"/>
    <n v="0"/>
    <n v="206.6"/>
  </r>
  <r>
    <x v="10"/>
    <d v="2018-05-03T00:00:00"/>
    <x v="0"/>
    <m/>
    <m/>
    <n v="3.7"/>
    <n v="8"/>
    <n v="7"/>
    <n v="0.25"/>
    <n v="4"/>
    <m/>
    <m/>
    <m/>
    <m/>
    <n v="-0.01"/>
    <m/>
    <m/>
    <n v="493.36"/>
    <n v="343.18"/>
    <n v="-428.99"/>
    <n v="162.31"/>
    <n v="25.35"/>
    <n v="391.51"/>
    <n v="0"/>
    <n v="22.95"/>
  </r>
  <r>
    <x v="10"/>
    <d v="2018-05-04T00:00:00"/>
    <x v="1"/>
    <m/>
    <m/>
    <n v="7"/>
    <n v="0"/>
    <n v="0"/>
    <n v="0.06"/>
    <n v="4.0999999999999996"/>
    <n v="1"/>
    <m/>
    <n v="27"/>
    <m/>
    <n v="-0.01"/>
    <m/>
    <n v="-10"/>
    <n v="464.21"/>
    <n v="343.19"/>
    <n v="-428.99"/>
    <n v="144.31"/>
    <n v="14.19"/>
    <n v="391.51"/>
    <n v="0"/>
    <n v="39.159999999999997"/>
  </r>
  <r>
    <x v="10"/>
    <d v="2018-05-05T00:00:00"/>
    <x v="2"/>
    <m/>
    <m/>
    <n v="4.5999999999999996"/>
    <n v="13"/>
    <n v="10"/>
    <n v="0.35"/>
    <m/>
    <m/>
    <m/>
    <m/>
    <m/>
    <n v="-0.01"/>
    <m/>
    <m/>
    <n v="436.27"/>
    <n v="343.2"/>
    <n v="-428.99"/>
    <n v="44.31"/>
    <n v="86.24"/>
    <n v="391.51"/>
    <n v="0"/>
    <n v="27.950000000000003"/>
  </r>
  <r>
    <x v="11"/>
    <d v="2018-05-06T00:00:00"/>
    <x v="3"/>
    <m/>
    <m/>
    <n v="10"/>
    <n v="13"/>
    <n v="10"/>
    <n v="0.35"/>
    <m/>
    <m/>
    <m/>
    <m/>
    <n v="1"/>
    <n v="-0.01"/>
    <m/>
    <m/>
    <n v="401.92999999999995"/>
    <n v="343.21"/>
    <n v="-428.99"/>
    <n v="44.31"/>
    <n v="52.89"/>
    <n v="390.51"/>
    <n v="0"/>
    <n v="34.35"/>
  </r>
  <r>
    <x v="11"/>
    <d v="2018-05-07T00:00:00"/>
    <x v="4"/>
    <m/>
    <m/>
    <m/>
    <m/>
    <m/>
    <m/>
    <m/>
    <m/>
    <m/>
    <m/>
    <m/>
    <m/>
    <m/>
    <m/>
    <n v="0"/>
    <m/>
    <m/>
    <m/>
    <m/>
    <m/>
    <n v="-401.92999999999995"/>
    <n v="0"/>
  </r>
  <r>
    <x v="11"/>
    <d v="2018-05-08T00:00:00"/>
    <x v="5"/>
    <m/>
    <m/>
    <m/>
    <m/>
    <m/>
    <m/>
    <m/>
    <m/>
    <m/>
    <m/>
    <m/>
    <m/>
    <m/>
    <m/>
    <n v="0"/>
    <m/>
    <m/>
    <m/>
    <m/>
    <m/>
    <n v="0"/>
    <n v="0"/>
  </r>
  <r>
    <x v="11"/>
    <d v="2018-05-09T00:00:00"/>
    <x v="6"/>
    <m/>
    <m/>
    <m/>
    <m/>
    <m/>
    <m/>
    <m/>
    <m/>
    <m/>
    <m/>
    <m/>
    <m/>
    <m/>
    <m/>
    <n v="0"/>
    <m/>
    <m/>
    <m/>
    <m/>
    <m/>
    <n v="0"/>
    <n v="0"/>
  </r>
  <r>
    <x v="11"/>
    <d v="2018-05-10T00:00:00"/>
    <x v="0"/>
    <m/>
    <m/>
    <m/>
    <m/>
    <m/>
    <m/>
    <m/>
    <m/>
    <m/>
    <m/>
    <m/>
    <m/>
    <m/>
    <m/>
    <n v="0"/>
    <m/>
    <m/>
    <m/>
    <m/>
    <m/>
    <n v="0"/>
    <n v="0"/>
  </r>
  <r>
    <x v="11"/>
    <d v="2018-05-11T00:00:00"/>
    <x v="1"/>
    <m/>
    <m/>
    <m/>
    <m/>
    <m/>
    <m/>
    <m/>
    <m/>
    <m/>
    <m/>
    <m/>
    <m/>
    <m/>
    <m/>
    <n v="0"/>
    <m/>
    <m/>
    <m/>
    <m/>
    <m/>
    <n v="0"/>
    <n v="0"/>
  </r>
  <r>
    <x v="11"/>
    <d v="2018-05-12T00:00:00"/>
    <x v="2"/>
    <m/>
    <m/>
    <m/>
    <m/>
    <m/>
    <m/>
    <m/>
    <m/>
    <m/>
    <m/>
    <m/>
    <m/>
    <m/>
    <m/>
    <n v="0"/>
    <m/>
    <m/>
    <m/>
    <m/>
    <m/>
    <n v="0"/>
    <n v="0"/>
  </r>
  <r>
    <x v="12"/>
    <m/>
    <x v="7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9401F-8FA6-41B5-9C8A-4251BB7C2333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J17" firstHeaderRow="0" firstDataRow="1" firstDataCol="1"/>
  <pivotFields count="28">
    <pivotField axis="axisRow" showAll="0" sortType="a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 sd="0"/>
      </items>
    </pivotField>
    <pivotField numFmtId="14" showAll="0"/>
    <pivotField axis="axisRow" showAll="0" nonAutoSortDefault="1">
      <items count="9">
        <item sd="0" x="3"/>
        <item sd="0" x="4"/>
        <item sd="0" x="5"/>
        <item sd="0" x="6"/>
        <item sd="0" x="0"/>
        <item sd="0" x="1"/>
        <item sd="0" x="2"/>
        <item x="7"/>
        <item t="default" sd="0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numFmtId="176"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平均值项:早餐" fld="5" subtotal="average" baseField="0" baseItem="0" numFmtId="177"/>
    <dataField name="平均值项:中餐" fld="6" subtotal="average" baseField="0" baseItem="0" numFmtId="177"/>
    <dataField name="平均值项:晚餐" fld="7" subtotal="average" baseField="0" baseItem="0" numFmtId="177"/>
    <dataField name="求和项:差额" fld="13" baseField="0" baseItem="0"/>
    <dataField name="求和项:其他支出" fld="12" baseField="0" baseItem="0"/>
    <dataField name="其他支出占比" fld="27" baseField="0" baseItem="7"/>
    <dataField name="求和项:骑行活动" fld="11" baseField="0" baseItem="0"/>
    <dataField name="求和项:骑行占比" fld="25" baseField="0" baseItem="0" numFmtId="10"/>
    <dataField name="求和项:三餐占比" fld="26" baseField="0" baseItem="0" numFmtId="177"/>
  </dataFields>
  <formats count="3">
    <format dxfId="2">
      <pivotArea field="0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1">
      <pivotArea dataOnly="0" outline="0" fieldPosition="0">
        <references count="1">
          <reference field="4294967294" count="1">
            <x v="8"/>
          </reference>
        </references>
      </pivotArea>
    </format>
    <format dxfId="0">
      <pivotArea dataOnly="0" outline="0" fieldPosition="0">
        <references count="1">
          <reference field="4294967294" count="1">
            <x v="5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2"/>
  <sheetViews>
    <sheetView zoomScale="90" zoomScaleNormal="90" workbookViewId="0">
      <pane xSplit="1" topLeftCell="E1" activePane="topRight" state="frozen"/>
      <selection pane="topRight" activeCell="S396" sqref="S396"/>
    </sheetView>
  </sheetViews>
  <sheetFormatPr defaultColWidth="11" defaultRowHeight="15.75"/>
  <cols>
    <col min="1" max="1" width="12.625" style="16" bestFit="1" customWidth="1"/>
    <col min="3" max="3" width="15.5" style="9" bestFit="1" customWidth="1"/>
    <col min="4" max="4" width="10.125" bestFit="1" customWidth="1"/>
    <col min="5" max="5" width="11" style="10"/>
    <col min="7" max="7" width="11.625" style="9" bestFit="1" customWidth="1"/>
    <col min="8" max="8" width="9.375" bestFit="1" customWidth="1"/>
    <col min="9" max="9" width="11.625" style="10" bestFit="1" customWidth="1"/>
    <col min="11" max="11" width="11.5" style="9" bestFit="1" customWidth="1"/>
    <col min="12" max="12" width="9.375" bestFit="1" customWidth="1"/>
    <col min="13" max="13" width="11" style="10"/>
    <col min="15" max="15" width="13.875" style="9" bestFit="1" customWidth="1"/>
    <col min="16" max="16" width="7.875" bestFit="1" customWidth="1"/>
    <col min="17" max="17" width="11" style="10"/>
    <col min="19" max="19" width="11" style="9"/>
    <col min="21" max="21" width="11" style="10"/>
  </cols>
  <sheetData>
    <row r="1" spans="1:21">
      <c r="C1" s="68" t="s">
        <v>41</v>
      </c>
      <c r="D1" s="68"/>
      <c r="E1" s="68"/>
      <c r="G1" s="68" t="s">
        <v>43</v>
      </c>
      <c r="H1" s="68"/>
      <c r="I1" s="68"/>
      <c r="K1" s="68" t="s">
        <v>57</v>
      </c>
      <c r="L1" s="68"/>
      <c r="M1" s="68"/>
      <c r="O1" s="68" t="s">
        <v>44</v>
      </c>
      <c r="P1" s="68"/>
      <c r="Q1" s="68"/>
      <c r="S1" s="68" t="s">
        <v>45</v>
      </c>
      <c r="T1" s="68"/>
      <c r="U1" s="68"/>
    </row>
    <row r="2" spans="1:21">
      <c r="A2" s="16" t="s">
        <v>155</v>
      </c>
      <c r="D2" s="15"/>
      <c r="H2" s="15"/>
      <c r="L2" s="15"/>
      <c r="P2" s="15"/>
      <c r="T2" s="15"/>
    </row>
    <row r="3" spans="1:21" hidden="1">
      <c r="A3" s="17">
        <v>43339</v>
      </c>
      <c r="C3" s="9" t="s">
        <v>30</v>
      </c>
      <c r="D3">
        <v>0</v>
      </c>
      <c r="G3" s="9" t="s">
        <v>30</v>
      </c>
      <c r="H3">
        <v>0</v>
      </c>
      <c r="K3" s="9" t="s">
        <v>15</v>
      </c>
      <c r="L3" s="7">
        <v>60</v>
      </c>
      <c r="O3" s="9" t="s">
        <v>42</v>
      </c>
      <c r="P3" s="7">
        <v>120</v>
      </c>
    </row>
    <row r="4" spans="1:21" hidden="1">
      <c r="C4" s="9" t="s">
        <v>42</v>
      </c>
      <c r="D4" s="7">
        <v>51.14</v>
      </c>
      <c r="G4" s="9" t="s">
        <v>42</v>
      </c>
      <c r="H4" s="7">
        <v>677.17</v>
      </c>
      <c r="K4" s="9" t="s">
        <v>17</v>
      </c>
      <c r="L4" s="7">
        <v>50</v>
      </c>
    </row>
    <row r="5" spans="1:21" hidden="1">
      <c r="K5" s="9" t="s">
        <v>16</v>
      </c>
      <c r="L5" s="3">
        <v>-104.2</v>
      </c>
    </row>
    <row r="6" spans="1:21" hidden="1"/>
    <row r="7" spans="1:21" hidden="1">
      <c r="A7" s="17">
        <v>43340</v>
      </c>
      <c r="C7" s="9" t="s">
        <v>30</v>
      </c>
      <c r="D7">
        <v>0</v>
      </c>
      <c r="G7" s="9" t="s">
        <v>0</v>
      </c>
      <c r="H7" s="8">
        <v>-50</v>
      </c>
      <c r="K7" s="9" t="s">
        <v>18</v>
      </c>
      <c r="L7" s="8">
        <v>50</v>
      </c>
      <c r="S7" s="9" t="s">
        <v>22</v>
      </c>
      <c r="T7" s="1">
        <v>-200</v>
      </c>
    </row>
    <row r="8" spans="1:21" hidden="1">
      <c r="G8" s="9" t="s">
        <v>1</v>
      </c>
      <c r="H8" s="1">
        <v>-125</v>
      </c>
      <c r="K8" s="9" t="s">
        <v>19</v>
      </c>
      <c r="L8" s="4">
        <v>-1.2</v>
      </c>
    </row>
    <row r="9" spans="1:21" hidden="1">
      <c r="G9" s="9" t="s">
        <v>2</v>
      </c>
      <c r="H9" s="2">
        <v>-60</v>
      </c>
      <c r="K9" s="9" t="s">
        <v>16</v>
      </c>
      <c r="L9" s="3">
        <v>-8.5</v>
      </c>
    </row>
    <row r="10" spans="1:21" hidden="1">
      <c r="G10" s="9" t="s">
        <v>3</v>
      </c>
      <c r="H10" s="1">
        <v>-2.5</v>
      </c>
      <c r="L10" s="3">
        <v>-14</v>
      </c>
    </row>
    <row r="11" spans="1:21" hidden="1">
      <c r="G11" s="9" t="s">
        <v>4</v>
      </c>
      <c r="H11" s="2">
        <v>-19</v>
      </c>
      <c r="L11" s="3">
        <v>-2.6</v>
      </c>
    </row>
    <row r="12" spans="1:21" hidden="1"/>
    <row r="13" spans="1:21" hidden="1">
      <c r="A13" s="17">
        <v>43341</v>
      </c>
      <c r="C13" s="9" t="s">
        <v>14</v>
      </c>
      <c r="D13" s="2">
        <v>-11.8</v>
      </c>
      <c r="G13" s="9" t="s">
        <v>5</v>
      </c>
      <c r="H13" s="8">
        <v>120</v>
      </c>
      <c r="K13" s="9" t="s">
        <v>19</v>
      </c>
      <c r="L13" s="4">
        <v>-1.1200000000000001</v>
      </c>
      <c r="O13" s="9" t="s">
        <v>23</v>
      </c>
      <c r="P13" s="8">
        <v>-120</v>
      </c>
      <c r="S13" s="9" t="s">
        <v>7</v>
      </c>
      <c r="T13" s="3">
        <v>180</v>
      </c>
    </row>
    <row r="14" spans="1:21" hidden="1">
      <c r="C14" s="9" t="s">
        <v>37</v>
      </c>
      <c r="D14" s="7">
        <v>0.01</v>
      </c>
      <c r="G14" s="9" t="s">
        <v>6</v>
      </c>
      <c r="H14" s="3">
        <v>-1160</v>
      </c>
      <c r="I14" s="10" t="s">
        <v>35</v>
      </c>
      <c r="K14" s="9" t="s">
        <v>16</v>
      </c>
      <c r="L14" s="3">
        <v>-6</v>
      </c>
    </row>
    <row r="15" spans="1:21" hidden="1">
      <c r="G15" s="9" t="s">
        <v>7</v>
      </c>
      <c r="H15" s="3">
        <v>720</v>
      </c>
      <c r="L15" s="3">
        <v>-14</v>
      </c>
    </row>
    <row r="16" spans="1:21" hidden="1">
      <c r="G16" s="9" t="s">
        <v>8</v>
      </c>
      <c r="H16" s="4">
        <v>-3</v>
      </c>
      <c r="K16" s="9" t="s">
        <v>20</v>
      </c>
      <c r="L16" s="8">
        <v>50</v>
      </c>
    </row>
    <row r="17" spans="1:20" hidden="1">
      <c r="G17" s="9" t="s">
        <v>9</v>
      </c>
      <c r="H17" s="3">
        <v>-3</v>
      </c>
    </row>
    <row r="18" spans="1:20" hidden="1">
      <c r="G18" s="9" t="s">
        <v>21</v>
      </c>
      <c r="H18" s="8">
        <v>-50</v>
      </c>
    </row>
    <row r="19" spans="1:20" hidden="1"/>
    <row r="20" spans="1:20" hidden="1">
      <c r="A20" s="17">
        <v>43342</v>
      </c>
      <c r="C20" s="9" t="s">
        <v>5</v>
      </c>
      <c r="D20" s="8">
        <v>50</v>
      </c>
      <c r="G20" s="9" t="s">
        <v>5</v>
      </c>
      <c r="H20" s="8">
        <v>50</v>
      </c>
      <c r="K20" s="9" t="s">
        <v>28</v>
      </c>
      <c r="L20" s="3">
        <v>-28.5</v>
      </c>
      <c r="O20" s="9" t="s">
        <v>24</v>
      </c>
      <c r="P20" s="8">
        <v>-50</v>
      </c>
      <c r="S20" s="9" t="s">
        <v>27</v>
      </c>
      <c r="T20" s="1">
        <v>-200</v>
      </c>
    </row>
    <row r="21" spans="1:20" hidden="1">
      <c r="C21" s="9" t="s">
        <v>31</v>
      </c>
      <c r="D21" s="4">
        <v>-3</v>
      </c>
      <c r="K21" s="9" t="s">
        <v>19</v>
      </c>
      <c r="L21" s="4">
        <v>-0.96</v>
      </c>
      <c r="O21" s="9" t="s">
        <v>25</v>
      </c>
      <c r="P21" s="8">
        <v>-50</v>
      </c>
    </row>
    <row r="22" spans="1:20" hidden="1">
      <c r="O22" s="9" t="s">
        <v>26</v>
      </c>
      <c r="P22" s="8">
        <v>200</v>
      </c>
    </row>
    <row r="23" spans="1:20" hidden="1"/>
    <row r="24" spans="1:20" hidden="1">
      <c r="A24" s="17">
        <v>43343</v>
      </c>
      <c r="C24" s="9" t="s">
        <v>29</v>
      </c>
      <c r="D24" s="4">
        <v>-3</v>
      </c>
      <c r="G24" s="9" t="s">
        <v>30</v>
      </c>
      <c r="H24">
        <v>0</v>
      </c>
      <c r="K24" s="9" t="s">
        <v>19</v>
      </c>
      <c r="L24" s="4">
        <v>-1.3</v>
      </c>
      <c r="O24" s="9" t="s">
        <v>36</v>
      </c>
      <c r="P24" s="3">
        <v>-0.25</v>
      </c>
      <c r="S24" s="9" t="s">
        <v>36</v>
      </c>
      <c r="T24" s="3">
        <v>-4</v>
      </c>
    </row>
    <row r="25" spans="1:20" hidden="1">
      <c r="C25" s="9" t="s">
        <v>32</v>
      </c>
      <c r="D25" s="1">
        <v>-12.1</v>
      </c>
      <c r="K25" s="9" t="s">
        <v>16</v>
      </c>
      <c r="L25" s="3">
        <v>-20</v>
      </c>
    </row>
    <row r="26" spans="1:20" hidden="1">
      <c r="C26" s="9" t="s">
        <v>33</v>
      </c>
      <c r="D26" s="3">
        <v>-45</v>
      </c>
    </row>
    <row r="27" spans="1:20" hidden="1">
      <c r="C27" s="9" t="s">
        <v>34</v>
      </c>
      <c r="D27" s="2">
        <v>-5.5</v>
      </c>
    </row>
    <row r="28" spans="1:20" hidden="1"/>
    <row r="29" spans="1:20" hidden="1">
      <c r="A29" s="17">
        <v>43344</v>
      </c>
      <c r="C29" s="9" t="s">
        <v>30</v>
      </c>
      <c r="D29">
        <v>0</v>
      </c>
      <c r="G29" s="9" t="s">
        <v>0</v>
      </c>
      <c r="H29" s="8">
        <v>-50</v>
      </c>
      <c r="K29" s="9" t="s">
        <v>19</v>
      </c>
      <c r="L29" s="4">
        <v>-1.1200000000000001</v>
      </c>
      <c r="O29" s="9" t="s">
        <v>17</v>
      </c>
      <c r="P29" s="7">
        <v>500</v>
      </c>
    </row>
    <row r="30" spans="1:20" hidden="1">
      <c r="A30" s="17"/>
      <c r="K30" s="9" t="s">
        <v>16</v>
      </c>
      <c r="L30" s="3">
        <v>-23</v>
      </c>
      <c r="O30" s="9" t="s">
        <v>36</v>
      </c>
      <c r="P30" s="3">
        <v>-0.45</v>
      </c>
    </row>
    <row r="31" spans="1:20" hidden="1">
      <c r="A31" s="17"/>
      <c r="K31" s="9" t="s">
        <v>20</v>
      </c>
      <c r="L31" s="8">
        <v>50</v>
      </c>
    </row>
    <row r="32" spans="1:20" hidden="1"/>
    <row r="33" spans="1:20" hidden="1">
      <c r="A33" s="17">
        <v>43345</v>
      </c>
      <c r="C33" s="9" t="s">
        <v>31</v>
      </c>
      <c r="D33" s="4">
        <v>-3</v>
      </c>
      <c r="G33" s="9" t="s">
        <v>30</v>
      </c>
      <c r="H33">
        <v>0</v>
      </c>
      <c r="K33" s="9" t="s">
        <v>19</v>
      </c>
      <c r="L33" s="4">
        <v>-1.1599999999999999</v>
      </c>
    </row>
    <row r="34" spans="1:20" hidden="1">
      <c r="A34" s="17"/>
      <c r="K34" s="9" t="s">
        <v>16</v>
      </c>
      <c r="L34" s="3">
        <v>-18.5</v>
      </c>
    </row>
    <row r="35" spans="1:20" hidden="1"/>
    <row r="36" spans="1:20" hidden="1">
      <c r="A36" s="17">
        <v>43346</v>
      </c>
      <c r="C36" s="9" t="s">
        <v>5</v>
      </c>
      <c r="D36" s="8">
        <v>50</v>
      </c>
      <c r="G36" s="9" t="s">
        <v>0</v>
      </c>
      <c r="H36" s="8">
        <v>-50</v>
      </c>
      <c r="K36" s="9" t="s">
        <v>19</v>
      </c>
      <c r="L36" s="4">
        <v>-0.96</v>
      </c>
      <c r="O36" s="9" t="s">
        <v>24</v>
      </c>
      <c r="P36" s="8">
        <v>-100</v>
      </c>
    </row>
    <row r="37" spans="1:20" hidden="1">
      <c r="C37" s="9" t="s">
        <v>39</v>
      </c>
      <c r="D37" s="3">
        <v>-5.5</v>
      </c>
      <c r="G37" s="9" t="s">
        <v>5</v>
      </c>
      <c r="H37" s="8">
        <v>100</v>
      </c>
      <c r="K37" s="9" t="s">
        <v>16</v>
      </c>
      <c r="L37" s="3">
        <v>-17.3</v>
      </c>
      <c r="O37" s="9" t="s">
        <v>25</v>
      </c>
      <c r="P37" s="8">
        <v>-50</v>
      </c>
    </row>
    <row r="38" spans="1:20" hidden="1">
      <c r="K38" s="9" t="s">
        <v>40</v>
      </c>
      <c r="L38" s="3">
        <v>-2</v>
      </c>
    </row>
    <row r="39" spans="1:20" hidden="1">
      <c r="K39" s="9" t="s">
        <v>20</v>
      </c>
      <c r="L39" s="8">
        <v>50</v>
      </c>
    </row>
    <row r="40" spans="1:20" hidden="1"/>
    <row r="41" spans="1:20" hidden="1">
      <c r="A41" s="17">
        <v>43347</v>
      </c>
      <c r="C41" s="9" t="s">
        <v>31</v>
      </c>
      <c r="D41" s="4">
        <v>-3</v>
      </c>
      <c r="G41" s="9" t="s">
        <v>30</v>
      </c>
      <c r="H41">
        <v>0</v>
      </c>
      <c r="K41" s="9" t="s">
        <v>19</v>
      </c>
      <c r="L41" s="4">
        <v>-2.08</v>
      </c>
    </row>
    <row r="42" spans="1:20" hidden="1">
      <c r="K42" s="9" t="s">
        <v>16</v>
      </c>
      <c r="L42" s="3">
        <v>-11.5</v>
      </c>
    </row>
    <row r="43" spans="1:20" hidden="1"/>
    <row r="44" spans="1:20" hidden="1">
      <c r="A44" s="17">
        <v>43348</v>
      </c>
      <c r="C44" s="9" t="s">
        <v>31</v>
      </c>
      <c r="D44" s="4">
        <v>-3</v>
      </c>
      <c r="K44" s="9" t="s">
        <v>19</v>
      </c>
      <c r="L44" s="4">
        <v>-1.1599999999999999</v>
      </c>
    </row>
    <row r="45" spans="1:20" hidden="1">
      <c r="K45" s="9" t="s">
        <v>16</v>
      </c>
      <c r="L45" s="3">
        <v>-13.5</v>
      </c>
    </row>
    <row r="46" spans="1:20" hidden="1"/>
    <row r="47" spans="1:20" hidden="1">
      <c r="A47" s="17">
        <v>43349</v>
      </c>
      <c r="G47" s="9" t="s">
        <v>46</v>
      </c>
      <c r="H47" s="1">
        <v>-27.8</v>
      </c>
      <c r="K47" s="9" t="s">
        <v>16</v>
      </c>
      <c r="L47" s="3">
        <v>-16.7</v>
      </c>
      <c r="S47" s="9" t="s">
        <v>48</v>
      </c>
      <c r="T47" s="8">
        <v>-100</v>
      </c>
    </row>
    <row r="48" spans="1:20" hidden="1">
      <c r="G48" s="9" t="s">
        <v>47</v>
      </c>
      <c r="H48" s="8">
        <v>-50</v>
      </c>
      <c r="K48" s="9" t="s">
        <v>20</v>
      </c>
      <c r="L48" s="8">
        <v>50</v>
      </c>
      <c r="S48" s="9" t="s">
        <v>52</v>
      </c>
      <c r="T48" s="3">
        <v>-4</v>
      </c>
    </row>
    <row r="49" spans="1:20" hidden="1">
      <c r="G49" s="9" t="s">
        <v>48</v>
      </c>
      <c r="H49" s="8">
        <v>100</v>
      </c>
    </row>
    <row r="50" spans="1:20" hidden="1"/>
    <row r="51" spans="1:20" hidden="1">
      <c r="A51" s="17">
        <v>43350</v>
      </c>
      <c r="K51" s="9" t="s">
        <v>19</v>
      </c>
      <c r="L51" s="4">
        <v>-1.1200000000000001</v>
      </c>
    </row>
    <row r="52" spans="1:20" hidden="1">
      <c r="K52" s="9" t="s">
        <v>16</v>
      </c>
      <c r="L52" s="3">
        <v>-14.7</v>
      </c>
    </row>
    <row r="53" spans="1:20" hidden="1">
      <c r="K53" s="9" t="s">
        <v>49</v>
      </c>
      <c r="L53">
        <v>-5</v>
      </c>
    </row>
    <row r="54" spans="1:20" hidden="1"/>
    <row r="55" spans="1:20" hidden="1">
      <c r="A55" s="17">
        <v>43351</v>
      </c>
      <c r="C55" s="9" t="s">
        <v>31</v>
      </c>
      <c r="D55" s="4">
        <v>-3</v>
      </c>
      <c r="G55" s="9" t="s">
        <v>50</v>
      </c>
      <c r="H55" s="3">
        <v>-39.270000000000003</v>
      </c>
      <c r="K55" s="9" t="s">
        <v>16</v>
      </c>
      <c r="L55" s="3">
        <v>-21.3</v>
      </c>
    </row>
    <row r="56" spans="1:20" hidden="1"/>
    <row r="57" spans="1:20" hidden="1">
      <c r="A57" s="17">
        <v>43352</v>
      </c>
      <c r="C57" s="9" t="s">
        <v>31</v>
      </c>
      <c r="D57" s="4">
        <v>-3</v>
      </c>
      <c r="G57" s="9" t="s">
        <v>47</v>
      </c>
      <c r="H57" s="8">
        <v>-50</v>
      </c>
      <c r="K57" s="9" t="s">
        <v>20</v>
      </c>
      <c r="L57" s="8">
        <v>50</v>
      </c>
    </row>
    <row r="58" spans="1:20" hidden="1">
      <c r="G58" s="9" t="s">
        <v>51</v>
      </c>
      <c r="H58" s="3">
        <v>-6.6</v>
      </c>
      <c r="K58" s="9" t="s">
        <v>16</v>
      </c>
      <c r="L58" s="3">
        <v>-13.9</v>
      </c>
    </row>
    <row r="59" spans="1:20" hidden="1">
      <c r="K59" s="9" t="s">
        <v>19</v>
      </c>
      <c r="L59" s="4">
        <v>-1.84</v>
      </c>
    </row>
    <row r="60" spans="1:20" hidden="1"/>
    <row r="61" spans="1:20" hidden="1">
      <c r="A61" s="17">
        <v>43353</v>
      </c>
      <c r="K61" s="9" t="s">
        <v>16</v>
      </c>
      <c r="L61" s="3">
        <v>-22.9</v>
      </c>
    </row>
    <row r="62" spans="1:20" hidden="1">
      <c r="K62" s="9" t="s">
        <v>40</v>
      </c>
      <c r="L62" s="3">
        <v>-1</v>
      </c>
    </row>
    <row r="63" spans="1:20" hidden="1"/>
    <row r="64" spans="1:20" hidden="1">
      <c r="A64" s="17">
        <v>43354</v>
      </c>
      <c r="C64" s="9" t="s">
        <v>31</v>
      </c>
      <c r="D64" s="4">
        <v>-3</v>
      </c>
      <c r="G64" s="9" t="s">
        <v>47</v>
      </c>
      <c r="H64" s="8">
        <v>-50</v>
      </c>
      <c r="K64" s="9" t="s">
        <v>40</v>
      </c>
      <c r="L64" s="3">
        <v>-2</v>
      </c>
      <c r="O64" s="9" t="s">
        <v>5</v>
      </c>
      <c r="P64" s="8">
        <v>-50</v>
      </c>
      <c r="S64" s="9" t="s">
        <v>53</v>
      </c>
      <c r="T64" s="1">
        <v>-17</v>
      </c>
    </row>
    <row r="65" spans="1:16" hidden="1">
      <c r="G65" s="9" t="s">
        <v>5</v>
      </c>
      <c r="H65" s="8">
        <v>50</v>
      </c>
      <c r="K65" s="9" t="s">
        <v>16</v>
      </c>
      <c r="L65" s="3">
        <v>-21.1</v>
      </c>
    </row>
    <row r="66" spans="1:16" hidden="1">
      <c r="K66" s="9" t="s">
        <v>19</v>
      </c>
      <c r="L66" s="4">
        <v>-1.38</v>
      </c>
    </row>
    <row r="67" spans="1:16" hidden="1">
      <c r="K67" s="9" t="s">
        <v>0</v>
      </c>
      <c r="L67" s="8">
        <v>50</v>
      </c>
    </row>
    <row r="68" spans="1:16" hidden="1">
      <c r="K68" s="9" t="s">
        <v>49</v>
      </c>
      <c r="L68">
        <v>-6.88</v>
      </c>
    </row>
    <row r="69" spans="1:16" hidden="1">
      <c r="K69" s="9" t="s">
        <v>49</v>
      </c>
      <c r="L69">
        <v>-0.2</v>
      </c>
    </row>
    <row r="70" spans="1:16" hidden="1"/>
    <row r="71" spans="1:16" hidden="1">
      <c r="A71" s="17">
        <v>43355</v>
      </c>
      <c r="K71" s="9" t="s">
        <v>16</v>
      </c>
      <c r="L71" s="3">
        <v>-24.5</v>
      </c>
    </row>
    <row r="72" spans="1:16" hidden="1">
      <c r="A72" s="17"/>
    </row>
    <row r="73" spans="1:16" hidden="1"/>
    <row r="74" spans="1:16" hidden="1">
      <c r="A74" s="17">
        <v>43356</v>
      </c>
      <c r="C74" s="9" t="s">
        <v>55</v>
      </c>
      <c r="D74" s="2">
        <v>-73</v>
      </c>
      <c r="G74" s="9" t="s">
        <v>54</v>
      </c>
      <c r="H74" s="2">
        <v>-89</v>
      </c>
      <c r="K74" s="9" t="s">
        <v>0</v>
      </c>
      <c r="L74" s="8">
        <v>50</v>
      </c>
      <c r="O74" s="9" t="s">
        <v>24</v>
      </c>
      <c r="P74" s="8">
        <v>-100</v>
      </c>
    </row>
    <row r="75" spans="1:16" hidden="1">
      <c r="C75" s="9" t="s">
        <v>5</v>
      </c>
      <c r="D75" s="8">
        <v>100</v>
      </c>
      <c r="G75" s="9" t="s">
        <v>5</v>
      </c>
      <c r="H75" s="8">
        <v>100</v>
      </c>
      <c r="K75" s="9" t="s">
        <v>19</v>
      </c>
      <c r="L75" s="4">
        <v>-2.62</v>
      </c>
      <c r="O75" s="9" t="s">
        <v>25</v>
      </c>
      <c r="P75" s="8">
        <v>-100</v>
      </c>
    </row>
    <row r="76" spans="1:16" hidden="1">
      <c r="K76" s="9" t="s">
        <v>16</v>
      </c>
      <c r="L76" s="3">
        <v>-19.100000000000001</v>
      </c>
      <c r="O76" s="9" t="s">
        <v>17</v>
      </c>
      <c r="P76" s="7">
        <v>500</v>
      </c>
    </row>
    <row r="77" spans="1:16" hidden="1">
      <c r="O77" s="9" t="s">
        <v>0</v>
      </c>
      <c r="P77" s="8">
        <v>-50</v>
      </c>
    </row>
    <row r="78" spans="1:16" hidden="1"/>
    <row r="79" spans="1:16" hidden="1">
      <c r="A79" s="17">
        <v>43357</v>
      </c>
      <c r="C79" s="9" t="s">
        <v>31</v>
      </c>
      <c r="D79" s="4">
        <v>-3</v>
      </c>
      <c r="G79" s="9" t="s">
        <v>56</v>
      </c>
      <c r="H79" s="1">
        <v>-10</v>
      </c>
      <c r="K79" s="9" t="s">
        <v>19</v>
      </c>
      <c r="L79" s="4">
        <v>-1.72</v>
      </c>
    </row>
    <row r="80" spans="1:16" hidden="1">
      <c r="K80" s="9" t="s">
        <v>16</v>
      </c>
      <c r="L80" s="3">
        <v>-22</v>
      </c>
    </row>
    <row r="81" spans="1:20" hidden="1"/>
    <row r="82" spans="1:20" hidden="1">
      <c r="A82" s="17">
        <v>43358</v>
      </c>
      <c r="K82" s="9" t="s">
        <v>16</v>
      </c>
      <c r="L82" s="3">
        <v>-17.8</v>
      </c>
      <c r="O82" s="9" t="s">
        <v>0</v>
      </c>
      <c r="P82" s="8">
        <v>-50</v>
      </c>
      <c r="S82" s="9" t="s">
        <v>61</v>
      </c>
      <c r="T82" s="1">
        <v>4</v>
      </c>
    </row>
    <row r="83" spans="1:20" hidden="1">
      <c r="C83" s="9" t="s">
        <v>6</v>
      </c>
      <c r="D83" s="3">
        <v>-1.72</v>
      </c>
      <c r="K83" s="9" t="s">
        <v>0</v>
      </c>
      <c r="L83" s="8">
        <v>50</v>
      </c>
      <c r="O83" s="9" t="s">
        <v>58</v>
      </c>
      <c r="P83" s="11">
        <v>-79</v>
      </c>
    </row>
    <row r="84" spans="1:20" hidden="1">
      <c r="A84" s="17"/>
      <c r="C84" s="9" t="s">
        <v>59</v>
      </c>
      <c r="D84" s="11">
        <v>-1</v>
      </c>
    </row>
    <row r="85" spans="1:20" hidden="1">
      <c r="C85" s="9" t="s">
        <v>60</v>
      </c>
      <c r="D85" s="11">
        <v>-24</v>
      </c>
    </row>
    <row r="86" spans="1:20" hidden="1">
      <c r="C86" s="9" t="s">
        <v>9</v>
      </c>
      <c r="D86" s="3">
        <v>-7</v>
      </c>
    </row>
    <row r="87" spans="1:20" hidden="1"/>
    <row r="88" spans="1:20" hidden="1">
      <c r="A88" s="17">
        <v>43359</v>
      </c>
      <c r="G88" s="9" t="s">
        <v>62</v>
      </c>
      <c r="H88" s="1">
        <v>-15</v>
      </c>
      <c r="K88" s="9" t="s">
        <v>16</v>
      </c>
      <c r="L88" s="3">
        <v>-16</v>
      </c>
      <c r="O88" s="9" t="s">
        <v>69</v>
      </c>
      <c r="P88" s="8">
        <v>-200</v>
      </c>
      <c r="S88" s="9" t="s">
        <v>64</v>
      </c>
      <c r="T88" s="1">
        <v>-10</v>
      </c>
    </row>
    <row r="89" spans="1:20" hidden="1">
      <c r="G89" s="9" t="s">
        <v>63</v>
      </c>
      <c r="H89" s="1">
        <v>5</v>
      </c>
      <c r="K89" s="9" t="s">
        <v>19</v>
      </c>
      <c r="L89" s="4">
        <v>-1.24</v>
      </c>
    </row>
    <row r="90" spans="1:20" hidden="1">
      <c r="G90" s="9" t="s">
        <v>65</v>
      </c>
      <c r="H90" s="7">
        <v>140</v>
      </c>
    </row>
    <row r="91" spans="1:20" hidden="1">
      <c r="A91" s="17">
        <v>43360</v>
      </c>
      <c r="C91" s="9" t="s">
        <v>31</v>
      </c>
      <c r="D91" s="4">
        <v>-3</v>
      </c>
      <c r="K91" s="9" t="s">
        <v>19</v>
      </c>
      <c r="L91" s="4">
        <v>-1.52</v>
      </c>
    </row>
    <row r="92" spans="1:20" hidden="1">
      <c r="K92" s="9" t="s">
        <v>16</v>
      </c>
      <c r="L92" s="3">
        <v>-22.8</v>
      </c>
    </row>
    <row r="93" spans="1:20" hidden="1"/>
    <row r="94" spans="1:20" hidden="1">
      <c r="A94" s="17">
        <v>43361</v>
      </c>
      <c r="G94" s="9" t="s">
        <v>47</v>
      </c>
      <c r="H94" s="8">
        <v>-49.94</v>
      </c>
      <c r="K94" s="9" t="s">
        <v>16</v>
      </c>
      <c r="L94" s="3">
        <v>-23.9</v>
      </c>
    </row>
    <row r="95" spans="1:20" hidden="1">
      <c r="A95" s="17"/>
      <c r="K95" s="9" t="s">
        <v>71</v>
      </c>
      <c r="L95" s="8">
        <v>50</v>
      </c>
    </row>
    <row r="96" spans="1:20" hidden="1">
      <c r="H96" t="s">
        <v>67</v>
      </c>
    </row>
    <row r="97" spans="1:16" hidden="1">
      <c r="A97" s="17">
        <v>43362</v>
      </c>
      <c r="C97" s="9" t="s">
        <v>66</v>
      </c>
      <c r="D97" s="11">
        <v>-49</v>
      </c>
      <c r="G97" s="9" t="s">
        <v>47</v>
      </c>
      <c r="H97" s="8">
        <v>-100</v>
      </c>
      <c r="K97" s="9" t="s">
        <v>16</v>
      </c>
      <c r="L97" s="3">
        <v>-23</v>
      </c>
      <c r="O97" s="9" t="s">
        <v>24</v>
      </c>
      <c r="P97" s="8">
        <v>-50</v>
      </c>
    </row>
    <row r="98" spans="1:16" hidden="1">
      <c r="C98" s="9" t="s">
        <v>5</v>
      </c>
      <c r="D98" s="8">
        <v>50</v>
      </c>
      <c r="G98" s="9" t="s">
        <v>5</v>
      </c>
      <c r="H98" s="8">
        <v>50</v>
      </c>
      <c r="K98" s="9" t="s">
        <v>19</v>
      </c>
      <c r="L98" s="4">
        <v>-1.36</v>
      </c>
      <c r="O98" s="9" t="s">
        <v>25</v>
      </c>
      <c r="P98" s="8">
        <v>-50</v>
      </c>
    </row>
    <row r="99" spans="1:16" hidden="1">
      <c r="K99" s="9" t="s">
        <v>72</v>
      </c>
      <c r="L99" s="11">
        <v>-140</v>
      </c>
      <c r="O99" s="9" t="s">
        <v>70</v>
      </c>
      <c r="P99" s="1">
        <v>-50</v>
      </c>
    </row>
    <row r="100" spans="1:16" hidden="1">
      <c r="K100" s="9" t="s">
        <v>73</v>
      </c>
      <c r="L100" s="8">
        <v>250</v>
      </c>
      <c r="O100" s="9" t="s">
        <v>68</v>
      </c>
      <c r="P100" s="8">
        <v>-150</v>
      </c>
    </row>
    <row r="101" spans="1:16" hidden="1"/>
    <row r="102" spans="1:16" hidden="1">
      <c r="A102" s="17">
        <v>43363</v>
      </c>
      <c r="C102" s="9" t="s">
        <v>31</v>
      </c>
      <c r="D102" s="4">
        <v>-3</v>
      </c>
      <c r="K102" s="9" t="s">
        <v>16</v>
      </c>
      <c r="L102" s="3">
        <v>-21.65</v>
      </c>
      <c r="O102" s="9" t="s">
        <v>78</v>
      </c>
      <c r="P102" s="7">
        <v>0.53</v>
      </c>
    </row>
    <row r="103" spans="1:16" hidden="1">
      <c r="C103" s="9" t="s">
        <v>79</v>
      </c>
      <c r="D103" s="2">
        <v>-148</v>
      </c>
    </row>
    <row r="104" spans="1:16" hidden="1"/>
    <row r="105" spans="1:16" hidden="1">
      <c r="A105" s="17">
        <v>43364</v>
      </c>
      <c r="C105" s="9" t="s">
        <v>31</v>
      </c>
      <c r="D105" s="4">
        <v>-3</v>
      </c>
      <c r="K105" s="9" t="s">
        <v>16</v>
      </c>
      <c r="L105" s="3">
        <v>-21.5</v>
      </c>
    </row>
    <row r="106" spans="1:16" hidden="1">
      <c r="K106" s="9" t="s">
        <v>19</v>
      </c>
      <c r="L106" s="4">
        <v>-0.54</v>
      </c>
    </row>
    <row r="107" spans="1:16" hidden="1"/>
    <row r="108" spans="1:16" hidden="1">
      <c r="A108" s="17">
        <v>43365</v>
      </c>
      <c r="C108" s="9" t="s">
        <v>80</v>
      </c>
      <c r="D108" s="7">
        <v>500</v>
      </c>
      <c r="G108" s="9" t="s">
        <v>5</v>
      </c>
      <c r="H108" s="8">
        <v>20.2</v>
      </c>
      <c r="K108" s="9" t="s">
        <v>16</v>
      </c>
      <c r="L108" s="3">
        <v>-4.3</v>
      </c>
      <c r="O108" s="9" t="s">
        <v>5</v>
      </c>
      <c r="P108" s="8">
        <v>-20.2</v>
      </c>
    </row>
    <row r="109" spans="1:16" hidden="1">
      <c r="C109" s="9" t="s">
        <v>69</v>
      </c>
      <c r="D109" s="8">
        <v>-100</v>
      </c>
      <c r="G109" s="9" t="s">
        <v>74</v>
      </c>
      <c r="H109" s="11">
        <v>-50</v>
      </c>
    </row>
    <row r="110" spans="1:16" hidden="1">
      <c r="C110" s="9" t="s">
        <v>81</v>
      </c>
      <c r="D110" s="3">
        <v>-37.5</v>
      </c>
    </row>
    <row r="111" spans="1:16" hidden="1"/>
    <row r="112" spans="1:16" hidden="1">
      <c r="A112" s="17">
        <v>43366</v>
      </c>
      <c r="C112" s="9" t="s">
        <v>82</v>
      </c>
      <c r="D112" s="3">
        <v>-3</v>
      </c>
      <c r="G112" s="9" t="s">
        <v>75</v>
      </c>
      <c r="H112" s="3">
        <v>-0.5</v>
      </c>
      <c r="K112" s="9" t="s">
        <v>85</v>
      </c>
      <c r="L112" s="3">
        <v>-6.26</v>
      </c>
    </row>
    <row r="113" spans="1:12" hidden="1">
      <c r="K113" s="9" t="s">
        <v>16</v>
      </c>
      <c r="L113" s="3">
        <v>-3.5</v>
      </c>
    </row>
    <row r="114" spans="1:12" hidden="1">
      <c r="K114" s="9" t="s">
        <v>19</v>
      </c>
      <c r="L114" s="4">
        <v>-1.1599999999999999</v>
      </c>
    </row>
    <row r="115" spans="1:12" hidden="1"/>
    <row r="116" spans="1:12" hidden="1">
      <c r="A116" s="17">
        <v>43367</v>
      </c>
      <c r="C116" s="9" t="s">
        <v>31</v>
      </c>
      <c r="D116" s="4">
        <v>-3</v>
      </c>
      <c r="G116" s="9" t="s">
        <v>76</v>
      </c>
      <c r="H116" s="11">
        <v>-9.5</v>
      </c>
      <c r="K116" s="9" t="s">
        <v>16</v>
      </c>
      <c r="L116" s="3">
        <v>-11.15</v>
      </c>
    </row>
    <row r="117" spans="1:12" hidden="1">
      <c r="C117" s="9" t="s">
        <v>84</v>
      </c>
      <c r="D117" s="11">
        <v>-15</v>
      </c>
      <c r="G117" s="9" t="s">
        <v>77</v>
      </c>
      <c r="H117" s="11">
        <v>4.03</v>
      </c>
    </row>
    <row r="118" spans="1:12" hidden="1"/>
    <row r="119" spans="1:12" hidden="1">
      <c r="A119" s="17">
        <v>43368</v>
      </c>
      <c r="K119" s="9" t="s">
        <v>16</v>
      </c>
      <c r="L119" s="3">
        <v>-19.100000000000001</v>
      </c>
    </row>
    <row r="120" spans="1:12" hidden="1"/>
    <row r="121" spans="1:12" hidden="1">
      <c r="A121" s="17">
        <v>43369</v>
      </c>
      <c r="C121" s="9" t="s">
        <v>83</v>
      </c>
      <c r="D121" s="2">
        <v>-65</v>
      </c>
      <c r="K121" s="9" t="s">
        <v>16</v>
      </c>
      <c r="L121" s="3">
        <v>-5.7</v>
      </c>
    </row>
    <row r="122" spans="1:12" hidden="1"/>
    <row r="123" spans="1:12" hidden="1"/>
    <row r="124" spans="1:12" hidden="1"/>
    <row r="125" spans="1:12" hidden="1"/>
    <row r="126" spans="1:12" hidden="1">
      <c r="A126" s="17">
        <v>43370</v>
      </c>
      <c r="G126" s="9" t="s">
        <v>47</v>
      </c>
      <c r="H126" s="8">
        <v>-16</v>
      </c>
    </row>
    <row r="127" spans="1:12" hidden="1">
      <c r="G127" s="9" t="s">
        <v>86</v>
      </c>
      <c r="H127" s="7">
        <f>2.46+1.04</f>
        <v>3.5</v>
      </c>
    </row>
    <row r="128" spans="1:12" hidden="1"/>
    <row r="129" spans="1:16" hidden="1"/>
    <row r="130" spans="1:16" hidden="1"/>
    <row r="131" spans="1:16" hidden="1"/>
    <row r="132" spans="1:16" hidden="1"/>
    <row r="133" spans="1:16" hidden="1"/>
    <row r="134" spans="1:16" hidden="1">
      <c r="A134" s="17">
        <v>43371</v>
      </c>
      <c r="C134" s="9" t="s">
        <v>87</v>
      </c>
      <c r="D134" s="11">
        <v>-40</v>
      </c>
      <c r="G134" s="9" t="s">
        <v>5</v>
      </c>
      <c r="H134" s="8">
        <v>58.63</v>
      </c>
      <c r="O134" s="9" t="s">
        <v>99</v>
      </c>
      <c r="P134" s="8">
        <v>58</v>
      </c>
    </row>
    <row r="135" spans="1:16" hidden="1">
      <c r="G135" s="9" t="s">
        <v>47</v>
      </c>
      <c r="H135" s="8">
        <v>-58</v>
      </c>
      <c r="O135" s="9" t="s">
        <v>100</v>
      </c>
      <c r="P135" s="8">
        <v>-58.63</v>
      </c>
    </row>
    <row r="136" spans="1:16" hidden="1"/>
    <row r="137" spans="1:16" hidden="1"/>
    <row r="138" spans="1:16" hidden="1"/>
    <row r="139" spans="1:16" hidden="1">
      <c r="A139" s="17">
        <v>43372</v>
      </c>
      <c r="K139" s="9" t="s">
        <v>142</v>
      </c>
      <c r="L139" s="3">
        <v>-14.35</v>
      </c>
      <c r="O139" s="9" t="s">
        <v>101</v>
      </c>
      <c r="P139" s="7">
        <v>60</v>
      </c>
    </row>
    <row r="140" spans="1:16" hidden="1">
      <c r="K140" s="9" t="s">
        <v>143</v>
      </c>
      <c r="L140" s="4">
        <v>-1.54</v>
      </c>
      <c r="O140" s="9" t="s">
        <v>102</v>
      </c>
      <c r="P140" s="7">
        <v>500</v>
      </c>
    </row>
    <row r="141" spans="1:16" hidden="1"/>
    <row r="142" spans="1:16" hidden="1"/>
    <row r="143" spans="1:16" hidden="1">
      <c r="A143" s="17">
        <v>43373</v>
      </c>
      <c r="C143" s="9" t="s">
        <v>140</v>
      </c>
      <c r="D143" s="11">
        <v>-34</v>
      </c>
      <c r="K143" s="9" t="s">
        <v>142</v>
      </c>
      <c r="L143" s="3">
        <v>-14.85</v>
      </c>
    </row>
    <row r="144" spans="1:16" hidden="1"/>
    <row r="145" spans="1:16" hidden="1"/>
    <row r="147" spans="1:16">
      <c r="A147" s="16" t="s">
        <v>141</v>
      </c>
    </row>
    <row r="148" spans="1:16" hidden="1">
      <c r="A148" s="17">
        <v>43374</v>
      </c>
      <c r="G148" s="9" t="s">
        <v>5</v>
      </c>
      <c r="H148" s="8">
        <v>469</v>
      </c>
      <c r="O148" s="9" t="s">
        <v>100</v>
      </c>
      <c r="P148" s="8">
        <v>-469</v>
      </c>
    </row>
    <row r="149" spans="1:16" hidden="1">
      <c r="G149" s="9" t="s">
        <v>88</v>
      </c>
      <c r="H149" s="11">
        <v>-450</v>
      </c>
    </row>
    <row r="150" spans="1:16" hidden="1">
      <c r="G150" s="9" t="s">
        <v>89</v>
      </c>
      <c r="H150" s="3">
        <v>-9</v>
      </c>
    </row>
    <row r="151" spans="1:16" hidden="1"/>
    <row r="152" spans="1:16" hidden="1"/>
    <row r="153" spans="1:16" hidden="1"/>
    <row r="154" spans="1:16" hidden="1"/>
    <row r="155" spans="1:16" hidden="1"/>
    <row r="156" spans="1:16" hidden="1"/>
    <row r="157" spans="1:16" hidden="1">
      <c r="A157" s="17">
        <v>43376</v>
      </c>
      <c r="G157" s="9" t="s">
        <v>90</v>
      </c>
      <c r="H157" s="3">
        <v>-1.5</v>
      </c>
    </row>
    <row r="158" spans="1:16" hidden="1">
      <c r="G158" s="9" t="s">
        <v>91</v>
      </c>
      <c r="H158">
        <v>12</v>
      </c>
    </row>
    <row r="159" spans="1:16" hidden="1"/>
    <row r="160" spans="1:16" hidden="1"/>
    <row r="161" spans="1:16" hidden="1">
      <c r="A161" s="17">
        <v>43377</v>
      </c>
      <c r="G161" s="9" t="s">
        <v>92</v>
      </c>
      <c r="H161" s="11">
        <v>-10</v>
      </c>
    </row>
    <row r="162" spans="1:16" hidden="1"/>
    <row r="163" spans="1:16" hidden="1"/>
    <row r="164" spans="1:16" hidden="1"/>
    <row r="165" spans="1:16" hidden="1"/>
    <row r="166" spans="1:16" hidden="1">
      <c r="A166" s="17">
        <v>43378</v>
      </c>
      <c r="G166" s="9" t="s">
        <v>93</v>
      </c>
      <c r="H166" s="8">
        <v>50</v>
      </c>
      <c r="O166" s="9" t="s">
        <v>100</v>
      </c>
      <c r="P166" s="8">
        <v>-50</v>
      </c>
    </row>
    <row r="167" spans="1:16" hidden="1">
      <c r="G167" s="9" t="s">
        <v>95</v>
      </c>
      <c r="H167" s="3">
        <v>-43</v>
      </c>
      <c r="O167" s="9" t="s">
        <v>94</v>
      </c>
      <c r="P167" s="3">
        <v>-21</v>
      </c>
    </row>
    <row r="168" spans="1:16" hidden="1"/>
    <row r="169" spans="1:16" hidden="1">
      <c r="A169" s="17">
        <v>43379</v>
      </c>
      <c r="G169" s="9" t="s">
        <v>89</v>
      </c>
      <c r="H169" s="3">
        <v>-18</v>
      </c>
      <c r="O169" s="9" t="s">
        <v>100</v>
      </c>
      <c r="P169" s="8">
        <v>-20</v>
      </c>
    </row>
    <row r="170" spans="1:16" hidden="1">
      <c r="G170" s="9" t="s">
        <v>93</v>
      </c>
      <c r="H170" s="8">
        <v>120</v>
      </c>
    </row>
    <row r="171" spans="1:16" hidden="1">
      <c r="G171" s="9" t="s">
        <v>96</v>
      </c>
      <c r="H171" s="3">
        <v>-21.25</v>
      </c>
    </row>
    <row r="172" spans="1:16" hidden="1">
      <c r="G172" s="9" t="s">
        <v>97</v>
      </c>
      <c r="H172" s="8">
        <v>-100</v>
      </c>
    </row>
    <row r="173" spans="1:16" hidden="1"/>
    <row r="174" spans="1:16" hidden="1"/>
    <row r="175" spans="1:16" hidden="1"/>
    <row r="176" spans="1:16" hidden="1"/>
    <row r="177" spans="1:8" hidden="1"/>
    <row r="178" spans="1:8" hidden="1"/>
    <row r="179" spans="1:8" hidden="1">
      <c r="A179" s="17">
        <v>43381</v>
      </c>
      <c r="G179" s="9" t="s">
        <v>93</v>
      </c>
      <c r="H179" s="8">
        <v>37</v>
      </c>
    </row>
    <row r="180" spans="1:8" hidden="1">
      <c r="G180" s="9" t="s">
        <v>98</v>
      </c>
      <c r="H180" s="11">
        <v>-27.3</v>
      </c>
    </row>
    <row r="181" spans="1:8" hidden="1"/>
    <row r="182" spans="1:8" hidden="1"/>
    <row r="183" spans="1:8" hidden="1"/>
    <row r="184" spans="1:8" hidden="1"/>
    <row r="185" spans="1:8" hidden="1"/>
    <row r="186" spans="1:8" hidden="1"/>
    <row r="187" spans="1:8" hidden="1"/>
    <row r="188" spans="1:8" hidden="1"/>
    <row r="189" spans="1:8" hidden="1"/>
    <row r="190" spans="1:8" hidden="1"/>
    <row r="191" spans="1:8" hidden="1"/>
    <row r="192" spans="1:8" hidden="1"/>
    <row r="193" spans="1:16" hidden="1"/>
    <row r="194" spans="1:16" hidden="1"/>
    <row r="195" spans="1:16" hidden="1"/>
    <row r="196" spans="1:16" hidden="1"/>
    <row r="197" spans="1:16" hidden="1"/>
    <row r="198" spans="1:16" hidden="1"/>
    <row r="199" spans="1:16" hidden="1"/>
    <row r="200" spans="1:16" hidden="1"/>
    <row r="201" spans="1:16" hidden="1"/>
    <row r="202" spans="1:16" hidden="1"/>
    <row r="203" spans="1:16" hidden="1"/>
    <row r="204" spans="1:16" hidden="1"/>
    <row r="205" spans="1:16" hidden="1"/>
    <row r="206" spans="1:16" hidden="1"/>
    <row r="207" spans="1:16" hidden="1">
      <c r="P207" s="12">
        <v>37.72</v>
      </c>
    </row>
    <row r="208" spans="1:16" hidden="1">
      <c r="A208" s="17">
        <v>43392</v>
      </c>
      <c r="K208" s="9" t="s">
        <v>104</v>
      </c>
      <c r="L208" s="8">
        <v>37.72</v>
      </c>
      <c r="O208" s="9" t="s">
        <v>104</v>
      </c>
      <c r="P208" s="8">
        <v>-37.72</v>
      </c>
    </row>
    <row r="209" spans="1:16" hidden="1">
      <c r="K209" s="9" t="s">
        <v>103</v>
      </c>
      <c r="L209" s="3">
        <v>-19.2</v>
      </c>
      <c r="O209" s="9" t="s">
        <v>105</v>
      </c>
      <c r="P209" s="7">
        <v>0.06</v>
      </c>
    </row>
    <row r="210" spans="1:16" hidden="1"/>
    <row r="211" spans="1:16" hidden="1"/>
    <row r="212" spans="1:16" hidden="1"/>
    <row r="213" spans="1:16" hidden="1"/>
    <row r="214" spans="1:16" hidden="1"/>
    <row r="215" spans="1:16" hidden="1"/>
    <row r="216" spans="1:16" hidden="1">
      <c r="A216" s="17">
        <v>43393</v>
      </c>
      <c r="C216" s="9" t="s">
        <v>104</v>
      </c>
      <c r="D216" s="8">
        <v>-3.53</v>
      </c>
      <c r="G216" s="9" t="s">
        <v>104</v>
      </c>
      <c r="H216" s="8">
        <v>-4.68</v>
      </c>
      <c r="K216" s="9" t="s">
        <v>103</v>
      </c>
      <c r="L216" s="3">
        <v>-21.75</v>
      </c>
      <c r="O216" s="9" t="s">
        <v>104</v>
      </c>
      <c r="P216" s="7">
        <v>0.08</v>
      </c>
    </row>
    <row r="217" spans="1:16" hidden="1">
      <c r="K217" s="9" t="s">
        <v>104</v>
      </c>
      <c r="L217" s="8">
        <v>8.27</v>
      </c>
      <c r="O217" s="9" t="s">
        <v>104</v>
      </c>
      <c r="P217" s="8">
        <v>-0.06</v>
      </c>
    </row>
    <row r="218" spans="1:16" hidden="1">
      <c r="L218" s="12">
        <v>9.49</v>
      </c>
    </row>
    <row r="219" spans="1:16" hidden="1">
      <c r="A219" s="17">
        <v>43394</v>
      </c>
      <c r="C219" s="9" t="s">
        <v>93</v>
      </c>
      <c r="D219" s="8">
        <v>50</v>
      </c>
      <c r="G219" s="9" t="s">
        <v>93</v>
      </c>
      <c r="H219" s="8">
        <v>50</v>
      </c>
      <c r="K219" s="9" t="s">
        <v>106</v>
      </c>
      <c r="L219" s="3">
        <v>-3.2</v>
      </c>
      <c r="O219" s="9" t="s">
        <v>47</v>
      </c>
      <c r="P219" s="7">
        <v>500</v>
      </c>
    </row>
    <row r="220" spans="1:16" hidden="1">
      <c r="G220" s="9" t="s">
        <v>106</v>
      </c>
      <c r="H220" s="7">
        <v>3</v>
      </c>
      <c r="K220" s="9" t="s">
        <v>103</v>
      </c>
      <c r="L220" s="3">
        <v>-22.6</v>
      </c>
      <c r="O220" s="9" t="s">
        <v>107</v>
      </c>
      <c r="P220" s="8">
        <v>-200</v>
      </c>
    </row>
    <row r="221" spans="1:16" hidden="1">
      <c r="K221" s="9" t="s">
        <v>110</v>
      </c>
      <c r="L221" s="8">
        <v>100</v>
      </c>
    </row>
    <row r="222" spans="1:16" hidden="1"/>
    <row r="224" spans="1:16">
      <c r="A224" s="16" t="s">
        <v>139</v>
      </c>
      <c r="D224" s="12"/>
      <c r="H224" s="12"/>
      <c r="L224" s="12"/>
      <c r="P224" s="12"/>
    </row>
    <row r="225" spans="1:16" hidden="1">
      <c r="A225" s="17">
        <v>43395</v>
      </c>
      <c r="G225" s="9" t="s">
        <v>109</v>
      </c>
      <c r="H225" s="3">
        <v>-6.5</v>
      </c>
      <c r="K225" s="9" t="s">
        <v>103</v>
      </c>
      <c r="L225" s="3">
        <v>-22.2</v>
      </c>
      <c r="O225" s="9" t="s">
        <v>108</v>
      </c>
      <c r="P225" s="4">
        <v>-3</v>
      </c>
    </row>
    <row r="226" spans="1:16" hidden="1"/>
    <row r="227" spans="1:16" hidden="1">
      <c r="A227" s="17">
        <v>43396</v>
      </c>
      <c r="G227" s="9" t="s">
        <v>111</v>
      </c>
      <c r="H227" s="8">
        <v>-10</v>
      </c>
      <c r="K227" s="9" t="s">
        <v>103</v>
      </c>
      <c r="L227" s="3">
        <v>-18.3</v>
      </c>
    </row>
    <row r="228" spans="1:16" hidden="1">
      <c r="K228" s="9" t="s">
        <v>112</v>
      </c>
      <c r="L228" s="4">
        <v>-2.12</v>
      </c>
    </row>
    <row r="229" spans="1:16" hidden="1"/>
    <row r="230" spans="1:16" hidden="1">
      <c r="A230" s="17">
        <v>43397</v>
      </c>
      <c r="C230" s="9" t="s">
        <v>113</v>
      </c>
      <c r="D230" s="2">
        <v>-5.4</v>
      </c>
      <c r="G230" s="9" t="s">
        <v>114</v>
      </c>
      <c r="H230" s="1">
        <v>8</v>
      </c>
      <c r="K230" s="9" t="s">
        <v>103</v>
      </c>
      <c r="L230" s="3">
        <v>-24.8</v>
      </c>
      <c r="O230" s="9" t="s">
        <v>115</v>
      </c>
      <c r="P230" s="2">
        <v>-45</v>
      </c>
    </row>
    <row r="231" spans="1:16" hidden="1">
      <c r="C231" s="9" t="s">
        <v>114</v>
      </c>
      <c r="D231" s="1">
        <v>-12</v>
      </c>
      <c r="O231" s="9" t="s">
        <v>73</v>
      </c>
      <c r="P231" s="8">
        <v>-200</v>
      </c>
    </row>
    <row r="232" spans="1:16" hidden="1">
      <c r="C232" s="9" t="s">
        <v>116</v>
      </c>
      <c r="D232" s="3">
        <v>-29</v>
      </c>
    </row>
    <row r="233" spans="1:16" hidden="1">
      <c r="C233" s="9" t="s">
        <v>117</v>
      </c>
      <c r="D233" s="11">
        <v>-12</v>
      </c>
    </row>
    <row r="234" spans="1:16" hidden="1">
      <c r="C234" s="9" t="s">
        <v>73</v>
      </c>
      <c r="D234" s="8">
        <v>200</v>
      </c>
    </row>
    <row r="235" spans="1:16" hidden="1"/>
    <row r="236" spans="1:16" hidden="1">
      <c r="A236" s="17">
        <v>43398</v>
      </c>
      <c r="K236" s="9" t="s">
        <v>103</v>
      </c>
      <c r="L236" s="3">
        <v>-21.35</v>
      </c>
      <c r="O236" s="9" t="s">
        <v>73</v>
      </c>
      <c r="P236" s="8">
        <v>-50</v>
      </c>
    </row>
    <row r="237" spans="1:16" hidden="1">
      <c r="K237" s="9" t="s">
        <v>118</v>
      </c>
      <c r="L237" s="8">
        <v>50</v>
      </c>
    </row>
    <row r="238" spans="1:16" hidden="1"/>
    <row r="239" spans="1:16" hidden="1">
      <c r="A239" s="17">
        <v>43399</v>
      </c>
      <c r="C239" s="9" t="s">
        <v>122</v>
      </c>
      <c r="D239" s="4">
        <v>-3</v>
      </c>
      <c r="G239" s="9" t="s">
        <v>119</v>
      </c>
      <c r="H239" s="1">
        <v>-10</v>
      </c>
      <c r="K239" s="9" t="s">
        <v>103</v>
      </c>
      <c r="L239" s="3">
        <v>-10</v>
      </c>
    </row>
    <row r="240" spans="1:16" hidden="1">
      <c r="C240" s="9" t="s">
        <v>121</v>
      </c>
      <c r="D240" s="8">
        <v>-10</v>
      </c>
      <c r="G240" s="9" t="s">
        <v>36</v>
      </c>
      <c r="H240" s="4">
        <v>-2</v>
      </c>
    </row>
    <row r="241" spans="1:16" hidden="1">
      <c r="C241" s="9" t="s">
        <v>123</v>
      </c>
      <c r="D241" s="11">
        <v>-5</v>
      </c>
    </row>
    <row r="242" spans="1:16" hidden="1"/>
    <row r="243" spans="1:16" hidden="1">
      <c r="A243" s="17">
        <v>43400</v>
      </c>
      <c r="G243" s="9" t="s">
        <v>120</v>
      </c>
      <c r="H243" s="2">
        <v>-18.8</v>
      </c>
      <c r="K243" s="9" t="s">
        <v>103</v>
      </c>
      <c r="L243" s="3">
        <v>-25</v>
      </c>
    </row>
    <row r="244" spans="1:16" hidden="1">
      <c r="G244" s="9" t="s">
        <v>121</v>
      </c>
      <c r="H244" s="8">
        <v>10</v>
      </c>
    </row>
    <row r="245" spans="1:16" hidden="1"/>
    <row r="246" spans="1:16" hidden="1">
      <c r="A246" s="17">
        <v>43401</v>
      </c>
      <c r="C246" s="9" t="s">
        <v>124</v>
      </c>
      <c r="D246" s="11">
        <v>-1.2</v>
      </c>
      <c r="G246" s="9" t="s">
        <v>47</v>
      </c>
      <c r="H246" s="8">
        <v>-23</v>
      </c>
      <c r="K246" s="9" t="s">
        <v>127</v>
      </c>
      <c r="L246" s="3">
        <v>-12.75</v>
      </c>
    </row>
    <row r="247" spans="1:16" hidden="1">
      <c r="C247" s="9" t="s">
        <v>125</v>
      </c>
      <c r="D247" s="11">
        <v>-9</v>
      </c>
      <c r="K247" s="9" t="s">
        <v>47</v>
      </c>
      <c r="L247" s="8">
        <v>23</v>
      </c>
    </row>
    <row r="248" spans="1:16" hidden="1">
      <c r="C248" s="9" t="s">
        <v>126</v>
      </c>
      <c r="D248" s="3">
        <v>-12</v>
      </c>
    </row>
    <row r="250" spans="1:16">
      <c r="A250" s="16" t="s">
        <v>172</v>
      </c>
    </row>
    <row r="251" spans="1:16" hidden="1">
      <c r="A251" s="17">
        <v>43402</v>
      </c>
      <c r="C251" s="9" t="s">
        <v>128</v>
      </c>
      <c r="D251" s="1">
        <v>-9</v>
      </c>
      <c r="G251" s="9" t="s">
        <v>131</v>
      </c>
      <c r="H251" s="7">
        <v>0.1</v>
      </c>
      <c r="K251" s="9" t="s">
        <v>112</v>
      </c>
      <c r="L251" s="4">
        <v>-2.08</v>
      </c>
      <c r="O251" s="9" t="s">
        <v>130</v>
      </c>
      <c r="P251" s="8">
        <v>50</v>
      </c>
    </row>
    <row r="252" spans="1:16" hidden="1">
      <c r="C252" s="9" t="s">
        <v>147</v>
      </c>
      <c r="D252" s="7">
        <v>300</v>
      </c>
      <c r="K252" s="9" t="s">
        <v>132</v>
      </c>
      <c r="L252" s="8">
        <v>50</v>
      </c>
    </row>
    <row r="253" spans="1:16" hidden="1">
      <c r="C253" s="9" t="s">
        <v>130</v>
      </c>
      <c r="D253" s="8">
        <v>-50</v>
      </c>
      <c r="K253" s="9" t="s">
        <v>103</v>
      </c>
      <c r="L253" s="3">
        <v>-21.9</v>
      </c>
    </row>
    <row r="254" spans="1:16" hidden="1">
      <c r="C254" s="9" t="s">
        <v>129</v>
      </c>
      <c r="D254" s="8">
        <v>-50</v>
      </c>
    </row>
    <row r="255" spans="1:16" hidden="1"/>
    <row r="256" spans="1:16" hidden="1">
      <c r="A256" s="17">
        <v>43403</v>
      </c>
      <c r="C256" s="9" t="s">
        <v>133</v>
      </c>
      <c r="D256" s="1">
        <v>-11.5</v>
      </c>
      <c r="K256" s="9" t="s">
        <v>136</v>
      </c>
      <c r="L256" s="3">
        <v>-25.45</v>
      </c>
    </row>
    <row r="257" spans="1:16" hidden="1">
      <c r="C257" s="9" t="s">
        <v>134</v>
      </c>
      <c r="D257" s="7">
        <v>0.2</v>
      </c>
    </row>
    <row r="258" spans="1:16" hidden="1">
      <c r="C258" s="9" t="s">
        <v>135</v>
      </c>
      <c r="D258" s="4">
        <v>-3</v>
      </c>
    </row>
    <row r="259" spans="1:16" hidden="1"/>
    <row r="260" spans="1:16" hidden="1">
      <c r="A260" s="17">
        <v>43404</v>
      </c>
      <c r="C260" s="9" t="s">
        <v>146</v>
      </c>
      <c r="D260" s="11">
        <v>-30</v>
      </c>
      <c r="K260" s="9" t="s">
        <v>152</v>
      </c>
      <c r="L260" s="3">
        <v>-22.8</v>
      </c>
      <c r="O260" s="9" t="s">
        <v>147</v>
      </c>
      <c r="P260" s="7">
        <v>548</v>
      </c>
    </row>
    <row r="261" spans="1:16" hidden="1">
      <c r="K261" s="9" t="s">
        <v>151</v>
      </c>
      <c r="L261" s="8">
        <v>30</v>
      </c>
      <c r="O261" s="9" t="s">
        <v>148</v>
      </c>
      <c r="P261" s="11">
        <v>-548</v>
      </c>
    </row>
    <row r="262" spans="1:16" hidden="1">
      <c r="O262" s="9" t="s">
        <v>149</v>
      </c>
      <c r="P262" s="7">
        <v>500</v>
      </c>
    </row>
    <row r="263" spans="1:16" hidden="1">
      <c r="O263" s="9" t="s">
        <v>154</v>
      </c>
      <c r="P263" s="8">
        <v>-30</v>
      </c>
    </row>
    <row r="264" spans="1:16" hidden="1"/>
    <row r="265" spans="1:16" hidden="1">
      <c r="A265" s="17">
        <v>43405</v>
      </c>
      <c r="C265" s="9" t="s">
        <v>150</v>
      </c>
      <c r="D265" s="8">
        <v>311.7</v>
      </c>
      <c r="K265" s="9" t="s">
        <v>152</v>
      </c>
      <c r="L265" s="3">
        <v>-25.8</v>
      </c>
      <c r="O265" s="9" t="s">
        <v>150</v>
      </c>
      <c r="P265" s="8">
        <v>-311.7</v>
      </c>
    </row>
    <row r="266" spans="1:16" hidden="1">
      <c r="K266" s="9" t="s">
        <v>153</v>
      </c>
      <c r="L266" s="3">
        <v>0.78</v>
      </c>
    </row>
    <row r="267" spans="1:16" hidden="1">
      <c r="D267" s="12"/>
      <c r="H267" s="12"/>
      <c r="L267" s="12"/>
      <c r="P267" s="12"/>
    </row>
    <row r="268" spans="1:16" hidden="1">
      <c r="A268" s="17">
        <v>43406</v>
      </c>
      <c r="K268" s="9" t="s">
        <v>157</v>
      </c>
      <c r="L268" s="3">
        <f>-27.8+3.9</f>
        <v>-23.900000000000002</v>
      </c>
      <c r="O268" s="9" t="s">
        <v>57</v>
      </c>
      <c r="P268" s="8">
        <v>-100</v>
      </c>
    </row>
    <row r="269" spans="1:16" hidden="1">
      <c r="K269" s="9" t="s">
        <v>160</v>
      </c>
      <c r="L269" s="8">
        <v>100</v>
      </c>
    </row>
    <row r="270" spans="1:16" hidden="1">
      <c r="K270" s="9" t="s">
        <v>159</v>
      </c>
      <c r="L270" s="4">
        <v>-1.94</v>
      </c>
    </row>
    <row r="271" spans="1:16" hidden="1"/>
    <row r="272" spans="1:16" hidden="1">
      <c r="A272" s="17">
        <v>43407</v>
      </c>
      <c r="K272" s="9" t="s">
        <v>157</v>
      </c>
      <c r="L272" s="3">
        <v>-11.6</v>
      </c>
      <c r="O272" s="9" t="s">
        <v>156</v>
      </c>
      <c r="P272" s="1">
        <v>-2</v>
      </c>
    </row>
    <row r="273" spans="1:16" hidden="1">
      <c r="K273" s="9" t="s">
        <v>158</v>
      </c>
      <c r="L273" s="4">
        <v>-1.88</v>
      </c>
    </row>
    <row r="274" spans="1:16" hidden="1">
      <c r="L274" s="12"/>
      <c r="P274" s="12"/>
    </row>
    <row r="275" spans="1:16" hidden="1">
      <c r="A275" s="17">
        <v>43408</v>
      </c>
      <c r="C275" s="9" t="s">
        <v>162</v>
      </c>
      <c r="D275" s="1">
        <v>-8.4</v>
      </c>
      <c r="K275" s="9" t="s">
        <v>164</v>
      </c>
      <c r="L275" s="3">
        <v>-25.9</v>
      </c>
      <c r="O275" s="9" t="s">
        <v>161</v>
      </c>
      <c r="P275" s="3">
        <v>-8</v>
      </c>
    </row>
    <row r="277" spans="1:16">
      <c r="A277" s="16" t="s">
        <v>205</v>
      </c>
      <c r="D277" s="12"/>
      <c r="L277" s="12"/>
      <c r="P277" s="12"/>
    </row>
    <row r="278" spans="1:16" hidden="1">
      <c r="A278" s="17">
        <v>43409</v>
      </c>
      <c r="C278" s="9" t="s">
        <v>165</v>
      </c>
      <c r="D278" s="3">
        <v>-13</v>
      </c>
      <c r="K278" s="9" t="s">
        <v>103</v>
      </c>
      <c r="L278" s="3">
        <v>-24.55</v>
      </c>
      <c r="O278" s="9" t="s">
        <v>163</v>
      </c>
      <c r="P278" s="1">
        <v>-1</v>
      </c>
    </row>
    <row r="279" spans="1:16" hidden="1"/>
    <row r="280" spans="1:16" hidden="1"/>
    <row r="281" spans="1:16" hidden="1">
      <c r="A281" s="17">
        <v>43410</v>
      </c>
      <c r="C281" s="9" t="s">
        <v>166</v>
      </c>
      <c r="D281" s="2">
        <v>-0.44</v>
      </c>
      <c r="K281" s="9" t="s">
        <v>170</v>
      </c>
      <c r="L281" s="8">
        <v>50</v>
      </c>
      <c r="O281" s="9" t="s">
        <v>167</v>
      </c>
      <c r="P281" s="7">
        <v>60</v>
      </c>
    </row>
    <row r="282" spans="1:16" hidden="1">
      <c r="K282" s="9" t="s">
        <v>103</v>
      </c>
      <c r="L282" s="3">
        <v>-17.559999999999999</v>
      </c>
      <c r="O282" s="9" t="s">
        <v>168</v>
      </c>
      <c r="P282" s="11">
        <v>-45</v>
      </c>
    </row>
    <row r="283" spans="1:16" hidden="1">
      <c r="K283" s="9" t="s">
        <v>153</v>
      </c>
      <c r="L283" s="3">
        <v>-7</v>
      </c>
      <c r="O283" s="9" t="s">
        <v>169</v>
      </c>
      <c r="P283" s="8">
        <v>-50</v>
      </c>
    </row>
    <row r="284" spans="1:16" hidden="1">
      <c r="D284" s="12"/>
      <c r="H284" s="12"/>
      <c r="L284" s="12"/>
      <c r="P284" s="12"/>
    </row>
    <row r="285" spans="1:16" hidden="1"/>
    <row r="286" spans="1:16" hidden="1">
      <c r="A286" s="17">
        <v>43411</v>
      </c>
      <c r="C286" s="9" t="s">
        <v>173</v>
      </c>
      <c r="D286" s="2">
        <v>-9.9</v>
      </c>
      <c r="K286" s="9" t="s">
        <v>177</v>
      </c>
      <c r="L286" s="3">
        <v>-21.4</v>
      </c>
      <c r="O286" s="9" t="s">
        <v>176</v>
      </c>
      <c r="P286" s="3">
        <v>-13</v>
      </c>
    </row>
    <row r="287" spans="1:16" hidden="1">
      <c r="C287" s="9" t="s">
        <v>174</v>
      </c>
      <c r="D287" s="4">
        <v>-3</v>
      </c>
      <c r="K287" s="9" t="s">
        <v>175</v>
      </c>
      <c r="L287" s="8">
        <v>50</v>
      </c>
      <c r="O287" s="9" t="s">
        <v>175</v>
      </c>
      <c r="P287" s="8">
        <v>-50</v>
      </c>
    </row>
    <row r="288" spans="1:16" hidden="1"/>
    <row r="289" spans="1:16" hidden="1">
      <c r="A289" s="17">
        <v>43412</v>
      </c>
      <c r="C289" s="9" t="s">
        <v>178</v>
      </c>
      <c r="D289" s="3">
        <v>-10</v>
      </c>
      <c r="K289" s="9" t="s">
        <v>181</v>
      </c>
      <c r="L289" s="3">
        <v>-21.1</v>
      </c>
    </row>
    <row r="290" spans="1:16" hidden="1">
      <c r="C290" s="9" t="s">
        <v>179</v>
      </c>
      <c r="D290" s="2">
        <v>-10.5</v>
      </c>
    </row>
    <row r="291" spans="1:16" hidden="1">
      <c r="C291" s="9" t="s">
        <v>180</v>
      </c>
      <c r="D291" s="7">
        <v>0.22</v>
      </c>
    </row>
    <row r="292" spans="1:16" hidden="1"/>
    <row r="293" spans="1:16" hidden="1">
      <c r="A293" s="17">
        <v>43413</v>
      </c>
      <c r="K293" s="9" t="s">
        <v>182</v>
      </c>
      <c r="L293" s="3">
        <v>-22.2</v>
      </c>
    </row>
    <row r="294" spans="1:16" hidden="1">
      <c r="K294" s="9" t="s">
        <v>183</v>
      </c>
      <c r="L294" s="4">
        <v>-1.98</v>
      </c>
    </row>
    <row r="295" spans="1:16" hidden="1"/>
    <row r="296" spans="1:16" hidden="1">
      <c r="A296" s="17">
        <v>43414</v>
      </c>
      <c r="C296" s="9" t="s">
        <v>184</v>
      </c>
      <c r="D296" s="11">
        <v>-50</v>
      </c>
      <c r="K296" s="9" t="s">
        <v>103</v>
      </c>
      <c r="L296" s="3">
        <v>-9.6999999999999993</v>
      </c>
    </row>
    <row r="297" spans="1:16" hidden="1"/>
    <row r="298" spans="1:16" hidden="1"/>
    <row r="299" spans="1:16" hidden="1"/>
    <row r="300" spans="1:16" hidden="1">
      <c r="A300" s="17">
        <v>43415</v>
      </c>
      <c r="K300" s="9" t="s">
        <v>185</v>
      </c>
      <c r="L300" s="8">
        <v>50</v>
      </c>
      <c r="O300" s="9" t="s">
        <v>149</v>
      </c>
      <c r="P300" s="7">
        <v>400</v>
      </c>
    </row>
    <row r="301" spans="1:16" hidden="1">
      <c r="O301" s="9" t="s">
        <v>32</v>
      </c>
      <c r="P301" s="1">
        <v>-29.78</v>
      </c>
    </row>
    <row r="302" spans="1:16" hidden="1">
      <c r="O302" s="9" t="s">
        <v>185</v>
      </c>
      <c r="P302" s="8">
        <v>-50</v>
      </c>
    </row>
    <row r="303" spans="1:16" hidden="1">
      <c r="O303" s="9" t="s">
        <v>186</v>
      </c>
      <c r="P303" s="3">
        <v>-42.8</v>
      </c>
    </row>
    <row r="304" spans="1:16" hidden="1">
      <c r="M304"/>
    </row>
    <row r="305" spans="1:16" hidden="1">
      <c r="A305" s="17">
        <v>43416</v>
      </c>
      <c r="K305" s="9" t="s">
        <v>188</v>
      </c>
      <c r="L305" s="3">
        <v>-24.1</v>
      </c>
      <c r="O305" s="9" t="s">
        <v>184</v>
      </c>
      <c r="P305" s="11">
        <v>-35</v>
      </c>
    </row>
    <row r="306" spans="1:16" hidden="1">
      <c r="O306" s="9" t="s">
        <v>187</v>
      </c>
      <c r="P306" s="11">
        <v>-30</v>
      </c>
    </row>
    <row r="308" spans="1:16">
      <c r="A308" s="16" t="s">
        <v>206</v>
      </c>
    </row>
    <row r="309" spans="1:16" hidden="1">
      <c r="A309" s="17">
        <v>43417</v>
      </c>
      <c r="K309" s="9" t="s">
        <v>103</v>
      </c>
      <c r="L309" s="3">
        <v>-23.7</v>
      </c>
      <c r="O309" s="9" t="s">
        <v>189</v>
      </c>
      <c r="P309" s="1">
        <v>-10</v>
      </c>
    </row>
    <row r="310" spans="1:16" hidden="1">
      <c r="O310" s="9" t="s">
        <v>190</v>
      </c>
      <c r="P310" s="4">
        <v>-3</v>
      </c>
    </row>
    <row r="311" spans="1:16" hidden="1"/>
    <row r="312" spans="1:16" hidden="1">
      <c r="A312" s="17">
        <v>43418</v>
      </c>
      <c r="C312" s="9" t="s">
        <v>191</v>
      </c>
      <c r="D312" s="2">
        <v>-0.22</v>
      </c>
      <c r="K312" s="9" t="s">
        <v>185</v>
      </c>
      <c r="L312" s="8">
        <v>50</v>
      </c>
      <c r="O312" s="9" t="s">
        <v>185</v>
      </c>
      <c r="P312" s="8">
        <v>-50</v>
      </c>
    </row>
    <row r="313" spans="1:16" hidden="1">
      <c r="C313" s="9" t="s">
        <v>192</v>
      </c>
      <c r="D313" s="3">
        <v>-13</v>
      </c>
      <c r="K313" s="9" t="s">
        <v>103</v>
      </c>
      <c r="L313" s="3">
        <v>-28.55</v>
      </c>
      <c r="O313" s="9" t="s">
        <v>194</v>
      </c>
      <c r="P313" s="7">
        <v>0.11</v>
      </c>
    </row>
    <row r="314" spans="1:16" hidden="1">
      <c r="C314" s="9" t="s">
        <v>193</v>
      </c>
      <c r="D314" s="2">
        <v>-27</v>
      </c>
    </row>
    <row r="315" spans="1:16" hidden="1"/>
    <row r="316" spans="1:16" hidden="1">
      <c r="A316" s="17">
        <v>43419</v>
      </c>
      <c r="C316" s="9" t="s">
        <v>195</v>
      </c>
      <c r="D316" s="3">
        <v>-4.5</v>
      </c>
      <c r="G316" s="9" t="s">
        <v>196</v>
      </c>
      <c r="H316" s="7">
        <v>2.35</v>
      </c>
      <c r="K316" s="9" t="s">
        <v>197</v>
      </c>
      <c r="L316" s="3">
        <v>-27.1</v>
      </c>
      <c r="O316" s="9" t="s">
        <v>198</v>
      </c>
      <c r="P316" s="11">
        <v>-2.5</v>
      </c>
    </row>
    <row r="317" spans="1:16" hidden="1">
      <c r="O317" s="9" t="s">
        <v>199</v>
      </c>
      <c r="P317" s="1">
        <v>-20</v>
      </c>
    </row>
    <row r="318" spans="1:16" hidden="1">
      <c r="D318">
        <v>21.08</v>
      </c>
    </row>
    <row r="319" spans="1:16" hidden="1">
      <c r="A319" s="17">
        <v>43420</v>
      </c>
      <c r="C319" s="9" t="s">
        <v>34</v>
      </c>
      <c r="D319" s="2">
        <v>-14</v>
      </c>
      <c r="K319" s="9" t="s">
        <v>103</v>
      </c>
      <c r="L319" s="3">
        <v>-22.95</v>
      </c>
      <c r="O319" s="9" t="s">
        <v>185</v>
      </c>
      <c r="P319" s="8">
        <v>-50</v>
      </c>
    </row>
    <row r="320" spans="1:16" hidden="1">
      <c r="K320" s="9" t="s">
        <v>185</v>
      </c>
      <c r="L320" s="8">
        <v>50</v>
      </c>
    </row>
    <row r="321" spans="1:16" hidden="1">
      <c r="K321" s="9" t="s">
        <v>112</v>
      </c>
      <c r="L321" s="4">
        <v>-2.52</v>
      </c>
    </row>
    <row r="322" spans="1:16" hidden="1"/>
    <row r="323" spans="1:16" hidden="1">
      <c r="A323" s="17">
        <v>43421</v>
      </c>
      <c r="C323" s="9" t="s">
        <v>178</v>
      </c>
      <c r="D323" s="3">
        <v>-5</v>
      </c>
      <c r="K323" s="9" t="s">
        <v>200</v>
      </c>
      <c r="L323" s="3">
        <v>-23.1</v>
      </c>
    </row>
    <row r="324" spans="1:16" hidden="1"/>
    <row r="325" spans="1:16" hidden="1">
      <c r="A325" s="17">
        <v>43422</v>
      </c>
      <c r="K325" s="9" t="s">
        <v>185</v>
      </c>
      <c r="L325" s="8">
        <v>50</v>
      </c>
      <c r="O325" s="9" t="s">
        <v>201</v>
      </c>
      <c r="P325" s="4">
        <v>-3</v>
      </c>
    </row>
    <row r="326" spans="1:16" hidden="1">
      <c r="K326" s="9" t="s">
        <v>103</v>
      </c>
      <c r="L326" s="3">
        <v>-24.9</v>
      </c>
      <c r="O326" s="9" t="s">
        <v>202</v>
      </c>
      <c r="P326" s="7">
        <v>0.3</v>
      </c>
    </row>
    <row r="327" spans="1:16" hidden="1">
      <c r="K327" s="9" t="s">
        <v>204</v>
      </c>
      <c r="L327" s="4">
        <v>-0.1</v>
      </c>
      <c r="O327" s="9" t="s">
        <v>185</v>
      </c>
      <c r="P327" s="8">
        <v>-50</v>
      </c>
    </row>
    <row r="328" spans="1:16" hidden="1">
      <c r="O328" s="9" t="s">
        <v>203</v>
      </c>
      <c r="P328" s="3">
        <v>-8</v>
      </c>
    </row>
    <row r="330" spans="1:16">
      <c r="A330" s="16" t="s">
        <v>252</v>
      </c>
    </row>
    <row r="331" spans="1:16" hidden="1">
      <c r="A331" s="17">
        <v>43423</v>
      </c>
      <c r="K331" s="9" t="s">
        <v>103</v>
      </c>
      <c r="L331" s="3">
        <v>-23.2</v>
      </c>
    </row>
    <row r="332" spans="1:16" hidden="1"/>
    <row r="333" spans="1:16" hidden="1">
      <c r="A333" s="17">
        <v>43424</v>
      </c>
      <c r="G333" s="9" t="s">
        <v>207</v>
      </c>
      <c r="H333" s="7">
        <v>500</v>
      </c>
      <c r="K333" s="9" t="s">
        <v>103</v>
      </c>
      <c r="L333" s="3">
        <v>-13.1</v>
      </c>
      <c r="O333" s="9" t="s">
        <v>210</v>
      </c>
      <c r="P333" s="1">
        <v>-10</v>
      </c>
    </row>
    <row r="334" spans="1:16" hidden="1">
      <c r="G334" s="9" t="s">
        <v>208</v>
      </c>
      <c r="H334" s="8">
        <v>-100</v>
      </c>
      <c r="K334" s="9" t="s">
        <v>185</v>
      </c>
      <c r="L334" s="8">
        <v>107</v>
      </c>
      <c r="O334" s="9" t="s">
        <v>211</v>
      </c>
      <c r="P334" s="8">
        <v>-7</v>
      </c>
    </row>
    <row r="335" spans="1:16" hidden="1">
      <c r="G335" s="9" t="s">
        <v>209</v>
      </c>
      <c r="H335" s="3">
        <v>-10</v>
      </c>
      <c r="O335" s="9" t="s">
        <v>212</v>
      </c>
      <c r="P335" s="7">
        <v>0.12</v>
      </c>
    </row>
    <row r="336" spans="1:16" hidden="1"/>
    <row r="337" spans="1:16" hidden="1">
      <c r="A337" s="17">
        <v>43425</v>
      </c>
      <c r="K337" s="9" t="s">
        <v>213</v>
      </c>
      <c r="L337" s="3">
        <v>-25.8</v>
      </c>
    </row>
    <row r="338" spans="1:16" hidden="1">
      <c r="H338">
        <v>393.15</v>
      </c>
    </row>
    <row r="339" spans="1:16" hidden="1">
      <c r="A339" s="17">
        <v>43426</v>
      </c>
      <c r="G339" s="9" t="s">
        <v>215</v>
      </c>
      <c r="H339" s="7">
        <v>-100</v>
      </c>
      <c r="K339" s="9" t="s">
        <v>221</v>
      </c>
      <c r="L339" s="3">
        <v>-20.5</v>
      </c>
      <c r="O339" s="9" t="s">
        <v>214</v>
      </c>
      <c r="P339" s="11">
        <v>-68.430000000000007</v>
      </c>
    </row>
    <row r="340" spans="1:16" hidden="1">
      <c r="G340" s="9" t="s">
        <v>216</v>
      </c>
      <c r="H340" s="8">
        <v>-70</v>
      </c>
      <c r="O340" s="9" t="s">
        <v>217</v>
      </c>
      <c r="P340" s="8">
        <v>70</v>
      </c>
    </row>
    <row r="341" spans="1:16" hidden="1">
      <c r="G341" s="9" t="s">
        <v>218</v>
      </c>
      <c r="H341" s="11">
        <v>-16</v>
      </c>
    </row>
    <row r="342" spans="1:16" hidden="1">
      <c r="G342" s="9" t="s">
        <v>219</v>
      </c>
      <c r="H342" s="7">
        <v>1.56</v>
      </c>
    </row>
    <row r="343" spans="1:16" hidden="1">
      <c r="G343" s="9" t="s">
        <v>220</v>
      </c>
      <c r="H343" s="3">
        <v>-4</v>
      </c>
    </row>
    <row r="344" spans="1:16" hidden="1"/>
    <row r="345" spans="1:16" hidden="1">
      <c r="A345" s="17">
        <v>43427</v>
      </c>
      <c r="C345" s="9" t="s">
        <v>222</v>
      </c>
      <c r="D345" s="7">
        <v>30</v>
      </c>
      <c r="G345" s="9" t="s">
        <v>165</v>
      </c>
      <c r="H345" s="3">
        <v>-9</v>
      </c>
      <c r="K345" s="9" t="s">
        <v>103</v>
      </c>
      <c r="L345" s="3">
        <v>-20.9</v>
      </c>
    </row>
    <row r="346" spans="1:16" hidden="1">
      <c r="G346" s="9" t="s">
        <v>223</v>
      </c>
      <c r="H346" s="2">
        <v>-0.2</v>
      </c>
    </row>
    <row r="347" spans="1:16" hidden="1"/>
    <row r="348" spans="1:16" hidden="1">
      <c r="A348" s="17">
        <v>43428</v>
      </c>
      <c r="C348" s="9" t="s">
        <v>224</v>
      </c>
      <c r="D348" s="11">
        <v>-29.8</v>
      </c>
      <c r="G348" s="9" t="s">
        <v>90</v>
      </c>
      <c r="H348" s="3">
        <v>-8</v>
      </c>
      <c r="K348" s="9" t="s">
        <v>89</v>
      </c>
      <c r="L348" s="3">
        <v>-7.8</v>
      </c>
    </row>
    <row r="349" spans="1:16" hidden="1">
      <c r="C349" s="9" t="s">
        <v>31</v>
      </c>
      <c r="D349" s="4">
        <v>-3</v>
      </c>
      <c r="G349" s="9" t="s">
        <v>176</v>
      </c>
      <c r="H349" s="3">
        <v>-24</v>
      </c>
      <c r="K349" s="9" t="s">
        <v>112</v>
      </c>
      <c r="L349" s="4">
        <v>-2.56</v>
      </c>
    </row>
    <row r="350" spans="1:16" hidden="1">
      <c r="G350" s="9" t="s">
        <v>165</v>
      </c>
      <c r="H350" s="3">
        <v>-11</v>
      </c>
    </row>
    <row r="351" spans="1:16" hidden="1">
      <c r="G351" s="9" t="s">
        <v>105</v>
      </c>
      <c r="H351" s="11">
        <v>0.1</v>
      </c>
    </row>
    <row r="352" spans="1:16" hidden="1"/>
    <row r="353" spans="1:16" hidden="1">
      <c r="A353" s="17">
        <v>43429</v>
      </c>
      <c r="G353" s="9" t="s">
        <v>47</v>
      </c>
      <c r="H353" s="8">
        <v>-50</v>
      </c>
      <c r="K353" s="9" t="s">
        <v>103</v>
      </c>
      <c r="L353" s="3">
        <v>-25.5</v>
      </c>
    </row>
    <row r="354" spans="1:16" hidden="1">
      <c r="K354" s="9" t="s">
        <v>47</v>
      </c>
      <c r="L354" s="8">
        <v>50</v>
      </c>
    </row>
    <row r="355" spans="1:16" hidden="1"/>
    <row r="357" spans="1:16" ht="19.149999999999999" customHeight="1">
      <c r="A357" s="16" t="s">
        <v>253</v>
      </c>
    </row>
    <row r="358" spans="1:16" hidden="1">
      <c r="A358" s="17">
        <v>43430</v>
      </c>
      <c r="C358" s="9" t="s">
        <v>231</v>
      </c>
      <c r="D358" s="3">
        <v>-10</v>
      </c>
      <c r="G358" s="9" t="s">
        <v>225</v>
      </c>
      <c r="H358" s="1">
        <v>-10</v>
      </c>
      <c r="K358" s="9" t="s">
        <v>103</v>
      </c>
      <c r="L358" s="3">
        <v>-24.7</v>
      </c>
    </row>
    <row r="359" spans="1:16" hidden="1">
      <c r="C359" s="9" t="s">
        <v>231</v>
      </c>
      <c r="D359" s="3">
        <v>-7.5</v>
      </c>
      <c r="G359" s="9" t="s">
        <v>226</v>
      </c>
      <c r="H359" s="7">
        <v>200</v>
      </c>
      <c r="K359" s="9" t="s">
        <v>153</v>
      </c>
      <c r="L359" s="11">
        <v>-3</v>
      </c>
    </row>
    <row r="360" spans="1:16" hidden="1">
      <c r="G360" s="9" t="s">
        <v>227</v>
      </c>
      <c r="H360" s="2">
        <v>-198.94</v>
      </c>
    </row>
    <row r="361" spans="1:16" hidden="1"/>
    <row r="362" spans="1:16" hidden="1">
      <c r="A362" s="17">
        <v>43431</v>
      </c>
      <c r="C362" s="9" t="s">
        <v>232</v>
      </c>
      <c r="D362" s="7">
        <v>0.1</v>
      </c>
      <c r="G362" s="9" t="s">
        <v>228</v>
      </c>
      <c r="H362" s="8">
        <v>-50</v>
      </c>
      <c r="K362" s="9" t="s">
        <v>47</v>
      </c>
      <c r="L362" s="8">
        <v>50</v>
      </c>
      <c r="O362" s="9" t="s">
        <v>130</v>
      </c>
      <c r="P362" s="8">
        <v>10</v>
      </c>
    </row>
    <row r="363" spans="1:16" hidden="1">
      <c r="C363" s="9" t="s">
        <v>233</v>
      </c>
      <c r="D363" s="2">
        <v>3.27</v>
      </c>
      <c r="G363" s="9" t="s">
        <v>229</v>
      </c>
      <c r="H363" s="2">
        <v>-28</v>
      </c>
      <c r="K363" s="9" t="s">
        <v>103</v>
      </c>
      <c r="L363" s="3">
        <v>-25.3</v>
      </c>
      <c r="O363" s="9" t="s">
        <v>233</v>
      </c>
      <c r="P363" s="2">
        <v>-3.27</v>
      </c>
    </row>
    <row r="364" spans="1:16" hidden="1">
      <c r="D364">
        <v>-21.41</v>
      </c>
      <c r="G364" s="9" t="s">
        <v>230</v>
      </c>
      <c r="H364" s="8">
        <v>-10</v>
      </c>
      <c r="K364" s="9" t="s">
        <v>204</v>
      </c>
      <c r="L364" s="4">
        <v>-0.06</v>
      </c>
    </row>
    <row r="365" spans="1:16" hidden="1"/>
    <row r="366" spans="1:16" hidden="1">
      <c r="A366" s="17">
        <v>43432</v>
      </c>
      <c r="C366" s="9" t="s">
        <v>234</v>
      </c>
      <c r="D366" s="8">
        <v>-32.06</v>
      </c>
      <c r="K366" s="9" t="s">
        <v>103</v>
      </c>
      <c r="L366" s="3">
        <v>-26.85</v>
      </c>
      <c r="O366" s="9" t="s">
        <v>130</v>
      </c>
      <c r="P366" s="8">
        <v>32.06</v>
      </c>
    </row>
    <row r="367" spans="1:16" hidden="1"/>
    <row r="368" spans="1:16" hidden="1">
      <c r="A368" s="17">
        <v>43433</v>
      </c>
      <c r="K368" s="9" t="s">
        <v>236</v>
      </c>
      <c r="L368" s="3">
        <v>-29.8</v>
      </c>
      <c r="O368" s="9" t="s">
        <v>235</v>
      </c>
      <c r="P368" s="8">
        <v>-39</v>
      </c>
    </row>
    <row r="369" spans="1:12" hidden="1">
      <c r="K369" s="9" t="s">
        <v>237</v>
      </c>
      <c r="L369" s="4">
        <v>-0.02</v>
      </c>
    </row>
    <row r="370" spans="1:12" hidden="1">
      <c r="K370" s="9" t="s">
        <v>235</v>
      </c>
      <c r="L370" s="8">
        <v>39</v>
      </c>
    </row>
    <row r="371" spans="1:12" hidden="1"/>
    <row r="372" spans="1:12" hidden="1">
      <c r="A372" s="17">
        <v>43434</v>
      </c>
      <c r="C372" s="9" t="s">
        <v>238</v>
      </c>
      <c r="D372" s="1">
        <v>-32.799999999999997</v>
      </c>
      <c r="G372" s="9" t="s">
        <v>239</v>
      </c>
      <c r="H372" s="8">
        <v>-100</v>
      </c>
      <c r="K372" s="9" t="s">
        <v>239</v>
      </c>
      <c r="L372" s="8">
        <v>100</v>
      </c>
    </row>
    <row r="373" spans="1:12" hidden="1">
      <c r="G373" s="9" t="s">
        <v>240</v>
      </c>
      <c r="H373" s="1">
        <v>-20</v>
      </c>
      <c r="K373" s="9" t="s">
        <v>245</v>
      </c>
      <c r="L373" s="3">
        <v>-24.1</v>
      </c>
    </row>
    <row r="374" spans="1:12" hidden="1">
      <c r="G374" s="9" t="s">
        <v>241</v>
      </c>
      <c r="H374" s="11">
        <v>-70</v>
      </c>
      <c r="K374" s="9" t="s">
        <v>244</v>
      </c>
      <c r="L374" s="4">
        <v>-2.56</v>
      </c>
    </row>
    <row r="375" spans="1:12" hidden="1">
      <c r="G375" s="9" t="s">
        <v>242</v>
      </c>
      <c r="H375" s="7">
        <v>500</v>
      </c>
    </row>
    <row r="376" spans="1:12" hidden="1">
      <c r="G376" s="9" t="s">
        <v>243</v>
      </c>
      <c r="H376" s="2">
        <v>-1.2</v>
      </c>
    </row>
    <row r="377" spans="1:12" hidden="1"/>
    <row r="378" spans="1:12" hidden="1">
      <c r="A378" s="17">
        <v>43435</v>
      </c>
      <c r="C378" s="9" t="s">
        <v>246</v>
      </c>
      <c r="D378" s="3">
        <v>-9</v>
      </c>
      <c r="K378" s="9" t="s">
        <v>247</v>
      </c>
      <c r="L378" s="3">
        <v>-31.9</v>
      </c>
    </row>
    <row r="379" spans="1:12" hidden="1"/>
    <row r="380" spans="1:12" hidden="1">
      <c r="A380" s="17">
        <v>43436</v>
      </c>
      <c r="G380" s="9" t="s">
        <v>249</v>
      </c>
      <c r="H380" s="1">
        <v>-2</v>
      </c>
      <c r="K380" s="9" t="s">
        <v>250</v>
      </c>
      <c r="L380" s="3">
        <v>-14.1</v>
      </c>
    </row>
    <row r="381" spans="1:12" hidden="1">
      <c r="G381" s="9" t="s">
        <v>248</v>
      </c>
      <c r="H381" s="7">
        <v>0.1</v>
      </c>
      <c r="K381" s="9" t="s">
        <v>251</v>
      </c>
      <c r="L381" s="11">
        <v>-4</v>
      </c>
    </row>
    <row r="382" spans="1:12" hidden="1">
      <c r="G382" s="9" t="s">
        <v>250</v>
      </c>
      <c r="H382" s="3">
        <v>-58</v>
      </c>
    </row>
    <row r="384" spans="1:12">
      <c r="A384" s="16" t="s">
        <v>285</v>
      </c>
    </row>
    <row r="385" spans="1:19">
      <c r="A385" s="17">
        <v>43437</v>
      </c>
    </row>
    <row r="386" spans="1:19">
      <c r="K386" s="9" t="s">
        <v>103</v>
      </c>
      <c r="L386" s="3">
        <v>-13.9</v>
      </c>
    </row>
    <row r="391" spans="1:19">
      <c r="A391" s="17">
        <v>43438</v>
      </c>
      <c r="C391" s="9" t="s">
        <v>165</v>
      </c>
      <c r="D391" s="3">
        <v>-8</v>
      </c>
      <c r="G391" s="9" t="s">
        <v>165</v>
      </c>
      <c r="H391" s="3">
        <v>-9</v>
      </c>
      <c r="K391" s="9" t="s">
        <v>103</v>
      </c>
      <c r="L391" s="3">
        <v>-24.2</v>
      </c>
    </row>
    <row r="392" spans="1:19">
      <c r="C392" s="9" t="s">
        <v>31</v>
      </c>
      <c r="D392" s="4">
        <v>-3</v>
      </c>
    </row>
    <row r="396" spans="1:19">
      <c r="A396" s="17">
        <v>43439</v>
      </c>
      <c r="G396" s="9" t="s">
        <v>165</v>
      </c>
      <c r="H396" s="3">
        <v>-8.5</v>
      </c>
      <c r="K396" s="9" t="s">
        <v>103</v>
      </c>
      <c r="L396" s="3">
        <v>-10</v>
      </c>
      <c r="O396" s="9" t="s">
        <v>167</v>
      </c>
      <c r="P396" s="7">
        <v>60</v>
      </c>
      <c r="S396" s="9" t="e">
        <f>支付宝</f>
        <v>#VALUE!</v>
      </c>
    </row>
    <row r="402" spans="1:16">
      <c r="A402" s="17">
        <v>43440</v>
      </c>
      <c r="C402" s="9" t="s">
        <v>257</v>
      </c>
      <c r="D402" s="1">
        <v>-6</v>
      </c>
      <c r="G402" s="9" t="s">
        <v>256</v>
      </c>
      <c r="H402" s="7">
        <v>1.74</v>
      </c>
      <c r="K402" s="9" t="s">
        <v>73</v>
      </c>
      <c r="L402" s="8">
        <v>100</v>
      </c>
      <c r="O402" s="9" t="s">
        <v>254</v>
      </c>
      <c r="P402" s="8">
        <v>30</v>
      </c>
    </row>
    <row r="403" spans="1:16">
      <c r="C403" s="9" t="s">
        <v>258</v>
      </c>
      <c r="D403" s="8">
        <v>10</v>
      </c>
      <c r="G403" s="9" t="s">
        <v>130</v>
      </c>
      <c r="H403" s="8">
        <v>-30</v>
      </c>
      <c r="K403" s="9" t="s">
        <v>103</v>
      </c>
      <c r="L403" s="3">
        <v>-26.2</v>
      </c>
      <c r="O403" s="9" t="s">
        <v>99</v>
      </c>
      <c r="P403" s="8">
        <v>-10</v>
      </c>
    </row>
    <row r="404" spans="1:16">
      <c r="G404" s="9" t="s">
        <v>165</v>
      </c>
      <c r="H404" s="3">
        <v>-9</v>
      </c>
      <c r="O404" s="9" t="s">
        <v>255</v>
      </c>
      <c r="P404" s="11">
        <v>-1</v>
      </c>
    </row>
    <row r="405" spans="1:16">
      <c r="G405" s="9" t="s">
        <v>47</v>
      </c>
      <c r="H405" s="8">
        <v>-100</v>
      </c>
    </row>
    <row r="406" spans="1:16">
      <c r="H406">
        <v>99.81</v>
      </c>
      <c r="L406">
        <v>74.8</v>
      </c>
    </row>
    <row r="407" spans="1:16">
      <c r="A407" s="17">
        <v>43441</v>
      </c>
      <c r="G407" s="9" t="s">
        <v>259</v>
      </c>
      <c r="H407" s="11">
        <v>-13</v>
      </c>
      <c r="K407" s="9" t="s">
        <v>103</v>
      </c>
      <c r="L407" s="3">
        <v>-29.1</v>
      </c>
    </row>
    <row r="408" spans="1:16">
      <c r="G408" s="9" t="s">
        <v>123</v>
      </c>
      <c r="H408" s="11">
        <v>-5.5</v>
      </c>
    </row>
    <row r="410" spans="1:16">
      <c r="A410" s="17">
        <v>43442</v>
      </c>
      <c r="G410" s="9" t="s">
        <v>262</v>
      </c>
      <c r="H410" s="3">
        <v>-22</v>
      </c>
      <c r="K410" s="9" t="s">
        <v>268</v>
      </c>
      <c r="L410" s="3">
        <v>-23.9</v>
      </c>
    </row>
    <row r="411" spans="1:16">
      <c r="G411" s="9" t="s">
        <v>264</v>
      </c>
      <c r="H411" s="4">
        <v>-2</v>
      </c>
    </row>
    <row r="413" spans="1:16">
      <c r="A413" s="17">
        <v>43443</v>
      </c>
      <c r="G413" s="9" t="s">
        <v>260</v>
      </c>
      <c r="H413" s="3">
        <v>-12</v>
      </c>
      <c r="K413" s="9" t="s">
        <v>268</v>
      </c>
      <c r="L413" s="3">
        <v>-7.1</v>
      </c>
    </row>
    <row r="414" spans="1:16">
      <c r="G414" s="9" t="s">
        <v>261</v>
      </c>
      <c r="H414" s="7">
        <v>0.06</v>
      </c>
    </row>
    <row r="415" spans="1:16">
      <c r="G415" s="9" t="s">
        <v>262</v>
      </c>
      <c r="H415" s="3">
        <v>-13</v>
      </c>
    </row>
    <row r="417" spans="1:16">
      <c r="A417" s="17">
        <v>43444</v>
      </c>
      <c r="C417" s="9" t="s">
        <v>267</v>
      </c>
      <c r="D417" s="8">
        <v>48.62</v>
      </c>
      <c r="G417" s="9" t="s">
        <v>263</v>
      </c>
      <c r="H417" s="8">
        <v>-32.369999999999997</v>
      </c>
      <c r="K417" s="9" t="s">
        <v>268</v>
      </c>
      <c r="L417" s="3">
        <v>-25.65</v>
      </c>
      <c r="O417" s="9" t="s">
        <v>266</v>
      </c>
      <c r="P417" s="8">
        <v>-50</v>
      </c>
    </row>
    <row r="418" spans="1:16">
      <c r="C418" s="9" t="s">
        <v>265</v>
      </c>
      <c r="D418" s="4">
        <v>-3</v>
      </c>
      <c r="K418" s="9" t="s">
        <v>266</v>
      </c>
      <c r="L418" s="8">
        <v>50</v>
      </c>
      <c r="O418" s="9" t="s">
        <v>267</v>
      </c>
      <c r="P418" s="8">
        <v>-48.62</v>
      </c>
    </row>
    <row r="419" spans="1:16">
      <c r="O419" s="9" t="s">
        <v>263</v>
      </c>
      <c r="P419" s="8">
        <v>32.369999999999997</v>
      </c>
    </row>
    <row r="421" spans="1:16">
      <c r="A421" s="17">
        <v>43445</v>
      </c>
      <c r="C421" s="9" t="s">
        <v>166</v>
      </c>
      <c r="D421" s="2">
        <v>-0.02</v>
      </c>
      <c r="G421" s="9" t="s">
        <v>149</v>
      </c>
      <c r="H421" s="7">
        <v>500</v>
      </c>
      <c r="K421" s="9" t="s">
        <v>103</v>
      </c>
      <c r="L421" s="3">
        <v>-23.35</v>
      </c>
    </row>
    <row r="422" spans="1:16">
      <c r="K422" s="9" t="s">
        <v>112</v>
      </c>
      <c r="L422" s="4">
        <v>-2.02</v>
      </c>
    </row>
    <row r="423" spans="1:16">
      <c r="K423" s="9" t="s">
        <v>153</v>
      </c>
      <c r="L423" s="3">
        <v>-2</v>
      </c>
    </row>
    <row r="425" spans="1:16">
      <c r="A425" s="17">
        <v>43446</v>
      </c>
      <c r="G425" s="9" t="s">
        <v>105</v>
      </c>
      <c r="H425" s="7">
        <v>0.1</v>
      </c>
      <c r="K425" s="9" t="s">
        <v>103</v>
      </c>
      <c r="L425" s="3">
        <v>-20.6</v>
      </c>
      <c r="O425" s="9" t="s">
        <v>269</v>
      </c>
      <c r="P425" s="11">
        <v>-0.13</v>
      </c>
    </row>
    <row r="426" spans="1:16">
      <c r="G426" s="9" t="s">
        <v>124</v>
      </c>
      <c r="H426" s="8">
        <v>0.6</v>
      </c>
      <c r="K426" s="9" t="s">
        <v>73</v>
      </c>
      <c r="L426" s="8">
        <v>100</v>
      </c>
      <c r="O426" s="9" t="s">
        <v>124</v>
      </c>
      <c r="P426" s="2">
        <v>-1.2</v>
      </c>
    </row>
    <row r="427" spans="1:16">
      <c r="G427" s="9" t="s">
        <v>47</v>
      </c>
      <c r="H427" s="8">
        <v>-100</v>
      </c>
      <c r="O427" s="9" t="s">
        <v>124</v>
      </c>
      <c r="P427" s="8">
        <v>-0.6</v>
      </c>
    </row>
    <row r="429" spans="1:16">
      <c r="A429" s="17">
        <v>43447</v>
      </c>
      <c r="G429" s="9" t="s">
        <v>111</v>
      </c>
      <c r="H429" s="1">
        <v>-30</v>
      </c>
      <c r="K429" s="9" t="s">
        <v>103</v>
      </c>
      <c r="L429" s="3">
        <v>-24.35</v>
      </c>
    </row>
    <row r="431" spans="1:16">
      <c r="A431" s="17">
        <v>43448</v>
      </c>
      <c r="C431" s="9" t="s">
        <v>31</v>
      </c>
      <c r="D431" s="4">
        <v>-3</v>
      </c>
      <c r="G431" s="9" t="s">
        <v>270</v>
      </c>
      <c r="H431" s="8">
        <f>5</f>
        <v>5</v>
      </c>
      <c r="K431" s="9" t="s">
        <v>103</v>
      </c>
      <c r="L431" s="3">
        <v>-24.35</v>
      </c>
    </row>
    <row r="432" spans="1:16">
      <c r="K432" s="9" t="s">
        <v>270</v>
      </c>
      <c r="L432" s="8">
        <v>-5</v>
      </c>
    </row>
    <row r="434" spans="1:20">
      <c r="A434" s="17">
        <v>43449</v>
      </c>
      <c r="C434" s="9" t="s">
        <v>271</v>
      </c>
      <c r="D434" s="1">
        <v>-20</v>
      </c>
      <c r="G434" s="9" t="s">
        <v>165</v>
      </c>
      <c r="H434" s="3">
        <v>-12.5</v>
      </c>
      <c r="K434" s="9" t="s">
        <v>103</v>
      </c>
      <c r="L434" s="3">
        <v>-23.9</v>
      </c>
      <c r="O434" s="9" t="s">
        <v>272</v>
      </c>
      <c r="P434" s="11">
        <v>0.13</v>
      </c>
    </row>
    <row r="435" spans="1:20">
      <c r="C435" s="9" t="s">
        <v>105</v>
      </c>
      <c r="D435" s="7">
        <v>0.18</v>
      </c>
    </row>
    <row r="437" spans="1:20">
      <c r="A437" s="17">
        <v>43450</v>
      </c>
      <c r="C437" s="9" t="s">
        <v>273</v>
      </c>
      <c r="D437" s="2">
        <v>-123.84</v>
      </c>
      <c r="G437" s="9" t="s">
        <v>47</v>
      </c>
      <c r="H437" s="8">
        <v>-100</v>
      </c>
      <c r="K437" s="19" t="s">
        <v>274</v>
      </c>
      <c r="L437" s="20">
        <v>-24.9</v>
      </c>
    </row>
    <row r="438" spans="1:20">
      <c r="K438" s="9" t="s">
        <v>47</v>
      </c>
      <c r="L438" s="8">
        <v>100</v>
      </c>
    </row>
    <row r="440" spans="1:20">
      <c r="A440" s="17">
        <v>43451</v>
      </c>
      <c r="C440" s="9" t="s">
        <v>275</v>
      </c>
      <c r="D440" s="2">
        <v>-235</v>
      </c>
      <c r="G440" s="9" t="s">
        <v>130</v>
      </c>
      <c r="H440" s="8">
        <v>-50</v>
      </c>
      <c r="K440" s="9" t="s">
        <v>103</v>
      </c>
      <c r="L440" s="20">
        <v>-24.1</v>
      </c>
      <c r="O440" s="9" t="s">
        <v>217</v>
      </c>
      <c r="P440" s="8">
        <v>50</v>
      </c>
      <c r="S440" s="9" t="s">
        <v>279</v>
      </c>
      <c r="T440" s="8">
        <f>10</f>
        <v>10</v>
      </c>
    </row>
    <row r="441" spans="1:20">
      <c r="C441" s="9" t="s">
        <v>277</v>
      </c>
      <c r="D441" s="1">
        <v>-32.799999999999997</v>
      </c>
      <c r="G441" s="9" t="s">
        <v>278</v>
      </c>
      <c r="H441" s="2">
        <v>-18</v>
      </c>
      <c r="K441" t="s">
        <v>279</v>
      </c>
      <c r="L441" s="8">
        <v>-10</v>
      </c>
      <c r="O441" s="9" t="s">
        <v>276</v>
      </c>
      <c r="P441" s="2">
        <v>-35</v>
      </c>
    </row>
    <row r="442" spans="1:20">
      <c r="L442" s="13"/>
    </row>
    <row r="445" spans="1:20">
      <c r="A445" s="17">
        <v>43452</v>
      </c>
      <c r="C445" s="9" t="s">
        <v>166</v>
      </c>
      <c r="D445" s="2">
        <v>-0.22</v>
      </c>
      <c r="G445" s="9" t="s">
        <v>165</v>
      </c>
      <c r="H445" s="20">
        <v>-8</v>
      </c>
      <c r="K445" s="9" t="s">
        <v>103</v>
      </c>
      <c r="L445" s="20">
        <v>-25.94</v>
      </c>
    </row>
    <row r="446" spans="1:20">
      <c r="C446" s="9" t="s">
        <v>105</v>
      </c>
      <c r="D446" s="7">
        <v>0.18</v>
      </c>
    </row>
    <row r="448" spans="1:20">
      <c r="A448" s="17">
        <v>43453</v>
      </c>
      <c r="C448" s="9" t="s">
        <v>267</v>
      </c>
      <c r="D448" s="8">
        <v>150</v>
      </c>
      <c r="G448" s="9" t="s">
        <v>267</v>
      </c>
      <c r="H448" s="8">
        <v>-150</v>
      </c>
      <c r="K448" s="9" t="s">
        <v>112</v>
      </c>
      <c r="L448" s="4">
        <v>-1.8</v>
      </c>
    </row>
    <row r="449" spans="1:16">
      <c r="C449" s="9" t="s">
        <v>153</v>
      </c>
      <c r="D449" s="11">
        <v>-30</v>
      </c>
      <c r="G449" s="9" t="s">
        <v>280</v>
      </c>
      <c r="H449" s="11">
        <v>-6</v>
      </c>
      <c r="K449" s="9" t="s">
        <v>103</v>
      </c>
      <c r="L449" s="20">
        <v>-13.22</v>
      </c>
    </row>
    <row r="452" spans="1:16">
      <c r="A452" s="17">
        <v>43454</v>
      </c>
      <c r="C452" s="9" t="s">
        <v>31</v>
      </c>
      <c r="D452" s="4">
        <v>-3</v>
      </c>
      <c r="G452" s="9" t="s">
        <v>47</v>
      </c>
      <c r="H452" s="8">
        <v>-30</v>
      </c>
      <c r="K452" s="9" t="s">
        <v>103</v>
      </c>
      <c r="L452" s="20">
        <v>-23.55</v>
      </c>
    </row>
    <row r="453" spans="1:16">
      <c r="K453" s="9" t="s">
        <v>47</v>
      </c>
      <c r="L453" s="8">
        <v>30</v>
      </c>
    </row>
    <row r="455" spans="1:16">
      <c r="A455" s="17">
        <v>43455</v>
      </c>
      <c r="G455" s="9" t="s">
        <v>105</v>
      </c>
      <c r="H455" s="7">
        <v>500</v>
      </c>
      <c r="K455" s="9" t="s">
        <v>47</v>
      </c>
      <c r="L455" s="8">
        <v>100</v>
      </c>
      <c r="O455" s="9" t="s">
        <v>166</v>
      </c>
      <c r="P455" s="2">
        <v>-3</v>
      </c>
    </row>
    <row r="456" spans="1:16">
      <c r="G456" s="9" t="s">
        <v>47</v>
      </c>
      <c r="H456" s="8">
        <v>-100</v>
      </c>
      <c r="K456" s="9" t="s">
        <v>103</v>
      </c>
      <c r="L456" s="20">
        <v>-25.8</v>
      </c>
      <c r="O456" s="9" t="s">
        <v>78</v>
      </c>
      <c r="P456" s="7">
        <v>0.05</v>
      </c>
    </row>
    <row r="457" spans="1:16">
      <c r="G457" s="9" t="s">
        <v>165</v>
      </c>
      <c r="H457" s="20">
        <v>-18</v>
      </c>
    </row>
    <row r="459" spans="1:16">
      <c r="A459" s="17">
        <v>43456</v>
      </c>
      <c r="K459" s="9" t="s">
        <v>103</v>
      </c>
      <c r="L459" s="20">
        <v>-20</v>
      </c>
    </row>
    <row r="461" spans="1:16">
      <c r="A461" s="17">
        <v>43457</v>
      </c>
      <c r="G461" s="9" t="s">
        <v>281</v>
      </c>
      <c r="H461" s="11">
        <v>-300</v>
      </c>
      <c r="K461" s="9" t="s">
        <v>103</v>
      </c>
      <c r="L461" s="20">
        <v>-29.6</v>
      </c>
    </row>
    <row r="463" spans="1:16">
      <c r="A463" s="17">
        <v>43458</v>
      </c>
      <c r="G463" s="9" t="s">
        <v>282</v>
      </c>
      <c r="H463" s="7">
        <v>200</v>
      </c>
      <c r="K463" s="9" t="s">
        <v>103</v>
      </c>
      <c r="L463" s="20">
        <v>-23.75</v>
      </c>
    </row>
    <row r="464" spans="1:16">
      <c r="G464" s="9" t="s">
        <v>105</v>
      </c>
      <c r="H464" s="7">
        <v>1.38</v>
      </c>
      <c r="K464" s="9" t="s">
        <v>204</v>
      </c>
      <c r="L464" s="4">
        <v>-0.02</v>
      </c>
    </row>
    <row r="465" spans="1:20">
      <c r="G465" s="9" t="s">
        <v>105</v>
      </c>
      <c r="H465" s="7">
        <v>6.66</v>
      </c>
      <c r="K465" s="9" t="s">
        <v>153</v>
      </c>
      <c r="L465" s="11">
        <v>-5</v>
      </c>
    </row>
    <row r="467" spans="1:20">
      <c r="A467" s="17">
        <v>43459</v>
      </c>
      <c r="G467" s="9" t="s">
        <v>47</v>
      </c>
      <c r="H467" s="8">
        <v>-100</v>
      </c>
      <c r="K467" s="9" t="s">
        <v>103</v>
      </c>
      <c r="L467" s="20">
        <v>-25.9</v>
      </c>
    </row>
    <row r="468" spans="1:20">
      <c r="K468" s="9" t="s">
        <v>204</v>
      </c>
      <c r="L468" s="4">
        <v>-0.45</v>
      </c>
    </row>
    <row r="470" spans="1:20">
      <c r="A470" s="17">
        <v>43460</v>
      </c>
      <c r="K470" s="9" t="s">
        <v>103</v>
      </c>
      <c r="L470" s="20">
        <v>-24.4</v>
      </c>
    </row>
    <row r="471" spans="1:20">
      <c r="K471" s="9" t="s">
        <v>47</v>
      </c>
      <c r="L471" s="8">
        <v>100</v>
      </c>
    </row>
    <row r="472" spans="1:20">
      <c r="D472">
        <v>-294.5</v>
      </c>
      <c r="H472">
        <f>SUM(H454:H467)</f>
        <v>190.04000000000002</v>
      </c>
      <c r="L472">
        <f>SUM(L454:L471)</f>
        <v>45.080000000000005</v>
      </c>
      <c r="P472">
        <f>SUM(P454:P456)</f>
        <v>-2.95</v>
      </c>
      <c r="T472">
        <v>10</v>
      </c>
    </row>
  </sheetData>
  <mergeCells count="5">
    <mergeCell ref="O1:Q1"/>
    <mergeCell ref="S1:U1"/>
    <mergeCell ref="C1:E1"/>
    <mergeCell ref="G1:I1"/>
    <mergeCell ref="K1:M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S396" sqref="S396"/>
    </sheetView>
  </sheetViews>
  <sheetFormatPr defaultColWidth="8.625" defaultRowHeight="15.75"/>
  <cols>
    <col min="1" max="1" width="18.375" bestFit="1" customWidth="1"/>
    <col min="2" max="2" width="10" bestFit="1" customWidth="1"/>
    <col min="3" max="3" width="12.125" bestFit="1" customWidth="1"/>
    <col min="4" max="4" width="13.875" bestFit="1" customWidth="1"/>
    <col min="5" max="5" width="11.125" bestFit="1" customWidth="1"/>
    <col min="6" max="7" width="12.125" bestFit="1" customWidth="1"/>
    <col min="8" max="9" width="11.125" bestFit="1" customWidth="1"/>
    <col min="10" max="10" width="8.625" style="22"/>
  </cols>
  <sheetData>
    <row r="1" spans="1:10" s="15" customFormat="1">
      <c r="A1" s="18" t="s">
        <v>38</v>
      </c>
      <c r="B1" s="15" t="s">
        <v>144</v>
      </c>
      <c r="C1" s="15" t="s">
        <v>139</v>
      </c>
      <c r="D1" s="15" t="s">
        <v>171</v>
      </c>
      <c r="E1" s="15" t="s">
        <v>205</v>
      </c>
      <c r="F1" s="15" t="s">
        <v>206</v>
      </c>
      <c r="G1" s="15" t="s">
        <v>252</v>
      </c>
      <c r="H1" s="15" t="s">
        <v>253</v>
      </c>
      <c r="I1" s="15" t="s">
        <v>283</v>
      </c>
      <c r="J1" s="21" t="s">
        <v>284</v>
      </c>
    </row>
    <row r="2" spans="1:10">
      <c r="A2" s="1" t="s">
        <v>10</v>
      </c>
      <c r="B2">
        <v>-660.4</v>
      </c>
      <c r="C2">
        <v>-14</v>
      </c>
      <c r="D2">
        <v>-31.9</v>
      </c>
      <c r="E2">
        <v>-30.78</v>
      </c>
      <c r="F2">
        <v>-30</v>
      </c>
      <c r="G2">
        <v>-10</v>
      </c>
      <c r="H2">
        <v>-54.8</v>
      </c>
      <c r="I2">
        <v>-88.8</v>
      </c>
      <c r="J2" s="22">
        <f>SUM(B2:I2)</f>
        <v>-920.67999999999984</v>
      </c>
    </row>
    <row r="3" spans="1:10">
      <c r="A3" s="2" t="s">
        <v>11</v>
      </c>
      <c r="B3">
        <v>-471.3</v>
      </c>
      <c r="C3">
        <v>-69.2</v>
      </c>
      <c r="D3">
        <v>0</v>
      </c>
      <c r="E3">
        <v>-20.84</v>
      </c>
      <c r="F3">
        <v>-41.22</v>
      </c>
      <c r="G3">
        <v>-0.2</v>
      </c>
      <c r="H3">
        <v>-228.14</v>
      </c>
      <c r="I3">
        <v>-416.28</v>
      </c>
      <c r="J3" s="22">
        <f>SUM(B3:I3)</f>
        <v>-1247.18</v>
      </c>
    </row>
    <row r="4" spans="1:10">
      <c r="A4" s="3" t="s">
        <v>12</v>
      </c>
      <c r="B4">
        <v>-850.39</v>
      </c>
      <c r="C4" s="13">
        <v>-181.9</v>
      </c>
      <c r="D4">
        <v>-164.57</v>
      </c>
      <c r="E4">
        <v>-226.41</v>
      </c>
      <c r="F4">
        <v>-180.8</v>
      </c>
      <c r="G4">
        <v>-202.8</v>
      </c>
      <c r="H4">
        <v>-261.25</v>
      </c>
      <c r="I4">
        <v>-659.76</v>
      </c>
      <c r="J4" s="22">
        <f>SUM(B4:I4)</f>
        <v>-2727.88</v>
      </c>
    </row>
    <row r="5" spans="1:10">
      <c r="A5" s="4" t="s">
        <v>13</v>
      </c>
      <c r="B5">
        <v>-69.099999999999994</v>
      </c>
      <c r="C5">
        <v>-10.119999999999999</v>
      </c>
      <c r="D5">
        <v>-8.9</v>
      </c>
      <c r="E5">
        <v>-4.9800000000000004</v>
      </c>
      <c r="F5">
        <v>-8.6199999999999992</v>
      </c>
      <c r="G5">
        <v>-5.56</v>
      </c>
      <c r="H5">
        <v>-2.64</v>
      </c>
      <c r="I5">
        <v>-18.29</v>
      </c>
      <c r="J5" s="22">
        <f t="shared" ref="J5:J7" si="0">SUM(B5:I5)</f>
        <v>-128.21</v>
      </c>
    </row>
    <row r="6" spans="1:10">
      <c r="A6" s="11" t="s">
        <v>138</v>
      </c>
      <c r="B6">
        <v>-437.47</v>
      </c>
      <c r="C6">
        <v>-27.2</v>
      </c>
      <c r="D6">
        <v>-578</v>
      </c>
      <c r="E6">
        <v>-160</v>
      </c>
      <c r="F6">
        <v>-2.5</v>
      </c>
      <c r="G6">
        <v>-114.13</v>
      </c>
      <c r="H6">
        <v>-77</v>
      </c>
      <c r="I6">
        <v>-360.5</v>
      </c>
      <c r="J6" s="22">
        <f t="shared" si="0"/>
        <v>-1756.8000000000002</v>
      </c>
    </row>
    <row r="7" spans="1:10">
      <c r="A7" s="7" t="s">
        <v>137</v>
      </c>
      <c r="B7">
        <v>3162.35</v>
      </c>
      <c r="C7">
        <v>0</v>
      </c>
      <c r="D7">
        <v>1348.3</v>
      </c>
      <c r="E7">
        <v>460.22</v>
      </c>
      <c r="F7">
        <v>2.76</v>
      </c>
      <c r="G7">
        <v>431.68</v>
      </c>
      <c r="H7">
        <v>700.2</v>
      </c>
      <c r="I7">
        <v>1270.3499999999999</v>
      </c>
      <c r="J7" s="22">
        <f t="shared" si="0"/>
        <v>7375.8600000000006</v>
      </c>
    </row>
    <row r="8" spans="1:10" s="14" customFormat="1">
      <c r="A8" s="14" t="s">
        <v>284</v>
      </c>
      <c r="B8" s="14">
        <f t="shared" ref="B8:H8" si="1">SUM(B2:B7)</f>
        <v>673.69</v>
      </c>
      <c r="C8" s="14">
        <f t="shared" si="1"/>
        <v>-302.42</v>
      </c>
      <c r="D8" s="14">
        <f t="shared" si="1"/>
        <v>564.92999999999995</v>
      </c>
      <c r="E8" s="14">
        <f t="shared" si="1"/>
        <v>17.210000000000036</v>
      </c>
      <c r="F8" s="14">
        <f t="shared" si="1"/>
        <v>-260.38</v>
      </c>
      <c r="G8" s="14">
        <f t="shared" si="1"/>
        <v>98.990000000000009</v>
      </c>
      <c r="H8" s="14">
        <f t="shared" si="1"/>
        <v>76.37</v>
      </c>
      <c r="I8" s="14">
        <f>SUM(I2:I7)</f>
        <v>-273.27999999999997</v>
      </c>
      <c r="J8" s="22">
        <f>SUM(J2:J7)</f>
        <v>595.11000000000058</v>
      </c>
    </row>
    <row r="10" spans="1:10">
      <c r="B10" t="s">
        <v>145</v>
      </c>
    </row>
    <row r="12" spans="1:10">
      <c r="A12" s="6"/>
      <c r="C12" s="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Y109"/>
  <sheetViews>
    <sheetView zoomScaleNormal="100" zoomScaleSheetLayoutView="100" workbookViewId="0">
      <pane xSplit="3" ySplit="1" topLeftCell="F14" activePane="bottomRight" state="frozen"/>
      <selection pane="topRight" activeCell="C1" sqref="C1"/>
      <selection pane="bottomLeft" activeCell="A2" sqref="A2"/>
      <selection pane="bottomRight" activeCell="P24" sqref="P24"/>
    </sheetView>
  </sheetViews>
  <sheetFormatPr defaultColWidth="10.875" defaultRowHeight="15.75"/>
  <cols>
    <col min="1" max="1" width="7.25" customWidth="1"/>
    <col min="2" max="2" width="10" bestFit="1" customWidth="1"/>
    <col min="3" max="3" width="7.125" bestFit="1" customWidth="1"/>
    <col min="4" max="17" width="9.875" customWidth="1"/>
    <col min="18" max="18" width="9.875" style="23" customWidth="1"/>
    <col min="19" max="24" width="9.875" customWidth="1"/>
  </cols>
  <sheetData>
    <row r="1" spans="1:25">
      <c r="A1" t="s">
        <v>310</v>
      </c>
      <c r="B1" s="24" t="s">
        <v>286</v>
      </c>
      <c r="C1" s="36" t="s">
        <v>308</v>
      </c>
      <c r="D1" s="24" t="s">
        <v>32</v>
      </c>
      <c r="E1" s="24" t="s">
        <v>179</v>
      </c>
      <c r="F1" s="25" t="s">
        <v>287</v>
      </c>
      <c r="G1" s="25" t="s">
        <v>288</v>
      </c>
      <c r="H1" s="25" t="s">
        <v>82</v>
      </c>
      <c r="I1" s="34" t="s">
        <v>204</v>
      </c>
      <c r="J1" s="24" t="s">
        <v>289</v>
      </c>
      <c r="K1" s="24" t="s">
        <v>302</v>
      </c>
      <c r="L1" s="24" t="s">
        <v>290</v>
      </c>
      <c r="M1" s="24" t="s">
        <v>305</v>
      </c>
      <c r="N1" s="26" t="s">
        <v>306</v>
      </c>
      <c r="O1" s="27" t="s">
        <v>307</v>
      </c>
      <c r="P1" s="27" t="s">
        <v>291</v>
      </c>
      <c r="Q1" s="27" t="s">
        <v>304</v>
      </c>
      <c r="R1" s="28" t="s">
        <v>292</v>
      </c>
      <c r="S1" s="29" t="s">
        <v>41</v>
      </c>
      <c r="T1" s="29" t="s">
        <v>303</v>
      </c>
      <c r="U1" s="29" t="s">
        <v>43</v>
      </c>
      <c r="V1" s="29" t="s">
        <v>57</v>
      </c>
      <c r="W1" s="29" t="s">
        <v>44</v>
      </c>
      <c r="X1" s="30" t="s">
        <v>300</v>
      </c>
      <c r="Y1" s="33" t="s">
        <v>309</v>
      </c>
    </row>
    <row r="2" spans="1:25">
      <c r="A2">
        <v>1</v>
      </c>
      <c r="B2" s="31">
        <v>43153</v>
      </c>
      <c r="C2" s="24" t="s">
        <v>301</v>
      </c>
      <c r="D2" s="24"/>
      <c r="E2" s="24"/>
      <c r="F2" s="24">
        <v>0</v>
      </c>
      <c r="G2" s="24">
        <v>9</v>
      </c>
      <c r="H2" s="24">
        <v>10</v>
      </c>
      <c r="I2" s="24">
        <v>0.38</v>
      </c>
      <c r="J2" s="24"/>
      <c r="K2" s="24">
        <v>4</v>
      </c>
      <c r="L2" s="24"/>
      <c r="M2" s="24"/>
      <c r="N2" s="24"/>
      <c r="O2" s="24"/>
      <c r="P2" s="24"/>
      <c r="Q2" s="24"/>
      <c r="R2" s="32">
        <f>SUM(S2:W2)</f>
        <v>1753.92</v>
      </c>
      <c r="S2" s="24">
        <v>254.96</v>
      </c>
      <c r="T2" s="24">
        <v>-65.900000000000006</v>
      </c>
      <c r="U2" s="24">
        <v>554.79</v>
      </c>
      <c r="V2" s="24">
        <v>10.07</v>
      </c>
      <c r="W2" s="24">
        <v>1000</v>
      </c>
      <c r="X2" s="24">
        <f>SUM(D2:Q2,S2:W2)-1777.3</f>
        <v>0</v>
      </c>
      <c r="Y2" s="23">
        <f>SUM(D2:N2)</f>
        <v>23.38</v>
      </c>
    </row>
    <row r="3" spans="1:25">
      <c r="A3">
        <v>1</v>
      </c>
      <c r="B3" s="31">
        <v>43154</v>
      </c>
      <c r="C3" s="24" t="s">
        <v>298</v>
      </c>
      <c r="D3" s="24"/>
      <c r="E3" s="24">
        <v>82.9</v>
      </c>
      <c r="F3" s="24">
        <v>7.3</v>
      </c>
      <c r="G3" s="24">
        <v>8</v>
      </c>
      <c r="H3" s="24">
        <v>10</v>
      </c>
      <c r="I3" s="24">
        <v>0.02</v>
      </c>
      <c r="J3" s="24">
        <v>2.2200000000000002</v>
      </c>
      <c r="K3" s="24"/>
      <c r="L3" s="24"/>
      <c r="M3" s="24">
        <v>12</v>
      </c>
      <c r="N3" s="24">
        <v>-0.02</v>
      </c>
      <c r="O3" s="24"/>
      <c r="P3" s="24"/>
      <c r="Q3" s="24">
        <v>-9</v>
      </c>
      <c r="R3" s="32">
        <f>SUM(S3:W3)</f>
        <v>1640.5</v>
      </c>
      <c r="S3" s="24">
        <v>263.95999999999998</v>
      </c>
      <c r="T3" s="24">
        <v>-148.80000000000001</v>
      </c>
      <c r="U3" s="24">
        <v>442.79</v>
      </c>
      <c r="V3" s="24">
        <v>82.55</v>
      </c>
      <c r="W3" s="24">
        <v>1000</v>
      </c>
      <c r="X3" s="24">
        <f t="shared" ref="X3:X39" si="0">SUM(D3:Q3,S3:W3)-R2</f>
        <v>0</v>
      </c>
      <c r="Y3" s="23">
        <f>SUM(D3:N3)</f>
        <v>122.42</v>
      </c>
    </row>
    <row r="4" spans="1:25">
      <c r="A4">
        <v>1</v>
      </c>
      <c r="B4" s="31">
        <v>43155</v>
      </c>
      <c r="C4" s="24" t="s">
        <v>299</v>
      </c>
      <c r="D4" s="24"/>
      <c r="E4" s="24">
        <v>104.7</v>
      </c>
      <c r="F4" s="24">
        <v>6.4</v>
      </c>
      <c r="G4" s="24">
        <v>10</v>
      </c>
      <c r="H4" s="24">
        <v>40</v>
      </c>
      <c r="I4" s="24">
        <v>0.1</v>
      </c>
      <c r="J4" s="24"/>
      <c r="K4" s="24"/>
      <c r="L4" s="24"/>
      <c r="M4" s="24">
        <v>15</v>
      </c>
      <c r="N4" s="24">
        <v>-0.1</v>
      </c>
      <c r="O4" s="24">
        <v>-0.1</v>
      </c>
      <c r="P4" s="24"/>
      <c r="Q4" s="24"/>
      <c r="R4" s="32">
        <f t="shared" ref="R4:R17" si="1">SUM(S4:W4)</f>
        <v>1464.5</v>
      </c>
      <c r="S4" s="24">
        <v>263.95999999999998</v>
      </c>
      <c r="T4" s="24">
        <v>-163.69999999999999</v>
      </c>
      <c r="U4" s="24">
        <v>298.08999999999997</v>
      </c>
      <c r="V4" s="24">
        <v>66.150000000000006</v>
      </c>
      <c r="W4" s="24">
        <v>1000</v>
      </c>
      <c r="X4" s="24">
        <f t="shared" si="0"/>
        <v>0</v>
      </c>
      <c r="Y4" s="23">
        <f t="shared" ref="Y4:Y31" si="2">SUM(D4:N4)</f>
        <v>176.10000000000002</v>
      </c>
    </row>
    <row r="5" spans="1:25">
      <c r="A5">
        <v>2</v>
      </c>
      <c r="B5" s="31">
        <v>43156</v>
      </c>
      <c r="C5" s="24" t="s">
        <v>293</v>
      </c>
      <c r="D5" s="24"/>
      <c r="E5" s="24">
        <f>50.6+2.5+0.9+21.8</f>
        <v>75.8</v>
      </c>
      <c r="F5" s="24">
        <v>4.8</v>
      </c>
      <c r="G5" s="24">
        <v>10</v>
      </c>
      <c r="H5" s="24">
        <v>11.25</v>
      </c>
      <c r="I5" s="24">
        <v>0.14000000000000001</v>
      </c>
      <c r="J5" s="24"/>
      <c r="K5" s="24"/>
      <c r="L5" s="24"/>
      <c r="M5" s="24"/>
      <c r="N5" s="24">
        <v>-0.02</v>
      </c>
      <c r="O5" s="24"/>
      <c r="P5" s="24"/>
      <c r="Q5" s="24">
        <v>-13.5</v>
      </c>
      <c r="R5" s="32">
        <f>SUM(S5:W5)</f>
        <v>1376.03</v>
      </c>
      <c r="S5" s="24">
        <v>213.36</v>
      </c>
      <c r="T5" s="24">
        <v>-188.9</v>
      </c>
      <c r="U5" s="24">
        <v>311.58999999999997</v>
      </c>
      <c r="V5" s="24">
        <v>39.979999999999997</v>
      </c>
      <c r="W5" s="24">
        <v>1000</v>
      </c>
      <c r="X5" s="24">
        <f t="shared" si="0"/>
        <v>0</v>
      </c>
      <c r="Y5" s="23">
        <f t="shared" si="2"/>
        <v>101.97</v>
      </c>
    </row>
    <row r="6" spans="1:25">
      <c r="A6">
        <v>2</v>
      </c>
      <c r="B6" s="31">
        <v>43157</v>
      </c>
      <c r="C6" s="24" t="s">
        <v>294</v>
      </c>
      <c r="D6" s="24">
        <v>5</v>
      </c>
      <c r="E6" s="24">
        <v>0.9</v>
      </c>
      <c r="F6" s="24">
        <v>6</v>
      </c>
      <c r="G6" s="24">
        <v>8</v>
      </c>
      <c r="H6" s="24">
        <v>10</v>
      </c>
      <c r="I6" s="24">
        <v>2</v>
      </c>
      <c r="J6" s="24"/>
      <c r="K6" s="24"/>
      <c r="L6" s="24"/>
      <c r="M6" s="24">
        <v>0.1</v>
      </c>
      <c r="N6" s="24"/>
      <c r="O6" s="24"/>
      <c r="P6" s="24"/>
      <c r="Q6" s="24"/>
      <c r="R6" s="32">
        <f t="shared" si="1"/>
        <v>1344.03</v>
      </c>
      <c r="S6" s="24">
        <v>213.36</v>
      </c>
      <c r="T6" s="24">
        <v>-195.9</v>
      </c>
      <c r="U6" s="24">
        <v>310.69</v>
      </c>
      <c r="V6" s="24">
        <v>15.88</v>
      </c>
      <c r="W6" s="24">
        <v>1000</v>
      </c>
      <c r="X6" s="24">
        <f t="shared" si="0"/>
        <v>0</v>
      </c>
      <c r="Y6" s="23">
        <f t="shared" si="2"/>
        <v>32</v>
      </c>
    </row>
    <row r="7" spans="1:25">
      <c r="A7">
        <v>2</v>
      </c>
      <c r="B7" s="31">
        <v>43158</v>
      </c>
      <c r="C7" s="24" t="s">
        <v>295</v>
      </c>
      <c r="D7" s="24"/>
      <c r="E7" s="24"/>
      <c r="F7" s="24">
        <v>8</v>
      </c>
      <c r="G7" s="24">
        <v>8</v>
      </c>
      <c r="H7" s="24">
        <v>10.25</v>
      </c>
      <c r="I7" s="24">
        <v>0.52</v>
      </c>
      <c r="J7" s="24"/>
      <c r="K7" s="24"/>
      <c r="L7" s="24"/>
      <c r="M7" s="24">
        <v>50</v>
      </c>
      <c r="N7" s="24">
        <v>-0.1</v>
      </c>
      <c r="O7" s="24">
        <v>-0.02</v>
      </c>
      <c r="P7" s="24"/>
      <c r="Q7" s="24"/>
      <c r="R7" s="32">
        <f t="shared" si="1"/>
        <v>1267.3800000000001</v>
      </c>
      <c r="S7" s="24">
        <v>213.38</v>
      </c>
      <c r="T7" s="24">
        <v>-195.9</v>
      </c>
      <c r="U7" s="24">
        <v>160.69</v>
      </c>
      <c r="V7" s="24">
        <v>89.21</v>
      </c>
      <c r="W7" s="24">
        <v>1000</v>
      </c>
      <c r="X7" s="24">
        <f t="shared" si="0"/>
        <v>0</v>
      </c>
      <c r="Y7" s="23">
        <f>SUM(D7:N7)</f>
        <v>76.67</v>
      </c>
    </row>
    <row r="8" spans="1:25">
      <c r="A8">
        <v>2</v>
      </c>
      <c r="B8" s="31">
        <v>43159</v>
      </c>
      <c r="C8" s="24" t="s">
        <v>296</v>
      </c>
      <c r="D8" s="24"/>
      <c r="E8" s="24"/>
      <c r="F8" s="24">
        <v>6.3</v>
      </c>
      <c r="G8" s="24">
        <v>9</v>
      </c>
      <c r="H8" s="24">
        <v>10.5</v>
      </c>
      <c r="I8" s="24">
        <v>0.02</v>
      </c>
      <c r="J8" s="24">
        <v>1.88</v>
      </c>
      <c r="K8" s="24"/>
      <c r="L8" s="24"/>
      <c r="M8" s="24"/>
      <c r="N8" s="24">
        <v>0.02</v>
      </c>
      <c r="O8" s="24">
        <v>-0.02</v>
      </c>
      <c r="P8" s="24">
        <v>-500</v>
      </c>
      <c r="Q8" s="24"/>
      <c r="R8" s="32">
        <f t="shared" si="1"/>
        <v>1739.68</v>
      </c>
      <c r="S8" s="24">
        <v>213.4</v>
      </c>
      <c r="T8" s="24">
        <v>-195.9</v>
      </c>
      <c r="U8" s="24">
        <v>660.69</v>
      </c>
      <c r="V8" s="24">
        <v>61.49</v>
      </c>
      <c r="W8" s="24">
        <v>1000</v>
      </c>
      <c r="X8" s="24">
        <f t="shared" si="0"/>
        <v>0</v>
      </c>
      <c r="Y8" s="23">
        <f t="shared" si="2"/>
        <v>27.72</v>
      </c>
    </row>
    <row r="9" spans="1:25">
      <c r="A9">
        <v>2</v>
      </c>
      <c r="B9" s="31">
        <v>43160</v>
      </c>
      <c r="C9" s="24" t="s">
        <v>297</v>
      </c>
      <c r="D9" s="24"/>
      <c r="E9" s="24"/>
      <c r="F9" s="24">
        <v>7.1</v>
      </c>
      <c r="G9" s="24">
        <v>8</v>
      </c>
      <c r="H9" s="24">
        <v>8.5</v>
      </c>
      <c r="I9" s="24">
        <v>0.16</v>
      </c>
      <c r="J9" s="24">
        <v>3</v>
      </c>
      <c r="K9" s="24"/>
      <c r="L9" s="24"/>
      <c r="M9" s="24"/>
      <c r="N9" s="24">
        <v>-0.08</v>
      </c>
      <c r="O9" s="24">
        <v>-0.02</v>
      </c>
      <c r="P9" s="24"/>
      <c r="Q9" s="24"/>
      <c r="R9" s="32">
        <f t="shared" si="1"/>
        <v>1713.02</v>
      </c>
      <c r="S9" s="24">
        <v>210.42</v>
      </c>
      <c r="T9" s="24">
        <v>-195.9</v>
      </c>
      <c r="U9" s="24">
        <v>660.69</v>
      </c>
      <c r="V9" s="24">
        <v>37.81</v>
      </c>
      <c r="W9" s="24">
        <v>1000</v>
      </c>
      <c r="X9" s="24">
        <f t="shared" si="0"/>
        <v>0</v>
      </c>
      <c r="Y9" s="23">
        <f t="shared" si="2"/>
        <v>26.680000000000003</v>
      </c>
    </row>
    <row r="10" spans="1:25">
      <c r="A10">
        <v>2</v>
      </c>
      <c r="B10" s="31">
        <v>43161</v>
      </c>
      <c r="C10" s="24" t="s">
        <v>298</v>
      </c>
      <c r="D10" s="24"/>
      <c r="E10" s="24"/>
      <c r="F10" s="24">
        <v>3.9</v>
      </c>
      <c r="G10" s="24">
        <v>10</v>
      </c>
      <c r="H10" s="24">
        <v>8.75</v>
      </c>
      <c r="I10" s="24">
        <v>0.14000000000000001</v>
      </c>
      <c r="J10" s="24"/>
      <c r="K10" s="24"/>
      <c r="L10" s="24"/>
      <c r="M10" s="24"/>
      <c r="N10" s="24">
        <v>-0.12</v>
      </c>
      <c r="O10" s="24">
        <v>-0.02</v>
      </c>
      <c r="P10" s="24"/>
      <c r="Q10" s="24"/>
      <c r="R10" s="32">
        <f t="shared" si="1"/>
        <v>1690.37</v>
      </c>
      <c r="S10" s="24">
        <v>210.44</v>
      </c>
      <c r="T10" s="24">
        <v>-195.9</v>
      </c>
      <c r="U10" s="24">
        <v>660.69</v>
      </c>
      <c r="V10" s="24">
        <v>15.14</v>
      </c>
      <c r="W10" s="24">
        <v>1000</v>
      </c>
      <c r="X10" s="24">
        <f t="shared" si="0"/>
        <v>0</v>
      </c>
      <c r="Y10" s="23">
        <f t="shared" si="2"/>
        <v>22.669999999999998</v>
      </c>
    </row>
    <row r="11" spans="1:25">
      <c r="A11">
        <v>2</v>
      </c>
      <c r="B11" s="31">
        <v>43162</v>
      </c>
      <c r="C11" s="24" t="s">
        <v>299</v>
      </c>
      <c r="D11" s="24"/>
      <c r="E11" s="24"/>
      <c r="F11" s="24">
        <v>9</v>
      </c>
      <c r="G11" s="24">
        <v>8</v>
      </c>
      <c r="H11" s="24">
        <v>7.25</v>
      </c>
      <c r="I11" s="24">
        <v>0.14000000000000001</v>
      </c>
      <c r="J11" s="24"/>
      <c r="K11" s="24"/>
      <c r="L11" s="24"/>
      <c r="M11" s="24"/>
      <c r="N11" s="24"/>
      <c r="O11" s="24">
        <v>-0.02</v>
      </c>
      <c r="P11" s="24"/>
      <c r="Q11" s="24"/>
      <c r="R11" s="32">
        <f t="shared" si="1"/>
        <v>1666</v>
      </c>
      <c r="S11" s="24">
        <v>210.46</v>
      </c>
      <c r="T11" s="24">
        <v>-195.9</v>
      </c>
      <c r="U11" s="24">
        <v>560.69000000000005</v>
      </c>
      <c r="V11" s="24">
        <v>90.75</v>
      </c>
      <c r="W11" s="24">
        <v>1000</v>
      </c>
      <c r="X11" s="24">
        <f t="shared" si="0"/>
        <v>0</v>
      </c>
      <c r="Y11" s="23">
        <f t="shared" si="2"/>
        <v>24.39</v>
      </c>
    </row>
    <row r="12" spans="1:25">
      <c r="A12">
        <v>3</v>
      </c>
      <c r="B12" s="31">
        <v>43163</v>
      </c>
      <c r="C12" s="24" t="s">
        <v>293</v>
      </c>
      <c r="D12" s="24"/>
      <c r="E12" s="24"/>
      <c r="F12" s="24">
        <v>4.4000000000000004</v>
      </c>
      <c r="G12" s="24">
        <v>8</v>
      </c>
      <c r="H12" s="24">
        <v>10</v>
      </c>
      <c r="I12" s="24">
        <v>0.08</v>
      </c>
      <c r="J12" s="24"/>
      <c r="K12" s="24"/>
      <c r="L12" s="24"/>
      <c r="M12" s="24"/>
      <c r="N12" s="24"/>
      <c r="O12" s="24">
        <v>-0.02</v>
      </c>
      <c r="P12" s="24"/>
      <c r="Q12" s="24"/>
      <c r="R12" s="32">
        <f t="shared" si="1"/>
        <v>1643.54</v>
      </c>
      <c r="S12" s="24">
        <v>210.48</v>
      </c>
      <c r="T12" s="24">
        <v>-195.9</v>
      </c>
      <c r="U12" s="24">
        <v>560.69000000000005</v>
      </c>
      <c r="V12" s="24">
        <v>68.27</v>
      </c>
      <c r="W12" s="24">
        <v>1000</v>
      </c>
      <c r="X12" s="24">
        <f t="shared" si="0"/>
        <v>0</v>
      </c>
      <c r="Y12" s="23">
        <f t="shared" si="2"/>
        <v>22.479999999999997</v>
      </c>
    </row>
    <row r="13" spans="1:25">
      <c r="A13">
        <v>3</v>
      </c>
      <c r="B13" s="31">
        <v>43164</v>
      </c>
      <c r="C13" s="24" t="s">
        <v>294</v>
      </c>
      <c r="D13" s="24"/>
      <c r="E13" s="24"/>
      <c r="F13" s="24">
        <v>6.7</v>
      </c>
      <c r="G13" s="24">
        <v>8</v>
      </c>
      <c r="H13" s="24">
        <v>9</v>
      </c>
      <c r="I13" s="24">
        <v>0.12</v>
      </c>
      <c r="J13" s="24"/>
      <c r="K13" s="24"/>
      <c r="L13" s="24"/>
      <c r="M13" s="24"/>
      <c r="N13" s="24">
        <v>-0.1</v>
      </c>
      <c r="O13" s="24">
        <v>-0.02</v>
      </c>
      <c r="P13" s="24"/>
      <c r="Q13" s="24">
        <v>0.61</v>
      </c>
      <c r="R13" s="32">
        <f t="shared" si="1"/>
        <v>1619.23</v>
      </c>
      <c r="S13" s="24">
        <v>210.5</v>
      </c>
      <c r="T13" s="24">
        <v>-195.9</v>
      </c>
      <c r="U13" s="24">
        <v>560.69000000000005</v>
      </c>
      <c r="V13" s="24">
        <v>43.94</v>
      </c>
      <c r="W13" s="24">
        <v>1000</v>
      </c>
      <c r="X13" s="24">
        <f t="shared" si="0"/>
        <v>0</v>
      </c>
      <c r="Y13" s="23">
        <f t="shared" si="2"/>
        <v>23.72</v>
      </c>
    </row>
    <row r="14" spans="1:25">
      <c r="A14">
        <v>3</v>
      </c>
      <c r="B14" s="31">
        <v>43165</v>
      </c>
      <c r="C14" s="24" t="s">
        <v>295</v>
      </c>
      <c r="D14" s="24">
        <v>15</v>
      </c>
      <c r="E14" s="24"/>
      <c r="F14" s="24">
        <v>6</v>
      </c>
      <c r="G14" s="24">
        <v>10</v>
      </c>
      <c r="H14" s="24">
        <v>9</v>
      </c>
      <c r="I14" s="24">
        <v>0.1</v>
      </c>
      <c r="J14" s="24">
        <v>5.26</v>
      </c>
      <c r="K14" s="24"/>
      <c r="L14" s="24"/>
      <c r="M14" s="24">
        <v>1</v>
      </c>
      <c r="N14" s="24">
        <v>-0.06</v>
      </c>
      <c r="O14" s="24">
        <v>-0.02</v>
      </c>
      <c r="P14" s="24">
        <v>-60</v>
      </c>
      <c r="Q14" s="24"/>
      <c r="R14" s="32">
        <f t="shared" si="1"/>
        <v>1632.95</v>
      </c>
      <c r="S14" s="24">
        <v>207.52</v>
      </c>
      <c r="T14" s="24">
        <v>-195.9</v>
      </c>
      <c r="U14" s="24">
        <v>545.69000000000005</v>
      </c>
      <c r="V14" s="24">
        <v>16.64</v>
      </c>
      <c r="W14" s="24">
        <v>1059</v>
      </c>
      <c r="X14" s="24">
        <f t="shared" si="0"/>
        <v>0</v>
      </c>
      <c r="Y14" s="23">
        <f t="shared" si="2"/>
        <v>46.3</v>
      </c>
    </row>
    <row r="15" spans="1:25">
      <c r="A15">
        <v>3</v>
      </c>
      <c r="B15" s="31">
        <v>43166</v>
      </c>
      <c r="C15" s="24" t="s">
        <v>296</v>
      </c>
      <c r="D15" s="24">
        <v>45</v>
      </c>
      <c r="E15" s="24"/>
      <c r="F15" s="24">
        <v>4.5999999999999996</v>
      </c>
      <c r="G15" s="24">
        <v>10</v>
      </c>
      <c r="H15" s="24">
        <v>9</v>
      </c>
      <c r="I15" s="24">
        <v>0.12</v>
      </c>
      <c r="J15" s="24"/>
      <c r="K15" s="24"/>
      <c r="L15" s="24"/>
      <c r="M15" s="24"/>
      <c r="N15" s="24">
        <v>-0.06</v>
      </c>
      <c r="O15" s="24">
        <v>-0.01</v>
      </c>
      <c r="P15" s="24"/>
      <c r="Q15" s="24"/>
      <c r="R15" s="32">
        <f t="shared" si="1"/>
        <v>1564.3</v>
      </c>
      <c r="S15" s="24">
        <v>207.53</v>
      </c>
      <c r="T15" s="24">
        <v>-195.9</v>
      </c>
      <c r="U15" s="24">
        <v>445.69</v>
      </c>
      <c r="V15" s="24">
        <v>92.98</v>
      </c>
      <c r="W15" s="24">
        <v>1014</v>
      </c>
      <c r="X15" s="24">
        <f t="shared" si="0"/>
        <v>0</v>
      </c>
      <c r="Y15" s="23">
        <f t="shared" si="2"/>
        <v>68.66</v>
      </c>
    </row>
    <row r="16" spans="1:25">
      <c r="A16">
        <v>3</v>
      </c>
      <c r="B16" s="31">
        <v>43167</v>
      </c>
      <c r="C16" s="24" t="s">
        <v>297</v>
      </c>
      <c r="D16" s="24"/>
      <c r="E16" s="24"/>
      <c r="F16" s="24">
        <v>6</v>
      </c>
      <c r="G16" s="24">
        <v>8</v>
      </c>
      <c r="H16" s="24">
        <v>6</v>
      </c>
      <c r="I16" s="24">
        <v>0.08</v>
      </c>
      <c r="J16" s="24"/>
      <c r="K16" s="24"/>
      <c r="L16" s="24"/>
      <c r="M16" s="24"/>
      <c r="N16" s="24">
        <v>-0.04</v>
      </c>
      <c r="O16" s="24">
        <v>-0.01</v>
      </c>
      <c r="P16" s="24"/>
      <c r="Q16" s="24"/>
      <c r="R16" s="32">
        <f t="shared" si="1"/>
        <v>1544.27</v>
      </c>
      <c r="S16" s="24">
        <v>207.54</v>
      </c>
      <c r="T16" s="24">
        <v>-195.9</v>
      </c>
      <c r="U16" s="24">
        <v>445.69</v>
      </c>
      <c r="V16" s="24">
        <v>72.94</v>
      </c>
      <c r="W16" s="24">
        <v>1014</v>
      </c>
      <c r="X16" s="24">
        <f t="shared" si="0"/>
        <v>0</v>
      </c>
      <c r="Y16" s="23">
        <f t="shared" si="2"/>
        <v>20.04</v>
      </c>
    </row>
    <row r="17" spans="1:25">
      <c r="A17">
        <v>3</v>
      </c>
      <c r="B17" s="31">
        <v>43168</v>
      </c>
      <c r="C17" s="24" t="s">
        <v>298</v>
      </c>
      <c r="D17" s="24"/>
      <c r="E17" s="24"/>
      <c r="F17" s="24">
        <v>0</v>
      </c>
      <c r="G17" s="24">
        <v>9</v>
      </c>
      <c r="H17" s="24">
        <v>9</v>
      </c>
      <c r="I17" s="24">
        <v>0.22</v>
      </c>
      <c r="J17" s="24"/>
      <c r="K17" s="24"/>
      <c r="L17" s="24"/>
      <c r="M17" s="24"/>
      <c r="N17" s="24">
        <v>-0.16</v>
      </c>
      <c r="O17" s="24">
        <v>-0.01</v>
      </c>
      <c r="P17" s="24"/>
      <c r="Q17" s="24"/>
      <c r="R17" s="32">
        <f t="shared" si="1"/>
        <v>1526.22</v>
      </c>
      <c r="S17" s="24">
        <v>207.55</v>
      </c>
      <c r="T17" s="24">
        <v>-195.9</v>
      </c>
      <c r="U17" s="24">
        <v>445.69</v>
      </c>
      <c r="V17" s="24">
        <v>54.88</v>
      </c>
      <c r="W17" s="24">
        <v>1014</v>
      </c>
      <c r="X17" s="24">
        <f t="shared" si="0"/>
        <v>0</v>
      </c>
      <c r="Y17" s="23">
        <f t="shared" si="2"/>
        <v>18.059999999999999</v>
      </c>
    </row>
    <row r="18" spans="1:25">
      <c r="A18">
        <v>3</v>
      </c>
      <c r="B18" s="31">
        <v>43169</v>
      </c>
      <c r="C18" s="24" t="s">
        <v>299</v>
      </c>
      <c r="D18" s="24"/>
      <c r="E18" s="24"/>
      <c r="F18" s="24">
        <v>5.2</v>
      </c>
      <c r="G18" s="24">
        <v>8</v>
      </c>
      <c r="H18" s="24">
        <v>9.5</v>
      </c>
      <c r="I18" s="24">
        <v>0.14000000000000001</v>
      </c>
      <c r="J18" s="24"/>
      <c r="K18" s="24"/>
      <c r="L18" s="24"/>
      <c r="M18">
        <v>1.4</v>
      </c>
      <c r="N18" s="24">
        <v>-0.1</v>
      </c>
      <c r="O18" s="24">
        <v>-0.01</v>
      </c>
      <c r="P18" s="24"/>
      <c r="Q18" s="24"/>
      <c r="R18" s="32">
        <f t="shared" ref="R18:R52" si="3">SUM(S18:W18)</f>
        <v>1502.09</v>
      </c>
      <c r="S18" s="24">
        <v>207.56</v>
      </c>
      <c r="T18" s="24">
        <v>-21.8</v>
      </c>
      <c r="U18" s="24">
        <v>444.29</v>
      </c>
      <c r="V18" s="24">
        <v>32.14</v>
      </c>
      <c r="W18" s="24">
        <v>839.9</v>
      </c>
      <c r="X18" s="24">
        <f t="shared" si="0"/>
        <v>0</v>
      </c>
      <c r="Y18" s="23">
        <f t="shared" si="2"/>
        <v>24.139999999999997</v>
      </c>
    </row>
    <row r="19" spans="1:25">
      <c r="A19">
        <v>4</v>
      </c>
      <c r="B19" s="31">
        <v>43170</v>
      </c>
      <c r="C19" s="24" t="s">
        <v>293</v>
      </c>
      <c r="E19">
        <v>30.6</v>
      </c>
      <c r="F19" s="24">
        <v>5.2</v>
      </c>
      <c r="G19" s="24">
        <v>7</v>
      </c>
      <c r="H19" s="24">
        <v>10</v>
      </c>
      <c r="I19" s="24">
        <v>0.04</v>
      </c>
      <c r="J19" s="24"/>
      <c r="K19" s="24"/>
      <c r="L19" s="24"/>
      <c r="M19" s="24"/>
      <c r="N19" s="24"/>
      <c r="O19" s="24">
        <v>-0.01</v>
      </c>
      <c r="P19">
        <v>-500</v>
      </c>
      <c r="Q19" s="24"/>
      <c r="R19" s="32">
        <f t="shared" si="3"/>
        <v>1949.2600000000002</v>
      </c>
      <c r="S19" s="24">
        <v>207.57</v>
      </c>
      <c r="T19" s="24">
        <v>-52.4</v>
      </c>
      <c r="U19" s="24">
        <v>344.29</v>
      </c>
      <c r="V19" s="24">
        <v>109.9</v>
      </c>
      <c r="W19" s="24">
        <v>1339.9</v>
      </c>
      <c r="X19" s="24">
        <f t="shared" si="0"/>
        <v>0</v>
      </c>
      <c r="Y19" s="23">
        <f t="shared" si="2"/>
        <v>52.84</v>
      </c>
    </row>
    <row r="20" spans="1:25">
      <c r="A20">
        <v>4</v>
      </c>
      <c r="B20" s="31">
        <v>43171</v>
      </c>
      <c r="C20" s="24" t="s">
        <v>294</v>
      </c>
      <c r="F20" s="24">
        <v>8</v>
      </c>
      <c r="G20" s="24">
        <v>8</v>
      </c>
      <c r="H20" s="24">
        <v>7.75</v>
      </c>
      <c r="I20" s="24">
        <v>0.04</v>
      </c>
      <c r="J20" s="24">
        <v>2.6</v>
      </c>
      <c r="M20">
        <v>3.38</v>
      </c>
      <c r="O20" s="24">
        <v>-0.02</v>
      </c>
      <c r="R20" s="32">
        <f t="shared" si="3"/>
        <v>1919.5100000000002</v>
      </c>
      <c r="S20" s="24">
        <v>207.59</v>
      </c>
      <c r="T20" s="24">
        <v>-52.4</v>
      </c>
      <c r="U20" s="24">
        <v>344.29</v>
      </c>
      <c r="V20" s="24">
        <v>80.13</v>
      </c>
      <c r="W20" s="24">
        <v>1339.9</v>
      </c>
      <c r="X20" s="24">
        <f t="shared" si="0"/>
        <v>0</v>
      </c>
      <c r="Y20" s="23">
        <f t="shared" si="2"/>
        <v>29.77</v>
      </c>
    </row>
    <row r="21" spans="1:25">
      <c r="A21">
        <v>4</v>
      </c>
      <c r="B21" s="31">
        <v>43172</v>
      </c>
      <c r="C21" s="24" t="s">
        <v>295</v>
      </c>
      <c r="F21" s="24">
        <v>6.5</v>
      </c>
      <c r="G21" s="24">
        <v>0</v>
      </c>
      <c r="H21" s="24">
        <v>14</v>
      </c>
      <c r="I21" s="24">
        <v>0.25</v>
      </c>
      <c r="O21" s="24">
        <v>-0.01</v>
      </c>
      <c r="R21" s="32">
        <f t="shared" si="3"/>
        <v>1898.77</v>
      </c>
      <c r="S21" s="24">
        <v>207.6</v>
      </c>
      <c r="T21" s="24">
        <v>-52.4</v>
      </c>
      <c r="U21" s="24">
        <v>344.29</v>
      </c>
      <c r="V21" s="24">
        <v>59.38</v>
      </c>
      <c r="W21" s="24">
        <v>1339.9</v>
      </c>
      <c r="X21" s="24">
        <f t="shared" si="0"/>
        <v>0</v>
      </c>
      <c r="Y21" s="23">
        <f t="shared" si="2"/>
        <v>20.75</v>
      </c>
    </row>
    <row r="22" spans="1:25">
      <c r="A22">
        <v>4</v>
      </c>
      <c r="B22" s="31">
        <v>43173</v>
      </c>
      <c r="C22" s="24" t="s">
        <v>296</v>
      </c>
      <c r="F22" s="24">
        <v>4.5999999999999996</v>
      </c>
      <c r="G22" s="24">
        <v>5</v>
      </c>
      <c r="H22" s="24">
        <v>7.5</v>
      </c>
      <c r="I22" s="24">
        <v>0.96</v>
      </c>
      <c r="O22" s="24">
        <f>-0.02-200</f>
        <v>-200.02</v>
      </c>
      <c r="R22" s="32">
        <f t="shared" si="3"/>
        <v>2080.73</v>
      </c>
      <c r="S22" s="24">
        <v>207.62</v>
      </c>
      <c r="T22" s="24">
        <v>-52.4</v>
      </c>
      <c r="U22" s="24">
        <v>544.29</v>
      </c>
      <c r="V22" s="24">
        <v>41.32</v>
      </c>
      <c r="W22" s="24">
        <v>1339.9</v>
      </c>
      <c r="X22" s="24">
        <f t="shared" si="0"/>
        <v>0</v>
      </c>
      <c r="Y22" s="23">
        <f t="shared" si="2"/>
        <v>18.060000000000002</v>
      </c>
    </row>
    <row r="23" spans="1:25">
      <c r="A23">
        <v>4</v>
      </c>
      <c r="B23" s="31">
        <v>43174</v>
      </c>
      <c r="C23" s="24" t="s">
        <v>297</v>
      </c>
      <c r="E23">
        <v>0.99</v>
      </c>
      <c r="F23" s="24">
        <v>4.5999999999999996</v>
      </c>
      <c r="G23" s="24">
        <v>11</v>
      </c>
      <c r="H23" s="24">
        <v>9</v>
      </c>
      <c r="I23" s="24">
        <v>0.02</v>
      </c>
      <c r="J23">
        <v>3</v>
      </c>
      <c r="K23">
        <v>2</v>
      </c>
      <c r="N23">
        <v>5</v>
      </c>
      <c r="O23" s="24">
        <v>-0.01</v>
      </c>
      <c r="R23" s="32">
        <f t="shared" si="3"/>
        <v>2045.13</v>
      </c>
      <c r="S23" s="24">
        <v>203.64</v>
      </c>
      <c r="T23" s="24">
        <v>-52.4</v>
      </c>
      <c r="U23">
        <f>68.52+368.77+100</f>
        <v>537.29</v>
      </c>
      <c r="V23" s="24">
        <v>16.7</v>
      </c>
      <c r="W23" s="24">
        <v>1339.9</v>
      </c>
      <c r="X23" s="24">
        <f t="shared" si="0"/>
        <v>0</v>
      </c>
      <c r="Y23" s="23">
        <f t="shared" si="2"/>
        <v>35.61</v>
      </c>
    </row>
    <row r="24" spans="1:25">
      <c r="A24">
        <v>4</v>
      </c>
      <c r="B24" s="31">
        <v>43175</v>
      </c>
      <c r="C24" s="24" t="s">
        <v>298</v>
      </c>
      <c r="F24" s="24">
        <v>8.5</v>
      </c>
      <c r="G24" s="24">
        <v>11</v>
      </c>
      <c r="H24" s="24">
        <v>68.52</v>
      </c>
      <c r="M24">
        <v>14.94</v>
      </c>
      <c r="O24" s="24">
        <v>-0.01</v>
      </c>
      <c r="R24" s="32">
        <f t="shared" si="3"/>
        <v>1942.18</v>
      </c>
      <c r="S24" s="24">
        <v>203.65</v>
      </c>
      <c r="T24" s="24">
        <v>-52.4</v>
      </c>
      <c r="U24" s="24">
        <v>368.77</v>
      </c>
      <c r="V24" s="24">
        <v>82.26</v>
      </c>
      <c r="W24" s="24">
        <v>1339.9</v>
      </c>
      <c r="X24" s="24">
        <f t="shared" si="0"/>
        <v>0</v>
      </c>
      <c r="Y24" s="23">
        <f t="shared" si="2"/>
        <v>102.96</v>
      </c>
    </row>
    <row r="25" spans="1:25">
      <c r="A25">
        <v>4</v>
      </c>
      <c r="B25" s="31">
        <v>43176</v>
      </c>
      <c r="C25" s="24" t="s">
        <v>299</v>
      </c>
      <c r="E25">
        <v>200</v>
      </c>
      <c r="F25" s="24">
        <v>5</v>
      </c>
      <c r="G25" s="24">
        <v>4</v>
      </c>
      <c r="H25" s="24">
        <v>14</v>
      </c>
      <c r="I25" s="24">
        <v>0.06</v>
      </c>
      <c r="O25" s="24">
        <v>-0.01</v>
      </c>
      <c r="R25" s="32">
        <f t="shared" si="3"/>
        <v>1719.13</v>
      </c>
      <c r="S25" s="24">
        <v>203.66</v>
      </c>
      <c r="T25" s="24">
        <v>-52.4</v>
      </c>
      <c r="U25" s="24">
        <v>168.77</v>
      </c>
      <c r="V25" s="24">
        <v>59.2</v>
      </c>
      <c r="W25" s="24">
        <v>1339.9</v>
      </c>
      <c r="X25" s="24">
        <f t="shared" si="0"/>
        <v>0</v>
      </c>
      <c r="Y25" s="23">
        <f t="shared" si="2"/>
        <v>223.06</v>
      </c>
    </row>
    <row r="26" spans="1:25">
      <c r="A26">
        <v>5</v>
      </c>
      <c r="B26" s="31">
        <v>43177</v>
      </c>
      <c r="C26" s="24" t="s">
        <v>293</v>
      </c>
      <c r="F26" s="24">
        <v>4</v>
      </c>
      <c r="G26" s="24">
        <v>9</v>
      </c>
      <c r="H26" s="24">
        <v>10</v>
      </c>
      <c r="I26" s="24">
        <v>0.12</v>
      </c>
      <c r="J26" s="24">
        <v>1.98</v>
      </c>
      <c r="O26" s="24">
        <v>-0.01</v>
      </c>
      <c r="R26" s="23">
        <f t="shared" si="3"/>
        <v>1694.04</v>
      </c>
      <c r="S26" s="24">
        <v>203.67</v>
      </c>
      <c r="T26" s="24">
        <v>-52.4</v>
      </c>
      <c r="U26" s="24">
        <v>168.77</v>
      </c>
      <c r="V26" s="24">
        <v>34.1</v>
      </c>
      <c r="W26" s="24">
        <v>1339.9</v>
      </c>
      <c r="X26" s="24">
        <f t="shared" si="0"/>
        <v>0</v>
      </c>
      <c r="Y26" s="23">
        <f t="shared" si="2"/>
        <v>25.1</v>
      </c>
    </row>
    <row r="27" spans="1:25">
      <c r="A27">
        <v>5</v>
      </c>
      <c r="B27" s="31">
        <v>43178</v>
      </c>
      <c r="C27" s="24" t="s">
        <v>294</v>
      </c>
      <c r="F27" s="24">
        <v>5.6</v>
      </c>
      <c r="G27" s="24">
        <v>9</v>
      </c>
      <c r="H27" s="24">
        <v>10</v>
      </c>
      <c r="I27" s="24">
        <v>0.4</v>
      </c>
      <c r="O27">
        <v>-0.02</v>
      </c>
      <c r="R27" s="23">
        <f t="shared" si="3"/>
        <v>1669.0600000000002</v>
      </c>
      <c r="S27" s="24">
        <v>203.69</v>
      </c>
      <c r="T27" s="24">
        <v>-52.4</v>
      </c>
      <c r="U27" s="24">
        <v>168.77</v>
      </c>
      <c r="V27" s="24">
        <v>9.1</v>
      </c>
      <c r="W27" s="24">
        <v>1339.9</v>
      </c>
      <c r="X27" s="24">
        <f t="shared" si="0"/>
        <v>0</v>
      </c>
      <c r="Y27" s="23">
        <f t="shared" si="2"/>
        <v>25</v>
      </c>
    </row>
    <row r="28" spans="1:25">
      <c r="A28">
        <v>5</v>
      </c>
      <c r="B28" s="31">
        <v>43179</v>
      </c>
      <c r="C28" s="24" t="s">
        <v>295</v>
      </c>
      <c r="F28" s="24">
        <v>5.5</v>
      </c>
      <c r="G28" s="24">
        <v>0</v>
      </c>
      <c r="H28" s="24">
        <v>9.5</v>
      </c>
      <c r="I28" s="24">
        <v>0.28000000000000003</v>
      </c>
      <c r="O28" s="24">
        <f>-500-0.01</f>
        <v>-500.01</v>
      </c>
      <c r="R28" s="23">
        <f t="shared" si="3"/>
        <v>2153.79</v>
      </c>
      <c r="S28" s="24">
        <v>203.7</v>
      </c>
      <c r="T28" s="24">
        <v>-52.4</v>
      </c>
      <c r="U28" s="24">
        <v>568.77</v>
      </c>
      <c r="V28" s="24">
        <v>93.82</v>
      </c>
      <c r="W28" s="24">
        <v>1339.9</v>
      </c>
      <c r="X28" s="24">
        <f t="shared" si="0"/>
        <v>0</v>
      </c>
      <c r="Y28" s="23">
        <f t="shared" si="2"/>
        <v>15.28</v>
      </c>
    </row>
    <row r="29" spans="1:25">
      <c r="A29">
        <v>5</v>
      </c>
      <c r="B29" s="31">
        <v>43180</v>
      </c>
      <c r="C29" s="24" t="s">
        <v>296</v>
      </c>
      <c r="E29">
        <v>10.5</v>
      </c>
      <c r="F29" s="24">
        <v>7</v>
      </c>
      <c r="G29" s="24">
        <v>10.3</v>
      </c>
      <c r="H29" s="24">
        <v>10</v>
      </c>
      <c r="I29" s="24">
        <v>1.26</v>
      </c>
      <c r="O29" s="24">
        <v>-0.92</v>
      </c>
      <c r="R29" s="23">
        <f t="shared" si="3"/>
        <v>2115.6499999999996</v>
      </c>
      <c r="S29" s="24">
        <v>195.71</v>
      </c>
      <c r="T29" s="24">
        <v>-54.9</v>
      </c>
      <c r="U29" s="24">
        <v>568.77</v>
      </c>
      <c r="V29" s="24">
        <v>65.260000000000005</v>
      </c>
      <c r="W29" s="24">
        <v>1340.81</v>
      </c>
      <c r="X29" s="24">
        <f t="shared" si="0"/>
        <v>0</v>
      </c>
      <c r="Y29" s="23">
        <f t="shared" si="2"/>
        <v>39.059999999999995</v>
      </c>
    </row>
    <row r="30" spans="1:25">
      <c r="A30">
        <v>5</v>
      </c>
      <c r="B30" s="31">
        <v>43181</v>
      </c>
      <c r="C30" s="24" t="s">
        <v>297</v>
      </c>
      <c r="D30">
        <v>25</v>
      </c>
      <c r="F30" s="24">
        <v>8</v>
      </c>
      <c r="G30" s="24">
        <v>8</v>
      </c>
      <c r="H30" s="24">
        <v>12.5</v>
      </c>
      <c r="I30" s="24">
        <v>0.02</v>
      </c>
      <c r="J30" s="24">
        <v>2.6</v>
      </c>
      <c r="N30">
        <v>0.1</v>
      </c>
      <c r="O30" s="24">
        <v>-0.01</v>
      </c>
      <c r="R30" s="23">
        <f t="shared" si="3"/>
        <v>2059.4399999999996</v>
      </c>
      <c r="S30" s="24">
        <v>195.72</v>
      </c>
      <c r="T30" s="24">
        <v>-54.9</v>
      </c>
      <c r="U30" s="24">
        <v>568.77</v>
      </c>
      <c r="V30" s="24">
        <v>34.04</v>
      </c>
      <c r="W30" s="24">
        <v>1315.81</v>
      </c>
      <c r="X30" s="24">
        <f t="shared" si="0"/>
        <v>0</v>
      </c>
      <c r="Y30" s="23">
        <f t="shared" si="2"/>
        <v>56.220000000000006</v>
      </c>
    </row>
    <row r="31" spans="1:25">
      <c r="A31">
        <v>5</v>
      </c>
      <c r="B31" s="31">
        <v>43182</v>
      </c>
      <c r="C31" s="24" t="s">
        <v>298</v>
      </c>
      <c r="F31" s="24">
        <v>3.9</v>
      </c>
      <c r="G31" s="24">
        <v>10</v>
      </c>
      <c r="H31" s="24">
        <v>10</v>
      </c>
      <c r="I31" s="24">
        <v>0.72</v>
      </c>
      <c r="J31">
        <v>3</v>
      </c>
      <c r="O31" s="24">
        <v>-0.01</v>
      </c>
      <c r="R31" s="23">
        <f t="shared" si="3"/>
        <v>2031.83</v>
      </c>
      <c r="S31" s="24">
        <v>192.73</v>
      </c>
      <c r="T31" s="24">
        <v>-54.9</v>
      </c>
      <c r="U31" s="24">
        <v>568.77</v>
      </c>
      <c r="V31" s="24">
        <v>9.42</v>
      </c>
      <c r="W31" s="24">
        <v>1315.81</v>
      </c>
      <c r="X31" s="24">
        <f t="shared" si="0"/>
        <v>0</v>
      </c>
      <c r="Y31" s="23">
        <f t="shared" si="2"/>
        <v>27.619999999999997</v>
      </c>
    </row>
    <row r="32" spans="1:25">
      <c r="A32">
        <v>5</v>
      </c>
      <c r="B32" s="31">
        <v>43183</v>
      </c>
      <c r="C32" s="24" t="s">
        <v>299</v>
      </c>
      <c r="F32" s="24">
        <v>6.5</v>
      </c>
      <c r="G32" s="24">
        <v>10</v>
      </c>
      <c r="H32" s="24">
        <v>8.25</v>
      </c>
      <c r="I32" s="24">
        <v>0.9</v>
      </c>
      <c r="M32">
        <v>30</v>
      </c>
      <c r="O32" s="24">
        <v>-0.01</v>
      </c>
      <c r="R32" s="23">
        <f t="shared" si="3"/>
        <v>1976.19</v>
      </c>
      <c r="S32" s="24">
        <v>192.74</v>
      </c>
      <c r="T32" s="24">
        <v>-54.9</v>
      </c>
      <c r="U32" s="24">
        <v>438.77</v>
      </c>
      <c r="V32" s="24">
        <v>83.77</v>
      </c>
      <c r="W32" s="24">
        <v>1315.81</v>
      </c>
      <c r="X32" s="24">
        <f t="shared" si="0"/>
        <v>0</v>
      </c>
      <c r="Y32" s="23">
        <f>SUM(D32:N32)</f>
        <v>55.65</v>
      </c>
    </row>
    <row r="33" spans="1:25">
      <c r="A33">
        <v>6</v>
      </c>
      <c r="B33" s="31">
        <v>43184</v>
      </c>
      <c r="C33" s="24" t="s">
        <v>293</v>
      </c>
      <c r="D33">
        <v>16.98</v>
      </c>
      <c r="E33">
        <v>17</v>
      </c>
      <c r="F33">
        <v>4.5999999999999996</v>
      </c>
      <c r="G33">
        <v>9</v>
      </c>
      <c r="H33">
        <v>9</v>
      </c>
      <c r="I33">
        <f>0.08+0.35</f>
        <v>0.43</v>
      </c>
      <c r="N33">
        <v>0.04</v>
      </c>
      <c r="O33" s="24">
        <v>-0.01</v>
      </c>
      <c r="R33" s="23">
        <f t="shared" si="3"/>
        <v>1919.15</v>
      </c>
      <c r="S33" s="24">
        <v>175.77</v>
      </c>
      <c r="T33" s="24">
        <v>-54.9</v>
      </c>
      <c r="U33" s="24">
        <v>438.77</v>
      </c>
      <c r="V33" s="24">
        <v>60.7</v>
      </c>
      <c r="W33" s="24">
        <v>1298.81</v>
      </c>
      <c r="X33" s="24">
        <f t="shared" si="0"/>
        <v>0</v>
      </c>
      <c r="Y33" s="23">
        <f t="shared" ref="Y33:Y39" si="4">SUM(D33:N33)</f>
        <v>57.050000000000004</v>
      </c>
    </row>
    <row r="34" spans="1:25">
      <c r="A34">
        <v>6</v>
      </c>
      <c r="B34" s="31">
        <v>43185</v>
      </c>
      <c r="C34" s="24" t="s">
        <v>294</v>
      </c>
      <c r="D34">
        <v>50</v>
      </c>
      <c r="F34">
        <v>6.75</v>
      </c>
      <c r="G34">
        <v>0</v>
      </c>
      <c r="H34">
        <v>7</v>
      </c>
      <c r="I34">
        <v>0</v>
      </c>
      <c r="O34" s="24">
        <v>-0.01</v>
      </c>
      <c r="R34" s="23">
        <f>SUM(S34:W34)</f>
        <v>1855.4099999999999</v>
      </c>
      <c r="S34" s="24">
        <v>175.78</v>
      </c>
      <c r="T34" s="24">
        <v>-54.9</v>
      </c>
      <c r="U34" s="24">
        <v>388.77</v>
      </c>
      <c r="V34" s="24">
        <v>46.95</v>
      </c>
      <c r="W34" s="24">
        <v>1298.81</v>
      </c>
      <c r="X34" s="24">
        <f>SUM(D34:Q34,S34:W34)-R33</f>
        <v>0</v>
      </c>
      <c r="Y34" s="23">
        <f t="shared" si="4"/>
        <v>63.75</v>
      </c>
    </row>
    <row r="35" spans="1:25">
      <c r="A35">
        <v>6</v>
      </c>
      <c r="B35" s="31">
        <v>43186</v>
      </c>
      <c r="C35" s="24" t="s">
        <v>295</v>
      </c>
      <c r="E35">
        <v>9.8000000000000007</v>
      </c>
      <c r="F35">
        <v>5.59</v>
      </c>
      <c r="G35">
        <v>9</v>
      </c>
      <c r="H35">
        <v>11</v>
      </c>
      <c r="I35">
        <v>0.04</v>
      </c>
      <c r="N35">
        <v>3.41</v>
      </c>
      <c r="O35" s="24">
        <v>-0.01</v>
      </c>
      <c r="R35" s="23">
        <f t="shared" si="3"/>
        <v>1816.58</v>
      </c>
      <c r="S35" s="24">
        <v>165.99</v>
      </c>
      <c r="T35" s="24">
        <v>-54.9</v>
      </c>
      <c r="U35" s="24">
        <v>388.77</v>
      </c>
      <c r="V35" s="24">
        <v>17.91</v>
      </c>
      <c r="W35" s="24">
        <v>1298.81</v>
      </c>
      <c r="X35" s="24">
        <f t="shared" si="0"/>
        <v>0</v>
      </c>
      <c r="Y35" s="23">
        <f t="shared" si="4"/>
        <v>38.840000000000003</v>
      </c>
    </row>
    <row r="36" spans="1:25">
      <c r="A36">
        <v>6</v>
      </c>
      <c r="B36" s="31">
        <v>43187</v>
      </c>
      <c r="C36" s="24" t="s">
        <v>296</v>
      </c>
      <c r="D36">
        <v>48</v>
      </c>
      <c r="F36">
        <v>8.5</v>
      </c>
      <c r="G36">
        <v>6</v>
      </c>
      <c r="H36">
        <v>12</v>
      </c>
      <c r="I36">
        <v>0.15</v>
      </c>
      <c r="J36">
        <v>2.6</v>
      </c>
      <c r="N36">
        <v>-1.26</v>
      </c>
      <c r="O36" s="24">
        <v>-0.01</v>
      </c>
      <c r="R36" s="23">
        <f t="shared" si="3"/>
        <v>1740.6</v>
      </c>
      <c r="S36" s="24">
        <v>166</v>
      </c>
      <c r="T36" s="24">
        <v>-102.9</v>
      </c>
      <c r="U36" s="24">
        <v>288.77</v>
      </c>
      <c r="V36" s="24">
        <v>89.92</v>
      </c>
      <c r="W36" s="24">
        <v>1298.81</v>
      </c>
      <c r="X36" s="24">
        <f t="shared" si="0"/>
        <v>0</v>
      </c>
      <c r="Y36" s="23">
        <f t="shared" si="4"/>
        <v>75.989999999999995</v>
      </c>
    </row>
    <row r="37" spans="1:25">
      <c r="A37">
        <v>6</v>
      </c>
      <c r="B37" s="31">
        <v>43188</v>
      </c>
      <c r="C37" s="24" t="s">
        <v>297</v>
      </c>
      <c r="D37">
        <v>12.5</v>
      </c>
      <c r="F37">
        <v>4.5999999999999996</v>
      </c>
      <c r="G37">
        <v>10.5</v>
      </c>
      <c r="H37">
        <v>5</v>
      </c>
      <c r="I37">
        <v>0.08</v>
      </c>
      <c r="K37">
        <v>4</v>
      </c>
      <c r="N37">
        <v>-2.5</v>
      </c>
      <c r="O37" s="24">
        <v>-0.01</v>
      </c>
      <c r="R37" s="23">
        <f t="shared" si="3"/>
        <v>1706.4299999999998</v>
      </c>
      <c r="S37" s="24">
        <v>166.01</v>
      </c>
      <c r="T37" s="24">
        <v>-102.9</v>
      </c>
      <c r="U37" s="24">
        <v>278.77</v>
      </c>
      <c r="V37" s="24">
        <v>68.739999999999995</v>
      </c>
      <c r="W37" s="24">
        <v>1295.81</v>
      </c>
      <c r="X37" s="24">
        <f t="shared" si="0"/>
        <v>0</v>
      </c>
      <c r="Y37" s="23">
        <f t="shared" si="4"/>
        <v>34.18</v>
      </c>
    </row>
    <row r="38" spans="1:25">
      <c r="A38">
        <v>6</v>
      </c>
      <c r="B38" s="31">
        <v>43189</v>
      </c>
      <c r="C38" s="24" t="s">
        <v>298</v>
      </c>
      <c r="F38">
        <v>8</v>
      </c>
      <c r="G38">
        <v>6.5</v>
      </c>
      <c r="H38">
        <v>0</v>
      </c>
      <c r="I38">
        <v>0</v>
      </c>
      <c r="J38">
        <v>4</v>
      </c>
      <c r="N38">
        <v>2.5</v>
      </c>
      <c r="O38" s="24">
        <v>-0.01</v>
      </c>
      <c r="R38" s="23">
        <f t="shared" si="3"/>
        <v>1685.44</v>
      </c>
      <c r="S38" s="24">
        <v>162.02000000000001</v>
      </c>
      <c r="T38" s="24">
        <v>-102.9</v>
      </c>
      <c r="U38" s="24">
        <v>276.27</v>
      </c>
      <c r="V38" s="24">
        <v>54.24</v>
      </c>
      <c r="W38" s="24">
        <v>1295.81</v>
      </c>
      <c r="X38" s="24">
        <f t="shared" si="0"/>
        <v>0</v>
      </c>
      <c r="Y38" s="23">
        <f t="shared" si="4"/>
        <v>21</v>
      </c>
    </row>
    <row r="39" spans="1:25">
      <c r="A39">
        <v>6</v>
      </c>
      <c r="B39" s="31">
        <v>43190</v>
      </c>
      <c r="C39" s="24" t="s">
        <v>299</v>
      </c>
      <c r="F39">
        <v>8</v>
      </c>
      <c r="G39">
        <v>10</v>
      </c>
      <c r="H39">
        <v>10</v>
      </c>
      <c r="I39">
        <v>0</v>
      </c>
      <c r="O39" s="24">
        <v>-0.01</v>
      </c>
      <c r="P39">
        <v>-500</v>
      </c>
      <c r="R39" s="23">
        <f t="shared" si="3"/>
        <v>2157.4499999999998</v>
      </c>
      <c r="S39" s="24">
        <v>162.03</v>
      </c>
      <c r="T39" s="24">
        <v>-102.9</v>
      </c>
      <c r="U39" s="24">
        <v>776.27</v>
      </c>
      <c r="V39" s="24">
        <v>26.24</v>
      </c>
      <c r="W39" s="24">
        <v>1295.81</v>
      </c>
      <c r="X39" s="24">
        <f t="shared" si="0"/>
        <v>0</v>
      </c>
      <c r="Y39" s="23">
        <f t="shared" si="4"/>
        <v>28</v>
      </c>
    </row>
    <row r="40" spans="1:25">
      <c r="A40">
        <v>7</v>
      </c>
      <c r="B40" s="31">
        <v>43191</v>
      </c>
      <c r="C40" s="24" t="s">
        <v>293</v>
      </c>
      <c r="F40">
        <v>6.1</v>
      </c>
      <c r="G40">
        <v>9</v>
      </c>
      <c r="H40">
        <v>7</v>
      </c>
      <c r="I40">
        <v>0.14000000000000001</v>
      </c>
      <c r="J40">
        <v>3.2</v>
      </c>
      <c r="M40">
        <v>5.5</v>
      </c>
      <c r="N40">
        <v>0.05</v>
      </c>
      <c r="O40" s="24">
        <v>-0.01</v>
      </c>
      <c r="Q40">
        <v>-5.5</v>
      </c>
      <c r="R40" s="23">
        <f>SUM(S40:W40)</f>
        <v>2131.9699999999998</v>
      </c>
      <c r="S40" s="24">
        <v>162.04</v>
      </c>
      <c r="T40" s="24">
        <v>-102.9</v>
      </c>
      <c r="U40" s="24">
        <v>681.27</v>
      </c>
      <c r="V40" s="24">
        <v>95.75</v>
      </c>
      <c r="W40" s="24">
        <v>1295.81</v>
      </c>
      <c r="X40" s="24">
        <f>SUM(D40:Q40,S40:W40)-R39</f>
        <v>0</v>
      </c>
      <c r="Y40" s="23">
        <f t="shared" ref="Y40:Y50" si="5">SUM(D40:N40)</f>
        <v>30.990000000000002</v>
      </c>
    </row>
    <row r="41" spans="1:25">
      <c r="A41">
        <v>7</v>
      </c>
      <c r="B41" s="31">
        <v>43192</v>
      </c>
      <c r="C41" s="24" t="s">
        <v>294</v>
      </c>
      <c r="F41">
        <v>4</v>
      </c>
      <c r="G41">
        <v>12</v>
      </c>
      <c r="H41">
        <v>9</v>
      </c>
      <c r="I41">
        <v>1.2</v>
      </c>
      <c r="M41">
        <v>66</v>
      </c>
      <c r="O41" s="24">
        <v>-0.01</v>
      </c>
      <c r="R41" s="23">
        <f>SUM(S41:W41)</f>
        <v>2039.7799999999997</v>
      </c>
      <c r="S41" s="24">
        <v>162.05000000000001</v>
      </c>
      <c r="T41" s="24">
        <v>-102.9</v>
      </c>
      <c r="U41">
        <f>U40-66</f>
        <v>615.27</v>
      </c>
      <c r="V41" s="24">
        <v>69.55</v>
      </c>
      <c r="W41" s="24">
        <v>1295.81</v>
      </c>
      <c r="X41" s="24">
        <f>SUM(D41:P41,S41:W41)-R40</f>
        <v>0</v>
      </c>
      <c r="Y41" s="23">
        <f t="shared" si="5"/>
        <v>92.2</v>
      </c>
    </row>
    <row r="42" spans="1:25">
      <c r="A42">
        <v>7</v>
      </c>
      <c r="B42" s="31">
        <v>43193</v>
      </c>
      <c r="C42" s="24" t="s">
        <v>295</v>
      </c>
      <c r="D42">
        <v>4.5</v>
      </c>
      <c r="F42">
        <v>8.4</v>
      </c>
      <c r="G42">
        <v>10</v>
      </c>
      <c r="H42">
        <v>12</v>
      </c>
      <c r="M42">
        <v>1.28</v>
      </c>
      <c r="N42">
        <v>-0.5</v>
      </c>
      <c r="O42" s="24">
        <v>-0.01</v>
      </c>
      <c r="Q42">
        <v>-2</v>
      </c>
      <c r="R42" s="23">
        <f t="shared" si="3"/>
        <v>2006.11</v>
      </c>
      <c r="S42" s="24">
        <v>162.06</v>
      </c>
      <c r="T42" s="24">
        <v>-102.9</v>
      </c>
      <c r="U42" s="24">
        <v>601.27</v>
      </c>
      <c r="V42" s="24">
        <v>49.87</v>
      </c>
      <c r="W42" s="24">
        <v>1295.81</v>
      </c>
      <c r="X42" s="24">
        <f t="shared" ref="X42:X50" si="6">SUM(D42:Q42,S42:W42)-R41</f>
        <v>0</v>
      </c>
      <c r="Y42" s="23">
        <f t="shared" si="5"/>
        <v>35.68</v>
      </c>
    </row>
    <row r="43" spans="1:25">
      <c r="A43">
        <v>7</v>
      </c>
      <c r="B43" s="31">
        <v>43194</v>
      </c>
      <c r="C43" s="24" t="s">
        <v>296</v>
      </c>
      <c r="F43">
        <v>4</v>
      </c>
      <c r="G43">
        <v>6</v>
      </c>
      <c r="H43">
        <v>12</v>
      </c>
      <c r="I43">
        <v>0.19</v>
      </c>
      <c r="N43">
        <v>1.2</v>
      </c>
      <c r="O43" s="24">
        <v>-0.01</v>
      </c>
      <c r="Q43">
        <v>-60</v>
      </c>
      <c r="R43" s="23">
        <f t="shared" si="3"/>
        <v>2042.73</v>
      </c>
      <c r="S43" s="24">
        <v>162.07</v>
      </c>
      <c r="T43" s="24">
        <v>-102.9</v>
      </c>
      <c r="U43" s="24">
        <v>601.27</v>
      </c>
      <c r="V43" s="24">
        <v>26.48</v>
      </c>
      <c r="W43" s="24">
        <v>1355.81</v>
      </c>
      <c r="X43" s="24">
        <f t="shared" si="6"/>
        <v>0</v>
      </c>
      <c r="Y43" s="23">
        <f>SUM(D43:N43)</f>
        <v>23.39</v>
      </c>
    </row>
    <row r="44" spans="1:25">
      <c r="A44">
        <v>7</v>
      </c>
      <c r="B44" s="31">
        <v>43195</v>
      </c>
      <c r="C44" s="24" t="s">
        <v>297</v>
      </c>
      <c r="D44">
        <f>21.99+12</f>
        <v>33.989999999999995</v>
      </c>
      <c r="F44">
        <v>0</v>
      </c>
      <c r="G44">
        <v>9</v>
      </c>
      <c r="H44">
        <v>10</v>
      </c>
      <c r="I44">
        <v>0.08</v>
      </c>
      <c r="J44">
        <v>3</v>
      </c>
      <c r="L44">
        <v>1200</v>
      </c>
      <c r="O44" s="24">
        <v>-0.01</v>
      </c>
      <c r="R44" s="23">
        <f t="shared" si="3"/>
        <v>786.67000000000007</v>
      </c>
      <c r="S44" s="24">
        <v>137.09</v>
      </c>
      <c r="T44" s="24">
        <v>-102.9</v>
      </c>
      <c r="U44" s="24">
        <f>601.27-12</f>
        <v>589.27</v>
      </c>
      <c r="V44" s="24">
        <v>7.4</v>
      </c>
      <c r="W44" s="24">
        <v>155.81</v>
      </c>
      <c r="X44" s="24">
        <f t="shared" si="6"/>
        <v>0</v>
      </c>
      <c r="Y44" s="23">
        <f t="shared" si="5"/>
        <v>1256.07</v>
      </c>
    </row>
    <row r="45" spans="1:25">
      <c r="A45">
        <v>7</v>
      </c>
      <c r="B45" s="31">
        <v>43196</v>
      </c>
      <c r="C45" s="24" t="s">
        <v>298</v>
      </c>
      <c r="D45">
        <v>52</v>
      </c>
      <c r="E45">
        <f>346+30</f>
        <v>376</v>
      </c>
      <c r="F45">
        <v>0</v>
      </c>
      <c r="G45">
        <v>10</v>
      </c>
      <c r="H45">
        <v>9</v>
      </c>
      <c r="I45">
        <v>0.06</v>
      </c>
      <c r="J45">
        <v>2.86</v>
      </c>
      <c r="M45">
        <v>1.24</v>
      </c>
      <c r="N45">
        <v>0.14000000000000001</v>
      </c>
      <c r="O45" s="24">
        <v>-0.01</v>
      </c>
      <c r="R45" s="23">
        <f t="shared" si="3"/>
        <v>335.38</v>
      </c>
      <c r="S45" s="24">
        <v>107.1</v>
      </c>
      <c r="T45" s="24">
        <v>-102.9</v>
      </c>
      <c r="U45" s="24">
        <v>36.83</v>
      </c>
      <c r="V45" s="24">
        <v>85.54</v>
      </c>
      <c r="W45" s="24">
        <v>208.81</v>
      </c>
      <c r="X45" s="24">
        <f t="shared" si="6"/>
        <v>0</v>
      </c>
      <c r="Y45" s="23">
        <f t="shared" si="5"/>
        <v>451.3</v>
      </c>
    </row>
    <row r="46" spans="1:25">
      <c r="A46">
        <v>7</v>
      </c>
      <c r="B46" s="31">
        <v>43197</v>
      </c>
      <c r="C46" s="24" t="s">
        <v>299</v>
      </c>
      <c r="F46">
        <v>4.5999999999999996</v>
      </c>
      <c r="G46">
        <v>9</v>
      </c>
      <c r="H46">
        <v>10</v>
      </c>
      <c r="I46">
        <v>0.06</v>
      </c>
      <c r="N46">
        <v>-1.98</v>
      </c>
      <c r="O46" s="24">
        <v>-0.01</v>
      </c>
      <c r="Q46">
        <v>-35</v>
      </c>
      <c r="R46" s="23">
        <f t="shared" si="3"/>
        <v>348.71000000000004</v>
      </c>
      <c r="S46" s="24">
        <v>142.11000000000001</v>
      </c>
      <c r="T46" s="24">
        <v>-102.9</v>
      </c>
      <c r="U46" s="24">
        <v>36.83</v>
      </c>
      <c r="V46" s="24">
        <v>63.86</v>
      </c>
      <c r="W46" s="24">
        <v>208.81</v>
      </c>
      <c r="X46" s="24">
        <f t="shared" si="6"/>
        <v>0</v>
      </c>
      <c r="Y46" s="23">
        <f>SUM(D46:N46)</f>
        <v>21.68</v>
      </c>
    </row>
    <row r="47" spans="1:25">
      <c r="A47">
        <v>8</v>
      </c>
      <c r="B47" s="31">
        <v>43198</v>
      </c>
      <c r="C47" s="24" t="s">
        <v>293</v>
      </c>
      <c r="F47">
        <v>7.2</v>
      </c>
      <c r="G47">
        <v>9</v>
      </c>
      <c r="H47">
        <v>8.5</v>
      </c>
      <c r="I47">
        <v>1</v>
      </c>
      <c r="N47">
        <v>0.1</v>
      </c>
      <c r="O47" s="24">
        <v>-0.01</v>
      </c>
      <c r="R47" s="23">
        <f t="shared" si="3"/>
        <v>322.92</v>
      </c>
      <c r="S47" s="24">
        <v>142.12</v>
      </c>
      <c r="T47" s="24">
        <v>-102.9</v>
      </c>
      <c r="U47" s="24">
        <v>36.83</v>
      </c>
      <c r="V47" s="24">
        <v>38.06</v>
      </c>
      <c r="W47" s="24">
        <v>208.81</v>
      </c>
      <c r="X47" s="24">
        <f t="shared" si="6"/>
        <v>0</v>
      </c>
      <c r="Y47" s="23">
        <f t="shared" si="5"/>
        <v>25.8</v>
      </c>
    </row>
    <row r="48" spans="1:25">
      <c r="A48">
        <v>8</v>
      </c>
      <c r="B48" s="31">
        <v>43199</v>
      </c>
      <c r="C48" s="24" t="s">
        <v>294</v>
      </c>
      <c r="D48">
        <f>9.99+24.9</f>
        <v>34.89</v>
      </c>
      <c r="F48">
        <v>6</v>
      </c>
      <c r="G48">
        <v>8</v>
      </c>
      <c r="H48">
        <v>10</v>
      </c>
      <c r="I48">
        <v>1.2</v>
      </c>
      <c r="O48" s="24">
        <v>-0.01</v>
      </c>
      <c r="Q48">
        <v>-11.98</v>
      </c>
      <c r="R48" s="23">
        <f t="shared" si="3"/>
        <v>274.82</v>
      </c>
      <c r="S48" s="24">
        <v>132.13999999999999</v>
      </c>
      <c r="T48" s="24">
        <v>-127.8</v>
      </c>
      <c r="U48" s="24">
        <v>48.81</v>
      </c>
      <c r="V48" s="24">
        <v>12.86</v>
      </c>
      <c r="W48" s="24">
        <v>208.81</v>
      </c>
      <c r="X48" s="24">
        <f t="shared" si="6"/>
        <v>0</v>
      </c>
      <c r="Y48" s="23">
        <f t="shared" si="5"/>
        <v>60.09</v>
      </c>
    </row>
    <row r="49" spans="1:25">
      <c r="A49">
        <v>8</v>
      </c>
      <c r="B49" s="31">
        <v>43200</v>
      </c>
      <c r="C49" s="24" t="s">
        <v>295</v>
      </c>
      <c r="D49">
        <v>199</v>
      </c>
      <c r="F49">
        <v>8</v>
      </c>
      <c r="G49">
        <v>8</v>
      </c>
      <c r="H49">
        <v>11.5</v>
      </c>
      <c r="I49">
        <v>0.1</v>
      </c>
      <c r="N49">
        <v>2.46</v>
      </c>
      <c r="O49" s="24">
        <v>-0.01</v>
      </c>
      <c r="P49">
        <v>-500</v>
      </c>
      <c r="R49" s="23">
        <f t="shared" si="3"/>
        <v>545.77</v>
      </c>
      <c r="S49" s="24">
        <v>132.15</v>
      </c>
      <c r="T49" s="24">
        <v>-271.89999999999998</v>
      </c>
      <c r="U49" s="24">
        <v>48.81</v>
      </c>
      <c r="V49" s="24">
        <v>62.8</v>
      </c>
      <c r="W49" s="24">
        <v>573.91</v>
      </c>
      <c r="X49" s="24">
        <f t="shared" si="6"/>
        <v>0</v>
      </c>
      <c r="Y49" s="23">
        <f t="shared" si="5"/>
        <v>229.06</v>
      </c>
    </row>
    <row r="50" spans="1:25">
      <c r="A50">
        <v>8</v>
      </c>
      <c r="B50" s="31">
        <v>43201</v>
      </c>
      <c r="C50" s="24" t="s">
        <v>296</v>
      </c>
      <c r="D50">
        <v>19</v>
      </c>
      <c r="E50">
        <v>0.4</v>
      </c>
      <c r="F50">
        <v>8</v>
      </c>
      <c r="G50">
        <v>10</v>
      </c>
      <c r="H50">
        <v>10</v>
      </c>
      <c r="L50">
        <v>5</v>
      </c>
      <c r="O50" s="24">
        <v>-0.01</v>
      </c>
      <c r="R50" s="23">
        <f t="shared" si="3"/>
        <v>493.38</v>
      </c>
      <c r="S50" s="24">
        <v>132.16</v>
      </c>
      <c r="T50" s="24">
        <v>-276.89999999999998</v>
      </c>
      <c r="U50" s="24">
        <v>29.41</v>
      </c>
      <c r="V50" s="24">
        <v>34.799999999999997</v>
      </c>
      <c r="W50" s="24">
        <v>573.91</v>
      </c>
      <c r="X50" s="24">
        <f t="shared" si="6"/>
        <v>0</v>
      </c>
      <c r="Y50" s="23">
        <f t="shared" si="5"/>
        <v>52.4</v>
      </c>
    </row>
    <row r="51" spans="1:25">
      <c r="A51">
        <v>8</v>
      </c>
      <c r="B51" s="31">
        <v>43202</v>
      </c>
      <c r="C51" s="24" t="s">
        <v>297</v>
      </c>
      <c r="O51" s="24"/>
      <c r="R51" s="23">
        <f t="shared" si="3"/>
        <v>0</v>
      </c>
      <c r="X51" s="24"/>
      <c r="Y51" s="23"/>
    </row>
    <row r="52" spans="1:25">
      <c r="A52">
        <v>8</v>
      </c>
      <c r="B52" s="31">
        <v>43203</v>
      </c>
      <c r="C52" s="24" t="s">
        <v>298</v>
      </c>
      <c r="O52" s="24"/>
      <c r="R52" s="23">
        <f t="shared" si="3"/>
        <v>0</v>
      </c>
      <c r="U52" s="24"/>
      <c r="X52" s="24"/>
      <c r="Y52" s="23"/>
    </row>
    <row r="53" spans="1:25">
      <c r="A53">
        <v>8</v>
      </c>
      <c r="B53" s="31">
        <v>43204</v>
      </c>
      <c r="C53" s="24" t="s">
        <v>299</v>
      </c>
      <c r="O53" s="24">
        <v>-0.01</v>
      </c>
      <c r="R53" s="23">
        <f>SUM(S53:W53)</f>
        <v>332.69</v>
      </c>
      <c r="S53" s="24">
        <v>132.19</v>
      </c>
      <c r="T53" s="24">
        <v>-337.8</v>
      </c>
      <c r="U53" s="24">
        <v>5.41</v>
      </c>
      <c r="V53" s="24">
        <v>89.98</v>
      </c>
      <c r="W53" s="24">
        <v>442.91</v>
      </c>
      <c r="X53" s="24">
        <f>SUM(D53:Q53,S53:W53)-R52</f>
        <v>332.68</v>
      </c>
      <c r="Y53" s="23">
        <f>R50-R53</f>
        <v>160.69</v>
      </c>
    </row>
    <row r="54" spans="1:25">
      <c r="A54">
        <v>9</v>
      </c>
      <c r="B54" s="31">
        <v>43205</v>
      </c>
      <c r="C54" s="24" t="s">
        <v>293</v>
      </c>
      <c r="F54">
        <v>0</v>
      </c>
      <c r="G54">
        <v>9</v>
      </c>
      <c r="H54">
        <v>9</v>
      </c>
      <c r="I54">
        <v>0.04</v>
      </c>
      <c r="J54">
        <v>1.98</v>
      </c>
      <c r="L54">
        <v>67.8</v>
      </c>
      <c r="N54">
        <v>1.1399999999999999</v>
      </c>
      <c r="O54" s="24">
        <v>-0.01</v>
      </c>
      <c r="R54" s="23">
        <f t="shared" ref="R54:R109" si="7">SUM(S54:W54)</f>
        <v>243.73999999999998</v>
      </c>
      <c r="S54" s="24">
        <v>132.19999999999999</v>
      </c>
      <c r="T54" s="24">
        <v>-337.8</v>
      </c>
      <c r="U54" s="24">
        <v>5.41</v>
      </c>
      <c r="V54" s="24">
        <v>68.819999999999993</v>
      </c>
      <c r="W54" s="24">
        <v>375.11</v>
      </c>
      <c r="X54" s="24">
        <f t="shared" ref="X54:X60" si="8">SUM(D54:Q54,S54:W54)-R53</f>
        <v>0</v>
      </c>
      <c r="Y54" s="23">
        <f t="shared" ref="Y54:Y60" si="9">SUM(D54:N54)</f>
        <v>88.96</v>
      </c>
    </row>
    <row r="55" spans="1:25">
      <c r="A55">
        <v>9</v>
      </c>
      <c r="B55" s="31">
        <v>43206</v>
      </c>
      <c r="C55" s="24" t="s">
        <v>294</v>
      </c>
      <c r="E55">
        <v>5.98</v>
      </c>
      <c r="F55">
        <v>7.6</v>
      </c>
      <c r="G55">
        <v>7</v>
      </c>
      <c r="H55">
        <v>10</v>
      </c>
      <c r="I55">
        <v>0.06</v>
      </c>
      <c r="O55" s="24">
        <v>-0.01</v>
      </c>
      <c r="R55" s="23">
        <f t="shared" si="7"/>
        <v>213.11000000000004</v>
      </c>
      <c r="S55" s="24">
        <v>132.21</v>
      </c>
      <c r="T55" s="24">
        <v>-343.78</v>
      </c>
      <c r="U55" s="24">
        <v>5.41</v>
      </c>
      <c r="V55" s="24">
        <v>44.16</v>
      </c>
      <c r="W55" s="24">
        <v>375.11</v>
      </c>
      <c r="X55" s="24">
        <f t="shared" si="8"/>
        <v>0</v>
      </c>
      <c r="Y55" s="23">
        <f t="shared" si="9"/>
        <v>30.639999999999997</v>
      </c>
    </row>
    <row r="56" spans="1:25">
      <c r="A56">
        <v>9</v>
      </c>
      <c r="B56" s="31">
        <v>43207</v>
      </c>
      <c r="C56" s="24" t="s">
        <v>295</v>
      </c>
      <c r="F56">
        <v>7.5</v>
      </c>
      <c r="G56">
        <v>8</v>
      </c>
      <c r="H56">
        <v>9.25</v>
      </c>
      <c r="I56">
        <v>0.6</v>
      </c>
      <c r="O56" s="24">
        <v>-0.11</v>
      </c>
      <c r="R56" s="23">
        <f t="shared" si="7"/>
        <v>187.87000000000003</v>
      </c>
      <c r="S56" s="24">
        <v>132.22</v>
      </c>
      <c r="T56" s="24">
        <v>-343.78</v>
      </c>
      <c r="U56" s="24">
        <v>5.51</v>
      </c>
      <c r="V56" s="24">
        <v>18.809999999999999</v>
      </c>
      <c r="W56" s="24">
        <v>375.11</v>
      </c>
      <c r="X56" s="24">
        <f t="shared" si="8"/>
        <v>0</v>
      </c>
      <c r="Y56" s="23">
        <f t="shared" si="9"/>
        <v>25.35</v>
      </c>
    </row>
    <row r="57" spans="1:25">
      <c r="A57">
        <v>9</v>
      </c>
      <c r="B57" s="31">
        <v>43208</v>
      </c>
      <c r="C57" s="24" t="s">
        <v>296</v>
      </c>
      <c r="E57">
        <v>27.22</v>
      </c>
      <c r="F57">
        <v>0</v>
      </c>
      <c r="G57">
        <v>8</v>
      </c>
      <c r="H57">
        <v>10</v>
      </c>
      <c r="J57">
        <v>0.81</v>
      </c>
      <c r="O57" s="24">
        <v>-0.01</v>
      </c>
      <c r="R57" s="23">
        <f t="shared" si="7"/>
        <v>141.85</v>
      </c>
      <c r="S57" s="24">
        <v>132.22999999999999</v>
      </c>
      <c r="T57" s="24">
        <v>-371</v>
      </c>
      <c r="U57" s="24">
        <v>5.51</v>
      </c>
      <c r="V57" s="24">
        <v>100</v>
      </c>
      <c r="W57" s="24">
        <v>275.11</v>
      </c>
      <c r="X57" s="24">
        <f t="shared" si="8"/>
        <v>0</v>
      </c>
      <c r="Y57" s="23">
        <f t="shared" si="9"/>
        <v>46.03</v>
      </c>
    </row>
    <row r="58" spans="1:25">
      <c r="A58">
        <v>9</v>
      </c>
      <c r="B58" s="31">
        <v>43209</v>
      </c>
      <c r="C58" s="24" t="s">
        <v>297</v>
      </c>
      <c r="F58">
        <v>0</v>
      </c>
      <c r="G58">
        <v>9</v>
      </c>
      <c r="H58">
        <v>7.25</v>
      </c>
      <c r="J58">
        <v>4</v>
      </c>
      <c r="N58">
        <v>-0.01</v>
      </c>
      <c r="O58" s="24">
        <v>-0.01</v>
      </c>
      <c r="R58" s="23">
        <f t="shared" si="7"/>
        <v>121.62</v>
      </c>
      <c r="S58" s="24">
        <v>132.24</v>
      </c>
      <c r="T58" s="24">
        <v>-375</v>
      </c>
      <c r="U58" s="24">
        <v>5.51</v>
      </c>
      <c r="V58" s="24">
        <v>83.76</v>
      </c>
      <c r="W58" s="24">
        <v>275.11</v>
      </c>
      <c r="X58" s="24">
        <f t="shared" si="8"/>
        <v>0</v>
      </c>
      <c r="Y58" s="23">
        <f t="shared" si="9"/>
        <v>20.239999999999998</v>
      </c>
    </row>
    <row r="59" spans="1:25">
      <c r="A59">
        <v>9</v>
      </c>
      <c r="B59" s="31">
        <v>43210</v>
      </c>
      <c r="C59" s="24" t="s">
        <v>298</v>
      </c>
      <c r="F59">
        <v>9</v>
      </c>
      <c r="G59">
        <v>0</v>
      </c>
      <c r="H59">
        <v>8</v>
      </c>
      <c r="I59">
        <v>0.16</v>
      </c>
      <c r="O59" s="24">
        <v>-0.01</v>
      </c>
      <c r="P59">
        <v>-500</v>
      </c>
      <c r="R59" s="23">
        <f t="shared" si="7"/>
        <v>604.47</v>
      </c>
      <c r="S59" s="24">
        <v>132.25</v>
      </c>
      <c r="T59" s="24">
        <v>-375</v>
      </c>
      <c r="U59" s="24">
        <v>505.51</v>
      </c>
      <c r="V59" s="24">
        <v>66.599999999999994</v>
      </c>
      <c r="W59" s="24">
        <v>275.11</v>
      </c>
      <c r="X59" s="24">
        <f t="shared" si="8"/>
        <v>0</v>
      </c>
      <c r="Y59" s="23">
        <f t="shared" si="9"/>
        <v>17.16</v>
      </c>
    </row>
    <row r="60" spans="1:25">
      <c r="A60">
        <v>9</v>
      </c>
      <c r="B60" s="31">
        <v>43211</v>
      </c>
      <c r="C60" s="24" t="s">
        <v>299</v>
      </c>
      <c r="F60">
        <v>5.2</v>
      </c>
      <c r="G60">
        <v>12</v>
      </c>
      <c r="H60">
        <v>14</v>
      </c>
      <c r="I60">
        <v>0.04</v>
      </c>
      <c r="O60" s="24">
        <v>-0.01</v>
      </c>
      <c r="R60" s="23">
        <f t="shared" si="7"/>
        <v>573.24</v>
      </c>
      <c r="S60" s="24">
        <v>132.26</v>
      </c>
      <c r="T60" s="24">
        <v>-375</v>
      </c>
      <c r="U60" s="24">
        <v>505.51</v>
      </c>
      <c r="V60" s="35">
        <v>35.36</v>
      </c>
      <c r="W60" s="24">
        <v>275.11</v>
      </c>
      <c r="X60" s="24">
        <f t="shared" si="8"/>
        <v>0</v>
      </c>
      <c r="Y60" s="23">
        <f t="shared" si="9"/>
        <v>31.24</v>
      </c>
    </row>
    <row r="61" spans="1:25">
      <c r="A61">
        <v>10</v>
      </c>
      <c r="B61" s="31">
        <v>43212</v>
      </c>
      <c r="C61" s="24" t="s">
        <v>293</v>
      </c>
      <c r="D61">
        <v>85</v>
      </c>
      <c r="F61">
        <v>8.5</v>
      </c>
      <c r="G61">
        <v>13</v>
      </c>
      <c r="H61">
        <v>8</v>
      </c>
      <c r="I61">
        <v>0.02</v>
      </c>
      <c r="J61">
        <v>2.3199999999999998</v>
      </c>
      <c r="O61" s="24">
        <v>-0.01</v>
      </c>
      <c r="R61" s="23">
        <f t="shared" si="7"/>
        <v>456.41</v>
      </c>
      <c r="S61" s="24">
        <v>132.27000000000001</v>
      </c>
      <c r="T61" s="35">
        <v>-375</v>
      </c>
      <c r="U61" s="35">
        <v>420.51</v>
      </c>
      <c r="V61" s="35">
        <v>3.52</v>
      </c>
      <c r="W61" s="24">
        <v>275.11</v>
      </c>
      <c r="X61" s="24">
        <f t="shared" ref="X61:X74" si="10">SUM(D61:Q61,S61:W61)-R60</f>
        <v>0</v>
      </c>
      <c r="Y61" s="23">
        <f t="shared" ref="Y61:Y74" si="11">SUM(D61:N61)</f>
        <v>116.83999999999999</v>
      </c>
    </row>
    <row r="62" spans="1:25">
      <c r="A62">
        <v>10</v>
      </c>
      <c r="B62" s="31">
        <v>43213</v>
      </c>
      <c r="C62" s="24" t="s">
        <v>294</v>
      </c>
      <c r="F62">
        <v>6.3</v>
      </c>
      <c r="G62">
        <v>9</v>
      </c>
      <c r="H62">
        <v>10</v>
      </c>
      <c r="I62">
        <v>0.51</v>
      </c>
      <c r="O62" s="24">
        <v>-0.01</v>
      </c>
      <c r="R62" s="23">
        <f t="shared" si="7"/>
        <v>430.61</v>
      </c>
      <c r="S62" s="24">
        <v>132.28</v>
      </c>
      <c r="T62" s="35">
        <v>-375</v>
      </c>
      <c r="U62" s="35">
        <v>320.51</v>
      </c>
      <c r="V62" s="35">
        <v>77.709999999999994</v>
      </c>
      <c r="W62" s="24">
        <v>275.11</v>
      </c>
      <c r="X62" s="24">
        <f t="shared" si="10"/>
        <v>0</v>
      </c>
      <c r="Y62" s="23">
        <f t="shared" si="11"/>
        <v>25.810000000000002</v>
      </c>
    </row>
    <row r="63" spans="1:25">
      <c r="A63">
        <v>10</v>
      </c>
      <c r="B63" s="31">
        <v>43214</v>
      </c>
      <c r="C63" s="24" t="s">
        <v>295</v>
      </c>
      <c r="D63">
        <v>11</v>
      </c>
      <c r="F63">
        <v>7</v>
      </c>
      <c r="G63">
        <v>8</v>
      </c>
      <c r="H63">
        <v>8</v>
      </c>
      <c r="I63">
        <v>0.02</v>
      </c>
      <c r="O63" s="24">
        <v>-0.01</v>
      </c>
      <c r="R63" s="23">
        <f t="shared" si="7"/>
        <v>396.6</v>
      </c>
      <c r="S63" s="24">
        <v>132.29</v>
      </c>
      <c r="T63" s="35">
        <v>-375</v>
      </c>
      <c r="U63" s="36">
        <v>309.51</v>
      </c>
      <c r="V63" s="36">
        <v>54.69</v>
      </c>
      <c r="W63" s="24">
        <v>275.11</v>
      </c>
      <c r="X63" s="24">
        <f t="shared" si="10"/>
        <v>0</v>
      </c>
      <c r="Y63" s="23">
        <f t="shared" si="11"/>
        <v>34.020000000000003</v>
      </c>
    </row>
    <row r="64" spans="1:25">
      <c r="A64">
        <v>10</v>
      </c>
      <c r="B64" s="31">
        <v>43215</v>
      </c>
      <c r="C64" s="24" t="s">
        <v>296</v>
      </c>
      <c r="O64" s="24">
        <v>-0.01</v>
      </c>
      <c r="R64" s="23">
        <f t="shared" si="7"/>
        <v>275.11</v>
      </c>
      <c r="W64" s="24">
        <v>275.11</v>
      </c>
      <c r="X64" s="24">
        <f t="shared" si="10"/>
        <v>-121.5</v>
      </c>
      <c r="Y64" s="23">
        <f t="shared" si="11"/>
        <v>0</v>
      </c>
    </row>
    <row r="65" spans="1:25">
      <c r="A65">
        <v>10</v>
      </c>
      <c r="B65" s="31">
        <v>43216</v>
      </c>
      <c r="C65" s="24" t="s">
        <v>297</v>
      </c>
      <c r="L65">
        <v>6</v>
      </c>
      <c r="O65" s="24">
        <v>-0.01</v>
      </c>
      <c r="R65" s="23">
        <f t="shared" si="7"/>
        <v>275.11</v>
      </c>
      <c r="W65" s="24">
        <v>275.11</v>
      </c>
      <c r="X65" s="24">
        <f t="shared" si="10"/>
        <v>5.9900000000000091</v>
      </c>
      <c r="Y65" s="23">
        <f t="shared" si="11"/>
        <v>6</v>
      </c>
    </row>
    <row r="66" spans="1:25">
      <c r="A66">
        <v>10</v>
      </c>
      <c r="B66" s="31">
        <v>43217</v>
      </c>
      <c r="C66" s="24" t="s">
        <v>298</v>
      </c>
      <c r="E66">
        <v>0.99</v>
      </c>
      <c r="J66">
        <v>3</v>
      </c>
      <c r="O66" s="24">
        <v>-0.01</v>
      </c>
      <c r="Q66">
        <v>-10.8</v>
      </c>
      <c r="R66" s="23">
        <f t="shared" si="7"/>
        <v>275.11</v>
      </c>
      <c r="W66" s="24">
        <v>275.11</v>
      </c>
      <c r="X66" s="24">
        <f t="shared" si="10"/>
        <v>-6.8199999999999932</v>
      </c>
      <c r="Y66" s="23">
        <f t="shared" si="11"/>
        <v>3.99</v>
      </c>
    </row>
    <row r="67" spans="1:25">
      <c r="A67">
        <v>10</v>
      </c>
      <c r="B67" s="31">
        <v>43218</v>
      </c>
      <c r="C67" s="24" t="s">
        <v>299</v>
      </c>
      <c r="E67">
        <v>4</v>
      </c>
      <c r="O67" s="24">
        <v>-0.01</v>
      </c>
      <c r="R67" s="23">
        <f t="shared" si="7"/>
        <v>264.36</v>
      </c>
      <c r="S67">
        <v>143.13</v>
      </c>
      <c r="T67">
        <v>-406.99</v>
      </c>
      <c r="U67">
        <v>199.51</v>
      </c>
      <c r="V67">
        <v>53.6</v>
      </c>
      <c r="W67" s="24">
        <v>275.11</v>
      </c>
      <c r="X67" s="24">
        <f t="shared" si="10"/>
        <v>-6.7599999999999909</v>
      </c>
      <c r="Y67" s="23">
        <f t="shared" si="11"/>
        <v>4</v>
      </c>
    </row>
    <row r="68" spans="1:25">
      <c r="A68">
        <v>11</v>
      </c>
      <c r="B68" s="31">
        <v>43219</v>
      </c>
      <c r="C68" s="24" t="s">
        <v>293</v>
      </c>
      <c r="F68">
        <v>8</v>
      </c>
      <c r="G68">
        <v>7</v>
      </c>
      <c r="H68">
        <v>10</v>
      </c>
      <c r="I68">
        <v>0.2</v>
      </c>
      <c r="J68">
        <v>4.2</v>
      </c>
      <c r="O68" s="24">
        <v>-0.01</v>
      </c>
      <c r="R68" s="23">
        <f t="shared" si="7"/>
        <v>234.97</v>
      </c>
      <c r="S68">
        <v>143.13999999999999</v>
      </c>
      <c r="T68">
        <v>-406.99</v>
      </c>
      <c r="U68">
        <v>199.31</v>
      </c>
      <c r="V68">
        <v>24.4</v>
      </c>
      <c r="W68" s="36">
        <v>275.11</v>
      </c>
      <c r="X68" s="24">
        <f t="shared" si="10"/>
        <v>0</v>
      </c>
      <c r="Y68" s="23">
        <f t="shared" si="11"/>
        <v>29.4</v>
      </c>
    </row>
    <row r="69" spans="1:25">
      <c r="A69">
        <v>11</v>
      </c>
      <c r="B69" s="31">
        <v>43220</v>
      </c>
      <c r="C69" s="24" t="s">
        <v>294</v>
      </c>
      <c r="E69">
        <v>0.2</v>
      </c>
      <c r="F69">
        <v>9.5</v>
      </c>
      <c r="G69">
        <v>8</v>
      </c>
      <c r="H69">
        <v>12</v>
      </c>
      <c r="I69">
        <v>0.06</v>
      </c>
      <c r="M69">
        <f>45+108</f>
        <v>153</v>
      </c>
      <c r="N69">
        <v>-0.2</v>
      </c>
      <c r="O69" s="24">
        <v>-0.01</v>
      </c>
      <c r="R69" s="23">
        <f t="shared" si="7"/>
        <v>52.419999999999973</v>
      </c>
      <c r="S69">
        <v>143.15</v>
      </c>
      <c r="T69">
        <v>-406.99</v>
      </c>
      <c r="U69">
        <v>162.31</v>
      </c>
      <c r="V69">
        <f>87.84+7</f>
        <v>94.84</v>
      </c>
      <c r="W69" s="36">
        <v>59.11</v>
      </c>
      <c r="X69" s="24">
        <f t="shared" si="10"/>
        <v>0</v>
      </c>
      <c r="Y69" s="23">
        <f t="shared" si="11"/>
        <v>182.56</v>
      </c>
    </row>
    <row r="70" spans="1:25">
      <c r="A70">
        <v>11</v>
      </c>
      <c r="B70" s="31">
        <v>43221</v>
      </c>
      <c r="C70" s="24" t="s">
        <v>295</v>
      </c>
      <c r="F70">
        <v>7</v>
      </c>
      <c r="G70">
        <v>13</v>
      </c>
      <c r="H70">
        <v>9.5</v>
      </c>
      <c r="I70">
        <v>0.04</v>
      </c>
      <c r="O70">
        <v>-200.01</v>
      </c>
      <c r="P70">
        <v>-500</v>
      </c>
      <c r="R70" s="23">
        <f t="shared" si="7"/>
        <v>722.8900000000001</v>
      </c>
      <c r="S70">
        <v>343.16</v>
      </c>
      <c r="T70">
        <v>-406.99</v>
      </c>
      <c r="U70">
        <v>162.31</v>
      </c>
      <c r="V70">
        <v>65.3</v>
      </c>
      <c r="W70" s="36">
        <v>559.11</v>
      </c>
      <c r="X70" s="24">
        <f t="shared" si="10"/>
        <v>0</v>
      </c>
      <c r="Y70" s="23">
        <f t="shared" si="11"/>
        <v>29.54</v>
      </c>
    </row>
    <row r="71" spans="1:25">
      <c r="A71">
        <v>11</v>
      </c>
      <c r="B71" s="31">
        <v>43222</v>
      </c>
      <c r="C71" s="24" t="s">
        <v>296</v>
      </c>
      <c r="E71">
        <v>18</v>
      </c>
      <c r="F71">
        <v>5.5</v>
      </c>
      <c r="G71">
        <v>9</v>
      </c>
      <c r="H71">
        <v>6.5</v>
      </c>
      <c r="I71">
        <v>0.04</v>
      </c>
      <c r="M71">
        <v>167.6</v>
      </c>
      <c r="N71">
        <v>-0.04</v>
      </c>
      <c r="O71" s="36">
        <v>-0.01</v>
      </c>
      <c r="R71" s="23">
        <f t="shared" si="7"/>
        <v>516.29999999999995</v>
      </c>
      <c r="S71">
        <v>343.17</v>
      </c>
      <c r="T71">
        <v>-424.99</v>
      </c>
      <c r="U71">
        <v>162.31</v>
      </c>
      <c r="V71">
        <v>44.3</v>
      </c>
      <c r="W71" s="36">
        <v>391.51</v>
      </c>
      <c r="X71" s="24">
        <f t="shared" si="10"/>
        <v>0</v>
      </c>
      <c r="Y71" s="23">
        <f t="shared" si="11"/>
        <v>206.6</v>
      </c>
    </row>
    <row r="72" spans="1:25">
      <c r="A72">
        <v>11</v>
      </c>
      <c r="B72" s="31">
        <v>43223</v>
      </c>
      <c r="C72" s="24" t="s">
        <v>297</v>
      </c>
      <c r="F72">
        <v>3.7</v>
      </c>
      <c r="G72">
        <v>8</v>
      </c>
      <c r="H72">
        <v>7</v>
      </c>
      <c r="I72">
        <v>0.25</v>
      </c>
      <c r="J72">
        <v>4</v>
      </c>
      <c r="O72" s="36">
        <v>-0.01</v>
      </c>
      <c r="R72" s="23">
        <f t="shared" si="7"/>
        <v>493.36</v>
      </c>
      <c r="S72">
        <v>343.18</v>
      </c>
      <c r="T72">
        <v>-428.99</v>
      </c>
      <c r="U72">
        <v>162.31</v>
      </c>
      <c r="V72">
        <v>25.35</v>
      </c>
      <c r="W72" s="36">
        <v>391.51</v>
      </c>
      <c r="X72" s="24">
        <f t="shared" si="10"/>
        <v>0</v>
      </c>
      <c r="Y72" s="23">
        <f t="shared" si="11"/>
        <v>22.95</v>
      </c>
    </row>
    <row r="73" spans="1:25">
      <c r="A73">
        <v>11</v>
      </c>
      <c r="B73" s="31">
        <v>43224</v>
      </c>
      <c r="C73" s="24" t="s">
        <v>298</v>
      </c>
      <c r="F73">
        <v>7</v>
      </c>
      <c r="G73">
        <v>0</v>
      </c>
      <c r="H73">
        <v>0</v>
      </c>
      <c r="I73">
        <v>0.06</v>
      </c>
      <c r="J73">
        <v>4.0999999999999996</v>
      </c>
      <c r="K73">
        <v>1</v>
      </c>
      <c r="M73">
        <f>10+17</f>
        <v>27</v>
      </c>
      <c r="O73" s="36">
        <v>-0.01</v>
      </c>
      <c r="Q73">
        <v>-10</v>
      </c>
      <c r="R73" s="23">
        <f t="shared" si="7"/>
        <v>464.21</v>
      </c>
      <c r="S73">
        <v>343.19</v>
      </c>
      <c r="T73">
        <v>-428.99</v>
      </c>
      <c r="U73">
        <v>144.31</v>
      </c>
      <c r="V73">
        <v>14.19</v>
      </c>
      <c r="W73" s="36">
        <v>391.51</v>
      </c>
      <c r="X73" s="24">
        <f t="shared" si="10"/>
        <v>0</v>
      </c>
      <c r="Y73" s="23">
        <f t="shared" si="11"/>
        <v>39.159999999999997</v>
      </c>
    </row>
    <row r="74" spans="1:25">
      <c r="A74">
        <v>11</v>
      </c>
      <c r="B74" s="31">
        <v>43225</v>
      </c>
      <c r="C74" s="24" t="s">
        <v>299</v>
      </c>
      <c r="F74">
        <v>4.5999999999999996</v>
      </c>
      <c r="G74">
        <v>13</v>
      </c>
      <c r="H74">
        <v>10</v>
      </c>
      <c r="I74">
        <v>0.35</v>
      </c>
      <c r="O74" s="36">
        <v>-0.01</v>
      </c>
      <c r="R74" s="23">
        <f t="shared" si="7"/>
        <v>436.27</v>
      </c>
      <c r="S74">
        <v>343.2</v>
      </c>
      <c r="T74">
        <v>-428.99</v>
      </c>
      <c r="U74">
        <v>44.31</v>
      </c>
      <c r="V74">
        <v>86.24</v>
      </c>
      <c r="W74" s="36">
        <v>391.51</v>
      </c>
      <c r="X74" s="24">
        <f t="shared" si="10"/>
        <v>0</v>
      </c>
      <c r="Y74" s="23">
        <f t="shared" si="11"/>
        <v>27.950000000000003</v>
      </c>
    </row>
    <row r="75" spans="1:25">
      <c r="A75">
        <v>12</v>
      </c>
      <c r="B75" s="31">
        <v>43226</v>
      </c>
      <c r="C75" s="24" t="s">
        <v>293</v>
      </c>
      <c r="F75">
        <v>10</v>
      </c>
      <c r="G75">
        <v>13</v>
      </c>
      <c r="H75">
        <v>10</v>
      </c>
      <c r="I75">
        <v>0.35</v>
      </c>
      <c r="M75">
        <v>1</v>
      </c>
      <c r="N75">
        <v>0</v>
      </c>
      <c r="O75" s="36">
        <v>-0.01</v>
      </c>
      <c r="R75" s="23">
        <f t="shared" si="7"/>
        <v>401.92999999999995</v>
      </c>
      <c r="S75">
        <v>343.21</v>
      </c>
      <c r="T75">
        <v>-428.99</v>
      </c>
      <c r="U75">
        <v>44.31</v>
      </c>
      <c r="V75">
        <v>52.89</v>
      </c>
      <c r="W75" s="36">
        <v>390.51</v>
      </c>
      <c r="X75" s="24">
        <f t="shared" ref="X75:X108" si="12">SUM(D75:Q75,S75:W75)-R74</f>
        <v>0</v>
      </c>
      <c r="Y75" s="23">
        <f t="shared" ref="Y75:Y109" si="13">SUM(D75:N75)</f>
        <v>34.35</v>
      </c>
    </row>
    <row r="76" spans="1:25">
      <c r="A76">
        <v>12</v>
      </c>
      <c r="B76" s="31">
        <v>43227</v>
      </c>
      <c r="C76" s="24" t="s">
        <v>294</v>
      </c>
      <c r="F76">
        <v>5.5</v>
      </c>
      <c r="G76">
        <v>8</v>
      </c>
      <c r="H76">
        <v>10</v>
      </c>
      <c r="I76">
        <v>0.5</v>
      </c>
      <c r="O76" s="36">
        <v>-0.01</v>
      </c>
      <c r="R76" s="23">
        <f>SUM(S76:W76)</f>
        <v>377.94</v>
      </c>
      <c r="S76">
        <v>343.22</v>
      </c>
      <c r="T76">
        <v>-428.99</v>
      </c>
      <c r="U76">
        <v>44.31</v>
      </c>
      <c r="V76">
        <v>28.89</v>
      </c>
      <c r="W76" s="36">
        <v>390.51</v>
      </c>
      <c r="X76" s="24">
        <f>SUM(D76:Q76,S76:W76)-R75</f>
        <v>0</v>
      </c>
      <c r="Y76" s="23">
        <f t="shared" si="13"/>
        <v>24</v>
      </c>
    </row>
    <row r="77" spans="1:25">
      <c r="A77">
        <v>12</v>
      </c>
      <c r="B77" s="31">
        <v>43228</v>
      </c>
      <c r="C77" s="24" t="s">
        <v>295</v>
      </c>
      <c r="D77">
        <f>25.8+9.8</f>
        <v>35.6</v>
      </c>
      <c r="E77">
        <v>26</v>
      </c>
      <c r="F77">
        <v>5.5</v>
      </c>
      <c r="G77">
        <v>14</v>
      </c>
      <c r="H77">
        <v>10.5</v>
      </c>
      <c r="I77">
        <v>0.08</v>
      </c>
      <c r="J77">
        <v>2.76</v>
      </c>
      <c r="O77" s="36">
        <v>-0.02</v>
      </c>
      <c r="Q77">
        <v>-360</v>
      </c>
      <c r="R77" s="23">
        <f>SUM(S77:W77)</f>
        <v>643.52</v>
      </c>
      <c r="S77">
        <v>343.24</v>
      </c>
      <c r="T77">
        <v>-464.59</v>
      </c>
      <c r="U77">
        <v>18.309999999999999</v>
      </c>
      <c r="V77">
        <v>96.05</v>
      </c>
      <c r="W77" s="36">
        <v>650.51</v>
      </c>
      <c r="X77" s="24">
        <f>SUM(D77:Q77,S77:W77)-R76</f>
        <v>0</v>
      </c>
      <c r="Y77" s="23">
        <f>SUM(D77:N77)</f>
        <v>94.44</v>
      </c>
    </row>
    <row r="78" spans="1:25">
      <c r="A78">
        <v>12</v>
      </c>
      <c r="B78" s="31">
        <v>43229</v>
      </c>
      <c r="C78" s="24" t="s">
        <v>296</v>
      </c>
      <c r="R78" s="23">
        <f>SUM(S78:W78)</f>
        <v>0</v>
      </c>
      <c r="X78" s="24">
        <f>SUM(D78:Q78,S78:W78)-R77</f>
        <v>-643.52</v>
      </c>
      <c r="Y78" s="23">
        <f t="shared" si="13"/>
        <v>0</v>
      </c>
    </row>
    <row r="79" spans="1:25">
      <c r="A79">
        <v>12</v>
      </c>
      <c r="B79" s="31">
        <v>43230</v>
      </c>
      <c r="C79" s="24" t="s">
        <v>297</v>
      </c>
      <c r="R79" s="23">
        <f t="shared" si="7"/>
        <v>0</v>
      </c>
      <c r="X79" s="24">
        <f t="shared" si="12"/>
        <v>0</v>
      </c>
      <c r="Y79" s="23">
        <f t="shared" si="13"/>
        <v>0</v>
      </c>
    </row>
    <row r="80" spans="1:25">
      <c r="A80">
        <v>12</v>
      </c>
      <c r="B80" s="31">
        <v>43231</v>
      </c>
      <c r="C80" s="24" t="s">
        <v>298</v>
      </c>
      <c r="R80" s="23">
        <f t="shared" si="7"/>
        <v>0</v>
      </c>
      <c r="X80" s="24">
        <f t="shared" si="12"/>
        <v>0</v>
      </c>
      <c r="Y80" s="23">
        <f t="shared" si="13"/>
        <v>0</v>
      </c>
    </row>
    <row r="81" spans="1:25">
      <c r="A81">
        <v>12</v>
      </c>
      <c r="B81" s="31">
        <v>43232</v>
      </c>
      <c r="C81" s="24" t="s">
        <v>299</v>
      </c>
      <c r="R81" s="23">
        <f t="shared" si="7"/>
        <v>0</v>
      </c>
      <c r="X81" s="24">
        <f t="shared" si="12"/>
        <v>0</v>
      </c>
      <c r="Y81" s="23">
        <f t="shared" si="13"/>
        <v>0</v>
      </c>
    </row>
    <row r="82" spans="1:25">
      <c r="A82">
        <v>13</v>
      </c>
      <c r="B82" s="31">
        <v>43233</v>
      </c>
      <c r="C82" s="24" t="s">
        <v>293</v>
      </c>
      <c r="R82" s="23">
        <f t="shared" si="7"/>
        <v>0</v>
      </c>
      <c r="X82" s="24">
        <f t="shared" si="12"/>
        <v>0</v>
      </c>
      <c r="Y82" s="23">
        <f t="shared" si="13"/>
        <v>0</v>
      </c>
    </row>
    <row r="83" spans="1:25">
      <c r="A83">
        <v>13</v>
      </c>
      <c r="B83" s="31">
        <v>43234</v>
      </c>
      <c r="C83" s="24" t="s">
        <v>294</v>
      </c>
      <c r="R83" s="23">
        <f t="shared" si="7"/>
        <v>0</v>
      </c>
      <c r="X83" s="24">
        <f t="shared" si="12"/>
        <v>0</v>
      </c>
      <c r="Y83" s="23">
        <f t="shared" si="13"/>
        <v>0</v>
      </c>
    </row>
    <row r="84" spans="1:25">
      <c r="A84">
        <v>13</v>
      </c>
      <c r="B84" s="31">
        <v>43235</v>
      </c>
      <c r="C84" s="24" t="s">
        <v>295</v>
      </c>
      <c r="R84" s="23">
        <f t="shared" si="7"/>
        <v>0</v>
      </c>
      <c r="X84" s="24">
        <f t="shared" si="12"/>
        <v>0</v>
      </c>
      <c r="Y84" s="23">
        <f t="shared" si="13"/>
        <v>0</v>
      </c>
    </row>
    <row r="85" spans="1:25">
      <c r="A85">
        <v>13</v>
      </c>
      <c r="B85" s="31">
        <v>43236</v>
      </c>
      <c r="C85" s="24" t="s">
        <v>296</v>
      </c>
      <c r="R85" s="23">
        <f t="shared" si="7"/>
        <v>0</v>
      </c>
      <c r="X85" s="24">
        <f t="shared" si="12"/>
        <v>0</v>
      </c>
      <c r="Y85" s="23">
        <f t="shared" si="13"/>
        <v>0</v>
      </c>
    </row>
    <row r="86" spans="1:25">
      <c r="A86">
        <v>13</v>
      </c>
      <c r="B86" s="31">
        <v>43237</v>
      </c>
      <c r="C86" s="24" t="s">
        <v>297</v>
      </c>
      <c r="R86" s="23">
        <f t="shared" si="7"/>
        <v>0</v>
      </c>
      <c r="X86" s="24">
        <f t="shared" si="12"/>
        <v>0</v>
      </c>
      <c r="Y86" s="23">
        <f t="shared" si="13"/>
        <v>0</v>
      </c>
    </row>
    <row r="87" spans="1:25">
      <c r="A87">
        <v>13</v>
      </c>
      <c r="B87" s="31">
        <v>43238</v>
      </c>
      <c r="C87" s="24" t="s">
        <v>298</v>
      </c>
      <c r="R87" s="23">
        <f t="shared" si="7"/>
        <v>0</v>
      </c>
      <c r="X87" s="24">
        <f t="shared" si="12"/>
        <v>0</v>
      </c>
      <c r="Y87" s="23">
        <f t="shared" si="13"/>
        <v>0</v>
      </c>
    </row>
    <row r="88" spans="1:25">
      <c r="A88">
        <v>13</v>
      </c>
      <c r="B88" s="31">
        <v>43239</v>
      </c>
      <c r="C88" s="24" t="s">
        <v>299</v>
      </c>
      <c r="R88" s="23">
        <f t="shared" si="7"/>
        <v>0</v>
      </c>
      <c r="X88" s="24">
        <f t="shared" si="12"/>
        <v>0</v>
      </c>
      <c r="Y88" s="23">
        <f t="shared" si="13"/>
        <v>0</v>
      </c>
    </row>
    <row r="89" spans="1:25">
      <c r="A89">
        <v>14</v>
      </c>
      <c r="B89" s="31">
        <v>43240</v>
      </c>
      <c r="C89" s="24" t="s">
        <v>293</v>
      </c>
      <c r="R89" s="23">
        <f t="shared" si="7"/>
        <v>0</v>
      </c>
      <c r="X89" s="24">
        <f t="shared" si="12"/>
        <v>0</v>
      </c>
      <c r="Y89" s="23">
        <f t="shared" si="13"/>
        <v>0</v>
      </c>
    </row>
    <row r="90" spans="1:25">
      <c r="A90">
        <v>14</v>
      </c>
      <c r="B90" s="31">
        <v>43241</v>
      </c>
      <c r="C90" s="24" t="s">
        <v>294</v>
      </c>
      <c r="R90" s="23">
        <f t="shared" si="7"/>
        <v>0</v>
      </c>
      <c r="X90" s="24">
        <f t="shared" si="12"/>
        <v>0</v>
      </c>
      <c r="Y90" s="23">
        <f t="shared" si="13"/>
        <v>0</v>
      </c>
    </row>
    <row r="91" spans="1:25">
      <c r="A91">
        <v>14</v>
      </c>
      <c r="B91" s="31">
        <v>43242</v>
      </c>
      <c r="C91" s="24" t="s">
        <v>295</v>
      </c>
      <c r="R91" s="23">
        <f t="shared" si="7"/>
        <v>0</v>
      </c>
      <c r="X91" s="24">
        <f t="shared" si="12"/>
        <v>0</v>
      </c>
      <c r="Y91" s="23">
        <f t="shared" si="13"/>
        <v>0</v>
      </c>
    </row>
    <row r="92" spans="1:25">
      <c r="A92">
        <v>14</v>
      </c>
      <c r="B92" s="31">
        <v>43243</v>
      </c>
      <c r="C92" s="24" t="s">
        <v>296</v>
      </c>
      <c r="R92" s="23">
        <f t="shared" si="7"/>
        <v>0</v>
      </c>
      <c r="X92" s="24">
        <f t="shared" si="12"/>
        <v>0</v>
      </c>
      <c r="Y92" s="23">
        <f t="shared" si="13"/>
        <v>0</v>
      </c>
    </row>
    <row r="93" spans="1:25">
      <c r="A93">
        <v>14</v>
      </c>
      <c r="B93" s="31">
        <v>43244</v>
      </c>
      <c r="C93" s="24" t="s">
        <v>297</v>
      </c>
      <c r="R93" s="23">
        <f t="shared" si="7"/>
        <v>0</v>
      </c>
      <c r="X93" s="24">
        <f t="shared" si="12"/>
        <v>0</v>
      </c>
      <c r="Y93" s="23">
        <f t="shared" si="13"/>
        <v>0</v>
      </c>
    </row>
    <row r="94" spans="1:25">
      <c r="A94">
        <v>14</v>
      </c>
      <c r="B94" s="31">
        <v>43245</v>
      </c>
      <c r="C94" s="24" t="s">
        <v>298</v>
      </c>
      <c r="R94" s="23">
        <f t="shared" si="7"/>
        <v>0</v>
      </c>
      <c r="X94" s="24">
        <f t="shared" si="12"/>
        <v>0</v>
      </c>
      <c r="Y94" s="23">
        <f t="shared" si="13"/>
        <v>0</v>
      </c>
    </row>
    <row r="95" spans="1:25">
      <c r="A95">
        <v>14</v>
      </c>
      <c r="B95" s="31">
        <v>43246</v>
      </c>
      <c r="C95" s="24" t="s">
        <v>299</v>
      </c>
      <c r="R95" s="23">
        <f t="shared" si="7"/>
        <v>0</v>
      </c>
      <c r="X95" s="24">
        <f t="shared" si="12"/>
        <v>0</v>
      </c>
      <c r="Y95" s="23">
        <f t="shared" si="13"/>
        <v>0</v>
      </c>
    </row>
    <row r="96" spans="1:25">
      <c r="A96">
        <v>15</v>
      </c>
      <c r="B96" s="31">
        <v>43247</v>
      </c>
      <c r="C96" s="24" t="s">
        <v>293</v>
      </c>
      <c r="R96" s="23">
        <f t="shared" si="7"/>
        <v>0</v>
      </c>
      <c r="X96" s="24">
        <f t="shared" si="12"/>
        <v>0</v>
      </c>
      <c r="Y96" s="23">
        <f t="shared" si="13"/>
        <v>0</v>
      </c>
    </row>
    <row r="97" spans="1:25">
      <c r="A97">
        <v>15</v>
      </c>
      <c r="B97" s="31">
        <v>43248</v>
      </c>
      <c r="C97" s="24" t="s">
        <v>294</v>
      </c>
      <c r="R97" s="23">
        <f t="shared" si="7"/>
        <v>0</v>
      </c>
      <c r="X97" s="24">
        <f t="shared" si="12"/>
        <v>0</v>
      </c>
      <c r="Y97" s="23">
        <f t="shared" si="13"/>
        <v>0</v>
      </c>
    </row>
    <row r="98" spans="1:25">
      <c r="A98">
        <v>15</v>
      </c>
      <c r="B98" s="31">
        <v>43249</v>
      </c>
      <c r="C98" s="24" t="s">
        <v>295</v>
      </c>
      <c r="R98" s="23">
        <f t="shared" si="7"/>
        <v>0</v>
      </c>
      <c r="X98" s="24">
        <f t="shared" si="12"/>
        <v>0</v>
      </c>
      <c r="Y98" s="23">
        <f t="shared" si="13"/>
        <v>0</v>
      </c>
    </row>
    <row r="99" spans="1:25">
      <c r="A99">
        <v>15</v>
      </c>
      <c r="B99" s="31">
        <v>43250</v>
      </c>
      <c r="C99" s="24" t="s">
        <v>296</v>
      </c>
      <c r="R99" s="23">
        <f t="shared" si="7"/>
        <v>0</v>
      </c>
      <c r="X99" s="24">
        <f t="shared" si="12"/>
        <v>0</v>
      </c>
      <c r="Y99" s="23">
        <f t="shared" si="13"/>
        <v>0</v>
      </c>
    </row>
    <row r="100" spans="1:25">
      <c r="A100">
        <v>15</v>
      </c>
      <c r="B100" s="31">
        <v>43251</v>
      </c>
      <c r="C100" s="24" t="s">
        <v>297</v>
      </c>
      <c r="R100" s="23">
        <f t="shared" si="7"/>
        <v>0</v>
      </c>
      <c r="X100" s="24">
        <f t="shared" si="12"/>
        <v>0</v>
      </c>
      <c r="Y100" s="23">
        <f t="shared" si="13"/>
        <v>0</v>
      </c>
    </row>
    <row r="101" spans="1:25">
      <c r="A101">
        <v>15</v>
      </c>
      <c r="B101" s="31">
        <v>43252</v>
      </c>
      <c r="C101" s="24" t="s">
        <v>298</v>
      </c>
      <c r="R101" s="23">
        <f t="shared" si="7"/>
        <v>0</v>
      </c>
      <c r="X101" s="24">
        <f t="shared" si="12"/>
        <v>0</v>
      </c>
      <c r="Y101" s="23">
        <f t="shared" si="13"/>
        <v>0</v>
      </c>
    </row>
    <row r="102" spans="1:25">
      <c r="A102">
        <v>15</v>
      </c>
      <c r="B102" s="31">
        <v>43253</v>
      </c>
      <c r="C102" s="24" t="s">
        <v>299</v>
      </c>
      <c r="R102" s="23">
        <f t="shared" si="7"/>
        <v>686.12</v>
      </c>
      <c r="S102">
        <v>543.36</v>
      </c>
      <c r="T102">
        <v>-156.26</v>
      </c>
      <c r="U102">
        <v>8.15</v>
      </c>
      <c r="V102">
        <v>104.64</v>
      </c>
      <c r="W102">
        <v>186.23</v>
      </c>
      <c r="X102" s="24">
        <f t="shared" si="12"/>
        <v>686.12</v>
      </c>
      <c r="Y102" s="23">
        <f t="shared" si="13"/>
        <v>0</v>
      </c>
    </row>
    <row r="103" spans="1:25">
      <c r="A103">
        <v>16</v>
      </c>
      <c r="B103" s="31">
        <v>43254</v>
      </c>
      <c r="C103" s="24" t="s">
        <v>293</v>
      </c>
      <c r="D103">
        <v>10</v>
      </c>
      <c r="O103">
        <v>-0.04</v>
      </c>
      <c r="R103" s="23">
        <f t="shared" si="7"/>
        <v>650.5</v>
      </c>
      <c r="S103">
        <v>543.4</v>
      </c>
      <c r="T103">
        <v>-156.26</v>
      </c>
      <c r="U103">
        <v>8.15</v>
      </c>
      <c r="V103">
        <v>78.98</v>
      </c>
      <c r="W103">
        <f>153.73+22.5</f>
        <v>176.23</v>
      </c>
      <c r="X103" s="24">
        <f t="shared" si="12"/>
        <v>-25.659999999999968</v>
      </c>
      <c r="Y103" s="23">
        <f t="shared" si="13"/>
        <v>10</v>
      </c>
    </row>
    <row r="104" spans="1:25">
      <c r="A104">
        <v>16</v>
      </c>
      <c r="B104" s="31">
        <v>43255</v>
      </c>
      <c r="C104" s="24" t="s">
        <v>294</v>
      </c>
      <c r="D104">
        <f>22.5+80.97</f>
        <v>103.47</v>
      </c>
      <c r="O104">
        <v>-0.04</v>
      </c>
      <c r="R104" s="23">
        <f t="shared" si="7"/>
        <v>468.13</v>
      </c>
      <c r="S104">
        <v>543.48</v>
      </c>
      <c r="T104">
        <v>-156.26</v>
      </c>
      <c r="U104">
        <v>8.15</v>
      </c>
      <c r="W104">
        <v>72.760000000000005</v>
      </c>
      <c r="X104" s="24">
        <f t="shared" si="12"/>
        <v>-78.940000000000055</v>
      </c>
      <c r="Y104" s="23">
        <f t="shared" si="13"/>
        <v>103.47</v>
      </c>
    </row>
    <row r="105" spans="1:25">
      <c r="A105">
        <v>16</v>
      </c>
      <c r="B105" s="31">
        <v>43256</v>
      </c>
      <c r="C105" s="24" t="s">
        <v>295</v>
      </c>
      <c r="M105">
        <v>100</v>
      </c>
      <c r="O105">
        <v>-0.04</v>
      </c>
      <c r="R105" s="23">
        <f t="shared" si="7"/>
        <v>407.87</v>
      </c>
      <c r="S105">
        <v>443.48</v>
      </c>
      <c r="T105">
        <v>-156.26</v>
      </c>
      <c r="U105">
        <v>8.15</v>
      </c>
      <c r="V105">
        <v>39.74</v>
      </c>
      <c r="W105">
        <v>72.760000000000005</v>
      </c>
      <c r="X105" s="24">
        <f t="shared" si="12"/>
        <v>39.700000000000045</v>
      </c>
      <c r="Y105" s="23">
        <f t="shared" si="13"/>
        <v>100</v>
      </c>
    </row>
    <row r="106" spans="1:25">
      <c r="A106">
        <v>16</v>
      </c>
      <c r="B106" s="31">
        <v>43257</v>
      </c>
      <c r="C106" s="24" t="s">
        <v>296</v>
      </c>
      <c r="F106">
        <v>8</v>
      </c>
      <c r="G106">
        <v>8</v>
      </c>
      <c r="H106">
        <v>0</v>
      </c>
      <c r="I106">
        <v>0</v>
      </c>
      <c r="M106">
        <v>1</v>
      </c>
      <c r="O106">
        <v>-0.04</v>
      </c>
      <c r="P106">
        <v>-60</v>
      </c>
      <c r="R106" s="23">
        <f t="shared" si="7"/>
        <v>444.33</v>
      </c>
      <c r="S106">
        <v>443.52</v>
      </c>
      <c r="T106">
        <v>-156.26</v>
      </c>
      <c r="U106">
        <v>7.15</v>
      </c>
      <c r="V106">
        <v>18.16</v>
      </c>
      <c r="W106">
        <v>131.76</v>
      </c>
      <c r="X106" s="42">
        <f>SUM(D106:Q106,S106:W106)-R105</f>
        <v>-6.5800000000000409</v>
      </c>
      <c r="Y106" s="23">
        <f t="shared" si="13"/>
        <v>17</v>
      </c>
    </row>
    <row r="107" spans="1:25">
      <c r="A107">
        <v>16</v>
      </c>
      <c r="B107" s="31">
        <v>43258</v>
      </c>
      <c r="C107" s="24" t="s">
        <v>297</v>
      </c>
      <c r="J107">
        <v>3</v>
      </c>
      <c r="O107">
        <v>-0.03</v>
      </c>
      <c r="R107" s="23">
        <f t="shared" si="7"/>
        <v>424.2</v>
      </c>
      <c r="S107">
        <v>443.55</v>
      </c>
      <c r="T107">
        <v>-156.26</v>
      </c>
      <c r="U107">
        <v>5.15</v>
      </c>
      <c r="W107">
        <v>131.76</v>
      </c>
      <c r="X107" s="24">
        <f t="shared" si="12"/>
        <v>-17.159999999999968</v>
      </c>
      <c r="Y107" s="23">
        <f t="shared" si="13"/>
        <v>3</v>
      </c>
    </row>
    <row r="108" spans="1:25">
      <c r="A108">
        <v>16</v>
      </c>
      <c r="B108" s="31">
        <v>43259</v>
      </c>
      <c r="C108" s="24" t="s">
        <v>298</v>
      </c>
      <c r="L108">
        <v>57.28</v>
      </c>
      <c r="M108">
        <f>10+22.5</f>
        <v>32.5</v>
      </c>
      <c r="O108">
        <v>-0.02</v>
      </c>
      <c r="R108" s="23">
        <f t="shared" si="7"/>
        <v>334.44</v>
      </c>
      <c r="S108">
        <v>443.57</v>
      </c>
      <c r="T108">
        <f>-166.26-22.5</f>
        <v>-188.76</v>
      </c>
      <c r="U108">
        <v>5.15</v>
      </c>
      <c r="W108">
        <f>74.48</f>
        <v>74.48</v>
      </c>
      <c r="X108" s="24">
        <f t="shared" si="12"/>
        <v>0</v>
      </c>
      <c r="Y108" s="23">
        <f t="shared" si="13"/>
        <v>89.78</v>
      </c>
    </row>
    <row r="109" spans="1:25">
      <c r="A109">
        <v>16</v>
      </c>
      <c r="B109" s="31">
        <v>43260</v>
      </c>
      <c r="C109" s="24" t="s">
        <v>299</v>
      </c>
      <c r="I109">
        <v>3</v>
      </c>
      <c r="M109">
        <v>119.8</v>
      </c>
      <c r="O109">
        <v>-0.02</v>
      </c>
      <c r="R109" s="23">
        <f t="shared" si="7"/>
        <v>93.069999999999965</v>
      </c>
      <c r="S109">
        <v>443.59</v>
      </c>
      <c r="T109">
        <v>-397.36</v>
      </c>
      <c r="U109">
        <v>2.15</v>
      </c>
      <c r="V109">
        <v>20.21</v>
      </c>
      <c r="W109">
        <v>24.48</v>
      </c>
      <c r="X109" s="42">
        <f>SUM(D109:Q109,S109:W109)-R108</f>
        <v>-118.59</v>
      </c>
      <c r="Y109" s="23">
        <f t="shared" si="13"/>
        <v>122.8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DA22-06B3-4C94-9DCD-A948636A1259}">
  <dimension ref="A3:J17"/>
  <sheetViews>
    <sheetView zoomScaleNormal="100" workbookViewId="0">
      <selection activeCell="J37" sqref="J37"/>
    </sheetView>
  </sheetViews>
  <sheetFormatPr defaultRowHeight="15.75"/>
  <cols>
    <col min="1" max="1" width="8.5" bestFit="1" customWidth="1"/>
    <col min="2" max="4" width="12.75" bestFit="1" customWidth="1"/>
    <col min="5" max="5" width="10.875" bestFit="1" customWidth="1"/>
    <col min="6" max="6" width="14.75" bestFit="1" customWidth="1"/>
    <col min="7" max="7" width="12.375" bestFit="1" customWidth="1"/>
    <col min="8" max="10" width="14.75" bestFit="1" customWidth="1"/>
    <col min="11" max="11" width="5.25" bestFit="1" customWidth="1"/>
    <col min="12" max="12" width="4.25" bestFit="1" customWidth="1"/>
    <col min="13" max="13" width="2.25" bestFit="1" customWidth="1"/>
    <col min="14" max="18" width="4.25" bestFit="1" customWidth="1"/>
    <col min="19" max="19" width="5.25" bestFit="1" customWidth="1"/>
    <col min="20" max="20" width="2.25" bestFit="1" customWidth="1"/>
    <col min="21" max="25" width="4.25" bestFit="1" customWidth="1"/>
    <col min="26" max="26" width="2.25" bestFit="1" customWidth="1"/>
    <col min="27" max="28" width="4.25" bestFit="1" customWidth="1"/>
    <col min="29" max="29" width="2.25" bestFit="1" customWidth="1"/>
    <col min="30" max="30" width="6" bestFit="1" customWidth="1"/>
    <col min="31" max="31" width="4.875" bestFit="1" customWidth="1"/>
  </cols>
  <sheetData>
    <row r="3" spans="1:10">
      <c r="A3" s="38" t="s">
        <v>311</v>
      </c>
      <c r="B3" t="s">
        <v>313</v>
      </c>
      <c r="C3" t="s">
        <v>314</v>
      </c>
      <c r="D3" t="s">
        <v>315</v>
      </c>
      <c r="E3" t="s">
        <v>316</v>
      </c>
      <c r="F3" t="s">
        <v>320</v>
      </c>
      <c r="G3" s="41" t="s">
        <v>322</v>
      </c>
      <c r="H3" t="s">
        <v>321</v>
      </c>
      <c r="I3" t="s">
        <v>317</v>
      </c>
      <c r="J3" s="41" t="s">
        <v>318</v>
      </c>
    </row>
    <row r="4" spans="1:10">
      <c r="A4" s="18">
        <v>1</v>
      </c>
      <c r="B4" s="39">
        <v>4.5666666666666664</v>
      </c>
      <c r="C4" s="39">
        <v>9</v>
      </c>
      <c r="D4" s="39">
        <v>20</v>
      </c>
      <c r="E4" s="37">
        <v>-0.12000000000000001</v>
      </c>
      <c r="F4" s="37">
        <v>27</v>
      </c>
      <c r="G4" s="41">
        <v>8.3876980428704562E-2</v>
      </c>
      <c r="H4" s="37"/>
      <c r="I4" s="40">
        <v>0</v>
      </c>
      <c r="J4" s="41">
        <v>0.31283007145076108</v>
      </c>
    </row>
    <row r="5" spans="1:10">
      <c r="A5" s="18">
        <v>2</v>
      </c>
      <c r="B5" s="39">
        <v>6.4428571428571431</v>
      </c>
      <c r="C5" s="39">
        <v>8.7142857142857135</v>
      </c>
      <c r="D5" s="39">
        <v>9.5</v>
      </c>
      <c r="E5" s="37">
        <v>-0.3</v>
      </c>
      <c r="F5" s="37">
        <v>50.1</v>
      </c>
      <c r="G5" s="41">
        <v>0.16052547260493433</v>
      </c>
      <c r="H5" s="37"/>
      <c r="I5" s="40">
        <v>0</v>
      </c>
      <c r="J5" s="41">
        <v>0.55302787568087153</v>
      </c>
    </row>
    <row r="6" spans="1:10">
      <c r="A6" s="18">
        <v>3</v>
      </c>
      <c r="B6" s="39">
        <v>4.7000000000000011</v>
      </c>
      <c r="C6" s="39">
        <v>8.7142857142857135</v>
      </c>
      <c r="D6" s="39">
        <v>8.7857142857142865</v>
      </c>
      <c r="E6" s="37">
        <v>-0.52</v>
      </c>
      <c r="F6" s="37">
        <v>2.4</v>
      </c>
      <c r="G6" s="41">
        <v>1.0743061772605193E-2</v>
      </c>
      <c r="H6" s="37"/>
      <c r="I6" s="40">
        <v>0</v>
      </c>
      <c r="J6" s="41">
        <v>0.69561324977618633</v>
      </c>
    </row>
    <row r="7" spans="1:10">
      <c r="A7" s="18">
        <v>4</v>
      </c>
      <c r="B7" s="39">
        <v>6.0571428571428569</v>
      </c>
      <c r="C7" s="39">
        <v>6.5714285714285712</v>
      </c>
      <c r="D7" s="39">
        <v>18.681428571428569</v>
      </c>
      <c r="E7" s="37">
        <v>5</v>
      </c>
      <c r="F7" s="37">
        <v>18.32</v>
      </c>
      <c r="G7" s="41">
        <v>3.792568057136942E-2</v>
      </c>
      <c r="H7" s="37"/>
      <c r="I7" s="40">
        <v>0</v>
      </c>
      <c r="J7" s="41">
        <v>0.45372114687920501</v>
      </c>
    </row>
    <row r="8" spans="1:10">
      <c r="A8" s="18">
        <v>5</v>
      </c>
      <c r="B8" s="39">
        <v>5.7857142857142856</v>
      </c>
      <c r="C8" s="39">
        <v>8.0428571428571427</v>
      </c>
      <c r="D8" s="39">
        <v>10.035714285714286</v>
      </c>
      <c r="E8" s="37">
        <v>0.1</v>
      </c>
      <c r="F8" s="37">
        <v>30</v>
      </c>
      <c r="G8" s="41">
        <v>0.12298610257040954</v>
      </c>
      <c r="H8" s="37"/>
      <c r="I8" s="40">
        <v>0</v>
      </c>
      <c r="J8" s="41">
        <v>0.68482761447956386</v>
      </c>
    </row>
    <row r="9" spans="1:10">
      <c r="A9" s="18">
        <v>6</v>
      </c>
      <c r="B9" s="39">
        <v>6.5771428571428574</v>
      </c>
      <c r="C9" s="39">
        <v>7.2857142857142856</v>
      </c>
      <c r="D9" s="39">
        <v>7.7142857142857144</v>
      </c>
      <c r="E9" s="37">
        <v>2.1900000000000004</v>
      </c>
      <c r="F9" s="37"/>
      <c r="G9" s="41">
        <v>0</v>
      </c>
      <c r="H9" s="37"/>
      <c r="I9" s="40">
        <v>0</v>
      </c>
      <c r="J9" s="41">
        <v>0.47376180170007209</v>
      </c>
    </row>
    <row r="10" spans="1:10">
      <c r="A10" s="18">
        <v>7</v>
      </c>
      <c r="B10" s="39">
        <v>3.8714285714285714</v>
      </c>
      <c r="C10" s="39">
        <v>9.2857142857142865</v>
      </c>
      <c r="D10" s="39">
        <v>9.8571428571428577</v>
      </c>
      <c r="E10" s="37">
        <v>-1.0899999999999999</v>
      </c>
      <c r="F10" s="37">
        <v>74.02</v>
      </c>
      <c r="G10" s="41">
        <v>3.872736500096792E-2</v>
      </c>
      <c r="H10" s="37">
        <v>1200</v>
      </c>
      <c r="I10" s="40">
        <v>0.62784163741099042</v>
      </c>
      <c r="J10" s="41">
        <v>8.4287739822425461E-2</v>
      </c>
    </row>
    <row r="11" spans="1:10">
      <c r="A11" s="18">
        <v>8</v>
      </c>
      <c r="B11" s="39">
        <v>7.3</v>
      </c>
      <c r="C11" s="39">
        <v>8.75</v>
      </c>
      <c r="D11" s="39">
        <v>10</v>
      </c>
      <c r="E11" s="37">
        <v>2.56</v>
      </c>
      <c r="F11" s="37"/>
      <c r="G11" s="41">
        <v>0</v>
      </c>
      <c r="H11" s="37">
        <v>5</v>
      </c>
      <c r="I11" s="40">
        <v>9.4689796227558527E-3</v>
      </c>
      <c r="J11" s="41">
        <v>0.19733353533823197</v>
      </c>
    </row>
    <row r="12" spans="1:10">
      <c r="A12" s="18">
        <v>9</v>
      </c>
      <c r="B12" s="39">
        <v>4.1857142857142859</v>
      </c>
      <c r="C12" s="39">
        <v>7.5714285714285712</v>
      </c>
      <c r="D12" s="39">
        <v>9.6428571428571423</v>
      </c>
      <c r="E12" s="37">
        <v>1.1299999999999999</v>
      </c>
      <c r="F12" s="37"/>
      <c r="G12" s="41">
        <v>0</v>
      </c>
      <c r="H12" s="37">
        <v>67.8</v>
      </c>
      <c r="I12" s="40">
        <v>0.26115091287266001</v>
      </c>
      <c r="J12" s="41">
        <v>0.57699714968030202</v>
      </c>
    </row>
    <row r="13" spans="1:10">
      <c r="A13" s="18">
        <v>10</v>
      </c>
      <c r="B13" s="39">
        <v>7.2666666666666666</v>
      </c>
      <c r="C13" s="39">
        <v>10</v>
      </c>
      <c r="D13" s="39">
        <v>8.6666666666666661</v>
      </c>
      <c r="E13" s="37"/>
      <c r="F13" s="37"/>
      <c r="G13" s="41">
        <v>0</v>
      </c>
      <c r="H13" s="37">
        <v>6</v>
      </c>
      <c r="I13" s="40">
        <v>3.1469631805307881E-2</v>
      </c>
      <c r="J13" s="41">
        <v>0.40805622574215883</v>
      </c>
    </row>
    <row r="14" spans="1:10">
      <c r="A14" s="18">
        <v>11</v>
      </c>
      <c r="B14" s="39">
        <v>6.4714285714285724</v>
      </c>
      <c r="C14" s="39">
        <v>8.2857142857142865</v>
      </c>
      <c r="D14" s="39">
        <v>7.8571428571428568</v>
      </c>
      <c r="E14" s="37">
        <v>-0.24000000000000002</v>
      </c>
      <c r="F14" s="37">
        <v>347.6</v>
      </c>
      <c r="G14" s="41">
        <v>0.64590456369852822</v>
      </c>
      <c r="H14" s="37"/>
      <c r="I14" s="40">
        <v>0</v>
      </c>
      <c r="J14" s="41">
        <v>0.2941504385312918</v>
      </c>
    </row>
    <row r="15" spans="1:10">
      <c r="A15" s="18">
        <v>12</v>
      </c>
      <c r="B15" s="39">
        <v>10</v>
      </c>
      <c r="C15" s="39">
        <v>13</v>
      </c>
      <c r="D15" s="39">
        <v>10</v>
      </c>
      <c r="E15" s="37">
        <v>1</v>
      </c>
      <c r="F15" s="37"/>
      <c r="G15" s="41">
        <v>0</v>
      </c>
      <c r="H15" s="37"/>
      <c r="I15" s="40">
        <v>0</v>
      </c>
      <c r="J15" s="41">
        <v>0.96069868995633179</v>
      </c>
    </row>
    <row r="16" spans="1:10">
      <c r="A16" s="18" t="s">
        <v>319</v>
      </c>
      <c r="B16" s="39"/>
      <c r="C16" s="39"/>
      <c r="D16" s="39"/>
      <c r="E16" s="37"/>
      <c r="F16" s="37"/>
      <c r="G16" s="41" t="e">
        <v>#DIV/0!</v>
      </c>
      <c r="H16" s="37"/>
      <c r="I16" s="40" t="e">
        <v>#DIV/0!</v>
      </c>
      <c r="J16" s="41" t="e">
        <v>#DIV/0!</v>
      </c>
    </row>
    <row r="17" spans="1:10">
      <c r="A17" s="18" t="s">
        <v>312</v>
      </c>
      <c r="B17" s="39">
        <v>5.7214925373134324</v>
      </c>
      <c r="C17" s="39">
        <v>8.3029850746268643</v>
      </c>
      <c r="D17" s="39">
        <v>10.604776119402985</v>
      </c>
      <c r="E17" s="37">
        <v>9.7100000000000009</v>
      </c>
      <c r="F17" s="37">
        <v>549.44000000000005</v>
      </c>
      <c r="G17" s="41">
        <v>0.10240563022218578</v>
      </c>
      <c r="H17" s="37">
        <v>1278.8</v>
      </c>
      <c r="I17" s="40">
        <v>0.23834507849470582</v>
      </c>
      <c r="J17" s="41">
        <v>0.30755983322554248</v>
      </c>
    </row>
  </sheetData>
  <sortState sortMethod="stroke" ref="A3:G76">
    <sortCondition ref="A6" customList="星期一,星期二,星期三,星期四,星期五,星期六,星期日"/>
  </sortState>
  <phoneticPr fontId="3" type="noConversion"/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92D-3B21-4BF2-9153-CD7FDDF89615}">
  <dimension ref="A1:B14"/>
  <sheetViews>
    <sheetView workbookViewId="0">
      <selection activeCell="H26" sqref="H26"/>
    </sheetView>
  </sheetViews>
  <sheetFormatPr defaultRowHeight="15.75"/>
  <sheetData>
    <row r="1" spans="1:2">
      <c r="A1" t="s">
        <v>331</v>
      </c>
      <c r="B1">
        <v>265.5</v>
      </c>
    </row>
    <row r="2" spans="1:2">
      <c r="A2" t="s">
        <v>332</v>
      </c>
      <c r="B2">
        <v>31</v>
      </c>
    </row>
    <row r="3" spans="1:2">
      <c r="A3" t="s">
        <v>333</v>
      </c>
      <c r="B3">
        <v>5</v>
      </c>
    </row>
    <row r="4" spans="1:2">
      <c r="A4" t="s">
        <v>334</v>
      </c>
      <c r="B4">
        <v>29.9</v>
      </c>
    </row>
    <row r="5" spans="1:2">
      <c r="A5" t="s">
        <v>335</v>
      </c>
      <c r="B5">
        <v>13.36</v>
      </c>
    </row>
    <row r="6" spans="1:2">
      <c r="A6" t="s">
        <v>336</v>
      </c>
      <c r="B6">
        <v>40</v>
      </c>
    </row>
    <row r="7" spans="1:2">
      <c r="A7" t="s">
        <v>233</v>
      </c>
      <c r="B7">
        <v>17</v>
      </c>
    </row>
    <row r="8" spans="1:2">
      <c r="A8" t="s">
        <v>337</v>
      </c>
      <c r="B8">
        <v>12.5</v>
      </c>
    </row>
    <row r="9" spans="1:2">
      <c r="A9" t="s">
        <v>339</v>
      </c>
      <c r="B9">
        <v>17.5</v>
      </c>
    </row>
    <row r="10" spans="1:2">
      <c r="A10" t="s">
        <v>338</v>
      </c>
      <c r="B10">
        <v>12</v>
      </c>
    </row>
    <row r="11" spans="1:2">
      <c r="A11" t="s">
        <v>340</v>
      </c>
      <c r="B11">
        <v>41.8</v>
      </c>
    </row>
    <row r="12" spans="1:2">
      <c r="A12" t="s">
        <v>341</v>
      </c>
      <c r="B12">
        <v>15</v>
      </c>
    </row>
    <row r="13" spans="1:2">
      <c r="A13" t="s">
        <v>342</v>
      </c>
      <c r="B13">
        <v>63</v>
      </c>
    </row>
    <row r="14" spans="1:2">
      <c r="A14" s="43" t="s">
        <v>343</v>
      </c>
      <c r="B14" s="43">
        <f>SUM(B1:B13)</f>
        <v>563.55999999999995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5FDE-E8B2-41EF-8112-092DBFEF4E7E}">
  <dimension ref="A1:B9"/>
  <sheetViews>
    <sheetView workbookViewId="0">
      <selection activeCell="D17" sqref="D17"/>
    </sheetView>
  </sheetViews>
  <sheetFormatPr defaultRowHeight="15.75"/>
  <sheetData>
    <row r="1" spans="1:2">
      <c r="A1" t="s">
        <v>324</v>
      </c>
      <c r="B1">
        <v>224</v>
      </c>
    </row>
    <row r="2" spans="1:2">
      <c r="A2" t="s">
        <v>325</v>
      </c>
      <c r="B2">
        <v>20</v>
      </c>
    </row>
    <row r="3" spans="1:2">
      <c r="A3" t="s">
        <v>326</v>
      </c>
      <c r="B3">
        <v>242</v>
      </c>
    </row>
    <row r="4" spans="1:2">
      <c r="A4" t="s">
        <v>327</v>
      </c>
      <c r="B4">
        <v>30</v>
      </c>
    </row>
    <row r="5" spans="1:2">
      <c r="A5" t="s">
        <v>156</v>
      </c>
      <c r="B5">
        <v>1</v>
      </c>
    </row>
    <row r="6" spans="1:2">
      <c r="A6" t="s">
        <v>328</v>
      </c>
      <c r="B6">
        <f>13.75+18.38+5+1.25+6+15</f>
        <v>59.379999999999995</v>
      </c>
    </row>
    <row r="7" spans="1:2">
      <c r="A7" t="s">
        <v>329</v>
      </c>
      <c r="B7">
        <v>30</v>
      </c>
    </row>
    <row r="8" spans="1:2">
      <c r="A8" t="s">
        <v>178</v>
      </c>
      <c r="B8">
        <v>16.5</v>
      </c>
    </row>
    <row r="9" spans="1:2">
      <c r="A9" s="43" t="s">
        <v>330</v>
      </c>
      <c r="B9" s="43">
        <f>SUM(B1:B8)</f>
        <v>622.88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4A1D-A1C3-4326-959F-283308E781EE}">
  <dimension ref="A1:Z49"/>
  <sheetViews>
    <sheetView workbookViewId="0">
      <pane ySplit="1" topLeftCell="A2" activePane="bottomLeft" state="frozen"/>
      <selection pane="bottomLeft" activeCell="M37" sqref="M37"/>
    </sheetView>
  </sheetViews>
  <sheetFormatPr defaultRowHeight="15.75"/>
  <cols>
    <col min="1" max="1" width="5.75" customWidth="1"/>
    <col min="2" max="2" width="10.875" style="44" customWidth="1"/>
    <col min="3" max="3" width="7.875" style="46" customWidth="1"/>
    <col min="18" max="18" width="9" style="49"/>
  </cols>
  <sheetData>
    <row r="1" spans="1:26">
      <c r="A1" s="43" t="s">
        <v>310</v>
      </c>
      <c r="B1" s="50" t="s">
        <v>286</v>
      </c>
      <c r="C1" s="51" t="s">
        <v>308</v>
      </c>
      <c r="D1" s="52" t="s">
        <v>32</v>
      </c>
      <c r="E1" s="52" t="s">
        <v>179</v>
      </c>
      <c r="F1" s="53" t="s">
        <v>287</v>
      </c>
      <c r="G1" s="53" t="s">
        <v>288</v>
      </c>
      <c r="H1" s="53" t="s">
        <v>82</v>
      </c>
      <c r="I1" s="53" t="s">
        <v>204</v>
      </c>
      <c r="J1" s="52" t="s">
        <v>289</v>
      </c>
      <c r="K1" s="52" t="s">
        <v>302</v>
      </c>
      <c r="L1" s="52" t="s">
        <v>290</v>
      </c>
      <c r="M1" s="52" t="s">
        <v>305</v>
      </c>
      <c r="N1" s="54" t="s">
        <v>306</v>
      </c>
      <c r="O1" s="55" t="s">
        <v>307</v>
      </c>
      <c r="P1" s="55" t="s">
        <v>345</v>
      </c>
      <c r="Q1" s="56" t="s">
        <v>346</v>
      </c>
      <c r="R1" s="56" t="s">
        <v>292</v>
      </c>
      <c r="S1" s="57" t="s">
        <v>41</v>
      </c>
      <c r="T1" s="56" t="s">
        <v>37</v>
      </c>
      <c r="U1" s="57" t="s">
        <v>303</v>
      </c>
      <c r="V1" s="57" t="s">
        <v>43</v>
      </c>
      <c r="W1" s="57" t="s">
        <v>57</v>
      </c>
      <c r="X1" s="57" t="s">
        <v>44</v>
      </c>
      <c r="Y1" s="58" t="s">
        <v>300</v>
      </c>
      <c r="Z1" s="59" t="s">
        <v>309</v>
      </c>
    </row>
    <row r="2" spans="1:26">
      <c r="A2">
        <v>-2</v>
      </c>
      <c r="B2" s="31">
        <v>43325</v>
      </c>
      <c r="C2" s="45" t="s">
        <v>323</v>
      </c>
      <c r="D2" s="24"/>
      <c r="E2" s="24"/>
      <c r="F2" s="47"/>
      <c r="G2" s="47"/>
      <c r="H2" s="47"/>
      <c r="I2" s="24"/>
      <c r="J2" s="24"/>
      <c r="K2" s="24"/>
      <c r="L2" s="24"/>
      <c r="M2" s="24"/>
      <c r="N2" s="24"/>
      <c r="O2" s="24"/>
      <c r="P2" s="24"/>
      <c r="Q2" s="42">
        <f>R2-T2</f>
        <v>1340.8200000000002</v>
      </c>
      <c r="R2" s="48">
        <f>SUM(S2:X2)</f>
        <v>1340.8200000000002</v>
      </c>
      <c r="S2" s="24">
        <v>23.22</v>
      </c>
      <c r="T2" s="24">
        <v>0</v>
      </c>
      <c r="U2" s="24">
        <v>0</v>
      </c>
      <c r="V2" s="24">
        <v>1022.22</v>
      </c>
      <c r="W2" s="24">
        <f>79.78-7.3-0.84</f>
        <v>71.64</v>
      </c>
      <c r="X2" s="24">
        <v>223.74</v>
      </c>
      <c r="Y2" s="24">
        <f>SUM(D2:Q2,S2:X2)</f>
        <v>2681.6400000000003</v>
      </c>
      <c r="Z2" s="23">
        <f>SUM(D2:N2)</f>
        <v>0</v>
      </c>
    </row>
    <row r="3" spans="1:26">
      <c r="A3">
        <v>-2</v>
      </c>
      <c r="B3" s="44">
        <v>43691</v>
      </c>
      <c r="C3" s="46" t="s">
        <v>344</v>
      </c>
      <c r="F3">
        <v>13</v>
      </c>
      <c r="G3">
        <v>33</v>
      </c>
      <c r="H3">
        <v>11.8</v>
      </c>
      <c r="J3">
        <f>0.48+0.62</f>
        <v>1.1000000000000001</v>
      </c>
      <c r="L3">
        <v>24</v>
      </c>
      <c r="M3">
        <v>14.92</v>
      </c>
      <c r="Q3" s="42">
        <f t="shared" ref="Q3:Q10" si="0">R3-T3</f>
        <v>1243</v>
      </c>
      <c r="R3" s="48">
        <f>SUM(S3:X3)</f>
        <v>1243</v>
      </c>
      <c r="S3" s="24">
        <v>23.22</v>
      </c>
      <c r="T3" s="24">
        <v>0</v>
      </c>
      <c r="U3" s="24">
        <v>0</v>
      </c>
      <c r="V3">
        <v>952.22</v>
      </c>
      <c r="W3" s="36">
        <v>43.82</v>
      </c>
      <c r="X3" s="36">
        <v>223.74</v>
      </c>
      <c r="Y3" s="42">
        <f>SUM(D3:N3,S3:X3)-SUM(O3:P3)-R2</f>
        <v>0</v>
      </c>
      <c r="Z3" s="23">
        <f>SUM(D3:N3)</f>
        <v>97.820000000000007</v>
      </c>
    </row>
    <row r="4" spans="1:26">
      <c r="A4">
        <v>-2</v>
      </c>
      <c r="B4" s="44">
        <v>43692</v>
      </c>
      <c r="C4" s="46" t="s">
        <v>296</v>
      </c>
      <c r="F4">
        <v>5.3</v>
      </c>
      <c r="G4">
        <v>13.8</v>
      </c>
      <c r="H4">
        <v>12.5</v>
      </c>
      <c r="J4">
        <v>4.46</v>
      </c>
      <c r="M4">
        <v>25</v>
      </c>
      <c r="N4">
        <v>0.1</v>
      </c>
      <c r="P4">
        <v>0.04</v>
      </c>
      <c r="Q4" s="42">
        <f t="shared" si="0"/>
        <v>1181.8800000000001</v>
      </c>
      <c r="R4" s="48">
        <f>SUM(S4:X4)</f>
        <v>1181.8800000000001</v>
      </c>
      <c r="S4">
        <v>23.22</v>
      </c>
      <c r="T4">
        <v>0</v>
      </c>
      <c r="U4">
        <v>0</v>
      </c>
      <c r="V4">
        <v>952.26</v>
      </c>
      <c r="W4">
        <v>10.66</v>
      </c>
      <c r="X4">
        <v>195.74</v>
      </c>
      <c r="Y4" s="42">
        <f t="shared" ref="Y4:Y10" si="1">SUM(D4:N4,S4:X4)-SUM(O4:P4)-R3</f>
        <v>0</v>
      </c>
      <c r="Z4" s="23">
        <f>SUM(D4:N4)</f>
        <v>61.160000000000004</v>
      </c>
    </row>
    <row r="5" spans="1:26">
      <c r="A5">
        <v>-2</v>
      </c>
      <c r="B5" s="44">
        <v>43693</v>
      </c>
      <c r="C5" s="46" t="s">
        <v>297</v>
      </c>
      <c r="F5" s="47"/>
      <c r="G5">
        <v>15.5</v>
      </c>
      <c r="H5">
        <v>12.5</v>
      </c>
      <c r="P5">
        <v>700</v>
      </c>
      <c r="Q5" s="42">
        <f t="shared" si="0"/>
        <v>1853.88</v>
      </c>
      <c r="R5" s="48">
        <f>SUM(S5:X5)</f>
        <v>1853.88</v>
      </c>
      <c r="S5">
        <v>23.22</v>
      </c>
      <c r="T5">
        <v>0</v>
      </c>
      <c r="U5">
        <v>0</v>
      </c>
      <c r="V5">
        <v>852.26</v>
      </c>
      <c r="W5">
        <f>110.66-28</f>
        <v>82.66</v>
      </c>
      <c r="X5">
        <v>895.74</v>
      </c>
      <c r="Y5" s="42">
        <f t="shared" si="1"/>
        <v>0</v>
      </c>
      <c r="Z5" s="23">
        <f t="shared" ref="Z5:Z6" si="2">SUM(D5:N5)</f>
        <v>28</v>
      </c>
    </row>
    <row r="6" spans="1:26">
      <c r="A6">
        <v>-2</v>
      </c>
      <c r="B6" s="44">
        <v>43694</v>
      </c>
      <c r="C6" s="46" t="s">
        <v>298</v>
      </c>
      <c r="D6">
        <v>50</v>
      </c>
      <c r="F6">
        <v>7.5</v>
      </c>
      <c r="G6">
        <v>8</v>
      </c>
      <c r="H6" s="47"/>
      <c r="J6">
        <v>1.44</v>
      </c>
      <c r="K6">
        <v>10</v>
      </c>
      <c r="N6">
        <v>-0.03</v>
      </c>
      <c r="P6">
        <v>500</v>
      </c>
      <c r="Q6" s="42">
        <f t="shared" si="0"/>
        <v>2276.9700000000003</v>
      </c>
      <c r="R6" s="48">
        <f t="shared" ref="R6:R10" si="3">SUM(S6:X6)</f>
        <v>2276.9700000000003</v>
      </c>
      <c r="S6">
        <v>313.22000000000003</v>
      </c>
      <c r="T6">
        <v>0</v>
      </c>
      <c r="U6">
        <v>0</v>
      </c>
      <c r="V6">
        <v>986.87</v>
      </c>
      <c r="W6">
        <v>81.14</v>
      </c>
      <c r="X6">
        <v>895.74</v>
      </c>
      <c r="Y6" s="42">
        <f t="shared" si="1"/>
        <v>0</v>
      </c>
      <c r="Z6" s="23">
        <f t="shared" si="2"/>
        <v>76.91</v>
      </c>
    </row>
    <row r="7" spans="1:26">
      <c r="A7">
        <v>-2</v>
      </c>
      <c r="B7" s="44">
        <v>43695</v>
      </c>
      <c r="C7" s="46" t="s">
        <v>299</v>
      </c>
      <c r="D7">
        <v>12.5</v>
      </c>
      <c r="E7">
        <v>40</v>
      </c>
      <c r="F7" s="47"/>
      <c r="G7">
        <v>10</v>
      </c>
      <c r="H7">
        <v>17.5</v>
      </c>
      <c r="J7">
        <v>4.18</v>
      </c>
      <c r="N7">
        <v>0.24</v>
      </c>
      <c r="Q7" s="42">
        <f t="shared" si="0"/>
        <v>2142.5500000000002</v>
      </c>
      <c r="R7" s="48">
        <f t="shared" si="3"/>
        <v>2192.5500000000002</v>
      </c>
      <c r="S7">
        <v>523.22</v>
      </c>
      <c r="T7">
        <v>50</v>
      </c>
      <c r="U7">
        <v>0</v>
      </c>
      <c r="V7">
        <v>1274.3699999999999</v>
      </c>
      <c r="W7">
        <v>52.22</v>
      </c>
      <c r="X7">
        <v>292.74</v>
      </c>
      <c r="Y7" s="42">
        <f t="shared" si="1"/>
        <v>0</v>
      </c>
      <c r="Z7" s="23">
        <f t="shared" ref="Z7" si="4">SUM(D7:N7)</f>
        <v>84.42</v>
      </c>
    </row>
    <row r="8" spans="1:26">
      <c r="A8">
        <v>-1</v>
      </c>
      <c r="B8" s="44">
        <v>43696</v>
      </c>
      <c r="C8" s="46" t="s">
        <v>293</v>
      </c>
      <c r="D8">
        <v>29.8</v>
      </c>
      <c r="E8">
        <v>21.8</v>
      </c>
      <c r="F8" s="47"/>
      <c r="G8">
        <v>11.4</v>
      </c>
      <c r="H8">
        <v>8.8000000000000007</v>
      </c>
      <c r="K8">
        <v>36</v>
      </c>
      <c r="N8">
        <v>-0.8</v>
      </c>
      <c r="O8">
        <v>0.05</v>
      </c>
      <c r="Q8" s="42">
        <f t="shared" si="0"/>
        <v>2035.6000000000004</v>
      </c>
      <c r="R8" s="48">
        <f t="shared" si="3"/>
        <v>2085.6000000000004</v>
      </c>
      <c r="S8">
        <v>437.42</v>
      </c>
      <c r="T8">
        <v>50</v>
      </c>
      <c r="U8">
        <v>0</v>
      </c>
      <c r="V8">
        <v>1274.42</v>
      </c>
      <c r="W8">
        <v>31.02</v>
      </c>
      <c r="X8">
        <v>292.74</v>
      </c>
      <c r="Y8" s="42">
        <f t="shared" si="1"/>
        <v>0</v>
      </c>
      <c r="Z8" s="23">
        <f t="shared" ref="Z8" si="5">SUM(D8:N8)</f>
        <v>107</v>
      </c>
    </row>
    <row r="9" spans="1:26">
      <c r="A9">
        <v>-1</v>
      </c>
      <c r="B9" s="44">
        <v>43697</v>
      </c>
      <c r="C9" s="46" t="s">
        <v>294</v>
      </c>
      <c r="F9" s="47"/>
      <c r="G9">
        <v>7.8</v>
      </c>
      <c r="H9">
        <v>15</v>
      </c>
      <c r="J9">
        <v>4.22</v>
      </c>
      <c r="N9">
        <v>0.18</v>
      </c>
      <c r="O9">
        <v>0.05</v>
      </c>
      <c r="Q9" s="42">
        <f t="shared" si="0"/>
        <v>2008.4499999999998</v>
      </c>
      <c r="R9" s="48">
        <f t="shared" si="3"/>
        <v>2058.4499999999998</v>
      </c>
      <c r="S9">
        <v>434.42</v>
      </c>
      <c r="T9">
        <v>50</v>
      </c>
      <c r="U9">
        <v>0</v>
      </c>
      <c r="V9">
        <v>1274.47</v>
      </c>
      <c r="W9">
        <v>6.82</v>
      </c>
      <c r="X9">
        <v>292.74</v>
      </c>
      <c r="Y9" s="42">
        <f t="shared" si="1"/>
        <v>0</v>
      </c>
      <c r="Z9" s="23">
        <f t="shared" ref="Z9" si="6">SUM(D9:N9)</f>
        <v>27.2</v>
      </c>
    </row>
    <row r="10" spans="1:26">
      <c r="A10">
        <v>-1</v>
      </c>
      <c r="B10" s="44">
        <v>43698</v>
      </c>
      <c r="C10" s="46" t="s">
        <v>295</v>
      </c>
      <c r="D10">
        <v>19.5</v>
      </c>
      <c r="F10">
        <v>6</v>
      </c>
      <c r="G10">
        <v>9.9</v>
      </c>
      <c r="H10">
        <v>9.8000000000000007</v>
      </c>
      <c r="J10">
        <v>1</v>
      </c>
      <c r="N10">
        <v>-1</v>
      </c>
      <c r="O10">
        <v>0.08</v>
      </c>
      <c r="Q10" s="42">
        <f t="shared" si="0"/>
        <v>1963.3300000000002</v>
      </c>
      <c r="R10" s="48">
        <f t="shared" si="3"/>
        <v>2013.3300000000002</v>
      </c>
      <c r="S10">
        <v>414.92</v>
      </c>
      <c r="T10">
        <v>50</v>
      </c>
      <c r="U10">
        <v>0</v>
      </c>
      <c r="V10">
        <v>1174.55</v>
      </c>
      <c r="W10">
        <v>81.12</v>
      </c>
      <c r="X10">
        <v>292.74</v>
      </c>
      <c r="Y10" s="42">
        <f t="shared" si="1"/>
        <v>0</v>
      </c>
      <c r="Z10" s="23">
        <f t="shared" ref="Z10" si="7">SUM(D10:N10)</f>
        <v>45.2</v>
      </c>
    </row>
    <row r="11" spans="1:26">
      <c r="A11">
        <v>-1</v>
      </c>
      <c r="B11" s="44">
        <v>43699</v>
      </c>
      <c r="C11" s="46" t="s">
        <v>296</v>
      </c>
      <c r="F11">
        <v>4.5</v>
      </c>
      <c r="G11">
        <v>10.5</v>
      </c>
      <c r="H11">
        <v>10</v>
      </c>
      <c r="I11">
        <v>1</v>
      </c>
      <c r="M11">
        <v>0.6</v>
      </c>
      <c r="N11">
        <v>0.56000000000000005</v>
      </c>
      <c r="O11">
        <v>0.08</v>
      </c>
      <c r="Q11" s="42">
        <f t="shared" ref="Q11" si="8">R11-T11</f>
        <v>1084.25</v>
      </c>
      <c r="R11" s="48">
        <f t="shared" ref="R11" si="9">SUM(S11:X11)</f>
        <v>1986.25</v>
      </c>
      <c r="S11">
        <v>232.92</v>
      </c>
      <c r="T11">
        <v>902</v>
      </c>
      <c r="U11">
        <v>0</v>
      </c>
      <c r="V11">
        <v>599.63</v>
      </c>
      <c r="W11">
        <v>54.56</v>
      </c>
      <c r="X11">
        <v>197.14</v>
      </c>
      <c r="Y11" s="42">
        <f t="shared" ref="Y11" si="10">SUM(D11:N11,S11:X11)-SUM(O11:P11)-R10</f>
        <v>0</v>
      </c>
      <c r="Z11" s="23">
        <f t="shared" ref="Z11" si="11">SUM(D11:N11)</f>
        <v>27.16</v>
      </c>
    </row>
    <row r="12" spans="1:26">
      <c r="A12">
        <v>-1</v>
      </c>
      <c r="B12" s="44">
        <v>43700</v>
      </c>
      <c r="C12" s="46" t="s">
        <v>297</v>
      </c>
      <c r="D12">
        <v>10.5</v>
      </c>
      <c r="F12">
        <v>10.5</v>
      </c>
      <c r="O12">
        <v>0.04</v>
      </c>
      <c r="P12">
        <v>285.43</v>
      </c>
      <c r="Q12" s="42">
        <f t="shared" ref="Q12:Q13" si="12">R12-T12</f>
        <v>197.13999999999987</v>
      </c>
      <c r="R12" s="48">
        <f t="shared" ref="R12:R13" si="13">SUM(S12:X12)</f>
        <v>1099.1399999999999</v>
      </c>
      <c r="T12">
        <v>902</v>
      </c>
      <c r="U12">
        <v>0</v>
      </c>
      <c r="X12">
        <v>197.14</v>
      </c>
      <c r="Y12" s="42">
        <f>SUM(D12:N12,S12:X12)-SUM(F12:P12)-R11</f>
        <v>-1162.0800000000002</v>
      </c>
      <c r="Z12" s="23">
        <f t="shared" ref="Z12:Z13" si="14">SUM(D12:N12)</f>
        <v>21</v>
      </c>
    </row>
    <row r="13" spans="1:26">
      <c r="A13">
        <v>-1</v>
      </c>
      <c r="B13" s="44">
        <v>43701</v>
      </c>
      <c r="C13" s="46" t="s">
        <v>298</v>
      </c>
      <c r="J13">
        <v>3</v>
      </c>
      <c r="O13">
        <v>3</v>
      </c>
      <c r="Q13" s="42">
        <f t="shared" si="12"/>
        <v>1295.5800000000004</v>
      </c>
      <c r="R13" s="48">
        <f t="shared" si="13"/>
        <v>2197.6400000000003</v>
      </c>
      <c r="S13">
        <v>229.92</v>
      </c>
      <c r="T13">
        <v>902.06</v>
      </c>
      <c r="U13">
        <v>0</v>
      </c>
      <c r="V13">
        <f>266.43+599.71</f>
        <v>866.1400000000001</v>
      </c>
      <c r="W13">
        <v>2.38</v>
      </c>
      <c r="X13">
        <v>197.14</v>
      </c>
      <c r="Y13" s="42">
        <f t="shared" ref="Y13" si="15">SUM(D13:N13,S13:X13)-SUM(O13:P13)-R12</f>
        <v>1098.5000000000005</v>
      </c>
      <c r="Z13" s="23">
        <f t="shared" si="14"/>
        <v>3</v>
      </c>
    </row>
    <row r="14" spans="1:26">
      <c r="A14">
        <v>-1</v>
      </c>
      <c r="B14" s="44">
        <v>43702</v>
      </c>
      <c r="C14" s="46" t="s">
        <v>299</v>
      </c>
      <c r="J14">
        <v>3</v>
      </c>
      <c r="O14">
        <v>0.1</v>
      </c>
      <c r="P14">
        <v>500</v>
      </c>
      <c r="Q14" s="42">
        <f t="shared" ref="Q14" si="16">R14-T14</f>
        <v>1770.88</v>
      </c>
      <c r="R14" s="48">
        <f t="shared" ref="R14" si="17">SUM(S14:X14)</f>
        <v>2673</v>
      </c>
      <c r="S14">
        <v>729.92</v>
      </c>
      <c r="T14">
        <v>902.12</v>
      </c>
      <c r="U14">
        <v>0</v>
      </c>
      <c r="V14">
        <f>166.43+599.79</f>
        <v>766.22</v>
      </c>
      <c r="W14">
        <v>77.599999999999994</v>
      </c>
      <c r="X14">
        <v>197.14</v>
      </c>
      <c r="Y14" s="42">
        <f t="shared" ref="Y14" si="18">SUM(D14:N14,S14:X14)-SUM(O14:P14)-R13</f>
        <v>-21.740000000000236</v>
      </c>
      <c r="Z14" s="23">
        <f t="shared" ref="Z14" si="19">SUM(D14:N14)</f>
        <v>3</v>
      </c>
    </row>
    <row r="15" spans="1:26">
      <c r="A15">
        <v>0</v>
      </c>
      <c r="B15" s="44">
        <v>43703</v>
      </c>
      <c r="C15" s="46" t="s">
        <v>293</v>
      </c>
      <c r="O15">
        <v>0.1</v>
      </c>
      <c r="Q15" s="42">
        <f t="shared" ref="Q15" si="20">R15-T15</f>
        <v>1667.72</v>
      </c>
      <c r="R15" s="48">
        <f>SUM(S15:X15)</f>
        <v>2648.46</v>
      </c>
      <c r="S15">
        <v>651.41999999999996</v>
      </c>
      <c r="T15">
        <v>980.74</v>
      </c>
      <c r="U15">
        <v>0</v>
      </c>
      <c r="V15">
        <f>136.43+599.79+30</f>
        <v>766.22</v>
      </c>
      <c r="W15">
        <v>52.94</v>
      </c>
      <c r="X15">
        <v>197.14</v>
      </c>
      <c r="Y15" s="42">
        <f>SUM(D15:N15,S15:X15)-SUM(O15:P15)-R14</f>
        <v>-24.639999999999873</v>
      </c>
      <c r="Z15" s="23">
        <f t="shared" ref="Z15" si="21">SUM(D15:N15)</f>
        <v>0</v>
      </c>
    </row>
    <row r="16" spans="1:26">
      <c r="A16">
        <v>0</v>
      </c>
      <c r="B16" s="44">
        <v>43704</v>
      </c>
      <c r="C16" s="46" t="s">
        <v>294</v>
      </c>
      <c r="D16">
        <v>30</v>
      </c>
      <c r="J16">
        <v>3</v>
      </c>
      <c r="O16">
        <v>0.1</v>
      </c>
      <c r="Q16" s="42">
        <f t="shared" ref="Q16" si="22">R16-T16</f>
        <v>1616.4699999999996</v>
      </c>
      <c r="R16" s="48">
        <f>SUM(S16:X16)</f>
        <v>2597.2699999999995</v>
      </c>
      <c r="S16">
        <v>648.41999999999996</v>
      </c>
      <c r="T16">
        <v>980.8</v>
      </c>
      <c r="U16">
        <v>0</v>
      </c>
      <c r="V16">
        <f>136.43+599.87</f>
        <v>736.3</v>
      </c>
      <c r="W16">
        <v>34.61</v>
      </c>
      <c r="X16">
        <v>197.14</v>
      </c>
      <c r="Y16" s="42">
        <f>SUM(D16:N16,S16:X16)-SUM(O16:P16)-R15</f>
        <v>-18.290000000000418</v>
      </c>
      <c r="Z16" s="23">
        <f t="shared" ref="Z16" si="23">SUM(D16:N16)</f>
        <v>33</v>
      </c>
    </row>
    <row r="17" spans="1:26">
      <c r="A17">
        <v>0</v>
      </c>
      <c r="B17" s="44">
        <v>43705</v>
      </c>
      <c r="C17" s="46" t="s">
        <v>295</v>
      </c>
      <c r="G17">
        <v>46</v>
      </c>
      <c r="O17">
        <v>10.1</v>
      </c>
      <c r="Q17" s="42">
        <f t="shared" ref="Q17" si="24">R17-T17</f>
        <v>1570.5699999999997</v>
      </c>
      <c r="R17" s="48">
        <f>SUM(S17:X17)</f>
        <v>2551.4299999999998</v>
      </c>
      <c r="S17">
        <v>648.41999999999996</v>
      </c>
      <c r="T17">
        <v>980.86</v>
      </c>
      <c r="U17">
        <v>0</v>
      </c>
      <c r="V17">
        <f>100.43+599.91</f>
        <v>700.33999999999992</v>
      </c>
      <c r="W17">
        <v>24.67</v>
      </c>
      <c r="X17">
        <v>197.14</v>
      </c>
      <c r="Y17" s="42">
        <f>SUM(D17:N17,S17:X17)-SUM(O17:P17)-R16</f>
        <v>-9.9399999999995998</v>
      </c>
      <c r="Z17" s="23">
        <f t="shared" ref="Z17" si="25">SUM(D17:N17)</f>
        <v>46</v>
      </c>
    </row>
    <row r="18" spans="1:26">
      <c r="A18">
        <v>0</v>
      </c>
      <c r="B18" s="44">
        <v>43706</v>
      </c>
      <c r="C18" s="46" t="s">
        <v>296</v>
      </c>
      <c r="E18">
        <v>74</v>
      </c>
      <c r="P18">
        <v>100</v>
      </c>
      <c r="Q18" s="42">
        <f t="shared" ref="Q18" si="26">R18-T18</f>
        <v>1575.8999999999996</v>
      </c>
      <c r="R18" s="48">
        <f>SUM(S18:X18)</f>
        <v>2556.8199999999997</v>
      </c>
      <c r="S18">
        <v>574.41999999999996</v>
      </c>
      <c r="T18">
        <v>980.92</v>
      </c>
      <c r="U18">
        <v>0</v>
      </c>
      <c r="V18">
        <f>499.95+93.03+7.4-0.04+100</f>
        <v>700.34</v>
      </c>
      <c r="W18">
        <v>4</v>
      </c>
      <c r="X18">
        <v>297.14</v>
      </c>
      <c r="Y18" s="42">
        <f>SUM(D18:N18,S18:X18)-SUM(O18:P18)-R17</f>
        <v>-20.610000000000127</v>
      </c>
      <c r="Z18" s="23">
        <f t="shared" ref="Z18" si="27">SUM(D18:N18)</f>
        <v>74</v>
      </c>
    </row>
    <row r="19" spans="1:26">
      <c r="A19">
        <v>0</v>
      </c>
      <c r="B19" s="44">
        <v>43707</v>
      </c>
      <c r="C19" s="46" t="s">
        <v>297</v>
      </c>
      <c r="F19">
        <v>7.4</v>
      </c>
      <c r="H19">
        <v>15</v>
      </c>
      <c r="Q19" s="42">
        <f t="shared" ref="Q19" si="28">R19-T19</f>
        <v>1555.8799999999997</v>
      </c>
      <c r="R19" s="48">
        <f>SUM(S19:X19)</f>
        <v>2536.7999999999997</v>
      </c>
      <c r="S19">
        <v>574.41999999999996</v>
      </c>
      <c r="T19">
        <v>980.92</v>
      </c>
      <c r="U19">
        <v>0</v>
      </c>
      <c r="V19">
        <v>600.34</v>
      </c>
      <c r="W19">
        <v>83.98</v>
      </c>
      <c r="X19">
        <v>297.14</v>
      </c>
      <c r="Y19" s="42">
        <f>SUM(D19:N19,S19:X19)-SUM(O19:P19)-R18</f>
        <v>2.3800000000001091</v>
      </c>
      <c r="Z19" s="23">
        <f>SUM(D19:N19)</f>
        <v>22.4</v>
      </c>
    </row>
    <row r="20" spans="1:26">
      <c r="A20">
        <v>0</v>
      </c>
      <c r="B20" s="44">
        <v>43708</v>
      </c>
      <c r="C20" s="46" t="s">
        <v>298</v>
      </c>
      <c r="Q20" s="42">
        <f t="shared" ref="Q20:Q21" si="29">R20-T20</f>
        <v>0</v>
      </c>
      <c r="R20" s="48">
        <f t="shared" ref="R20:R21" si="30">SUM(S20:X20)</f>
        <v>0</v>
      </c>
      <c r="Y20" s="42">
        <f t="shared" ref="Y20:Y21" si="31">SUM(D20:N20,S20:X20)-SUM(O20:P20)-R19</f>
        <v>-2536.7999999999997</v>
      </c>
      <c r="Z20" s="23">
        <f t="shared" ref="Z20:Z21" si="32">SUM(D20:N20)</f>
        <v>0</v>
      </c>
    </row>
    <row r="21" spans="1:26">
      <c r="A21">
        <v>0</v>
      </c>
      <c r="B21" s="44">
        <v>43709</v>
      </c>
      <c r="C21" s="46" t="s">
        <v>299</v>
      </c>
      <c r="E21">
        <v>175</v>
      </c>
      <c r="J21">
        <v>4</v>
      </c>
      <c r="Q21" s="42">
        <f t="shared" si="29"/>
        <v>1292.96</v>
      </c>
      <c r="R21" s="48">
        <f t="shared" si="30"/>
        <v>2274.06</v>
      </c>
      <c r="S21">
        <v>552.41999999999996</v>
      </c>
      <c r="T21">
        <v>981.1</v>
      </c>
      <c r="U21">
        <v>0</v>
      </c>
      <c r="V21">
        <f>65.49+325.03</f>
        <v>390.52</v>
      </c>
      <c r="W21">
        <v>52.88</v>
      </c>
      <c r="X21">
        <v>297.14</v>
      </c>
      <c r="Y21" s="42">
        <f t="shared" si="31"/>
        <v>2453.06</v>
      </c>
      <c r="Z21" s="23">
        <f t="shared" si="32"/>
        <v>179</v>
      </c>
    </row>
    <row r="22" spans="1:26">
      <c r="A22">
        <v>1</v>
      </c>
      <c r="B22" s="44">
        <v>43710</v>
      </c>
      <c r="C22" s="46" t="s">
        <v>293</v>
      </c>
      <c r="Q22" s="42">
        <f t="shared" ref="Q22:Q24" si="33">R22-T22</f>
        <v>0</v>
      </c>
      <c r="R22" s="48">
        <f t="shared" ref="R22:R24" si="34">SUM(S22:X22)</f>
        <v>0</v>
      </c>
      <c r="Y22" s="42">
        <f t="shared" ref="Y22:Y24" si="35">SUM(D22:N22,S22:X22)-SUM(O22:P22)-R21</f>
        <v>-2274.06</v>
      </c>
      <c r="Z22" s="23">
        <f t="shared" ref="Z22:Z24" si="36">SUM(D22:N22)</f>
        <v>0</v>
      </c>
    </row>
    <row r="23" spans="1:26">
      <c r="A23">
        <v>1</v>
      </c>
      <c r="B23" s="44">
        <v>43711</v>
      </c>
      <c r="C23" s="46" t="s">
        <v>294</v>
      </c>
      <c r="P23">
        <v>500</v>
      </c>
      <c r="Q23" s="42">
        <f t="shared" si="33"/>
        <v>0</v>
      </c>
      <c r="R23" s="48">
        <f t="shared" si="34"/>
        <v>0</v>
      </c>
      <c r="Y23" s="42">
        <f>SUM(D23:N23,S23:X23)-SUM(P23:P23)-R22</f>
        <v>-500</v>
      </c>
      <c r="Z23" s="23">
        <f t="shared" si="36"/>
        <v>0</v>
      </c>
    </row>
    <row r="24" spans="1:26">
      <c r="A24">
        <v>1</v>
      </c>
      <c r="B24" s="44">
        <v>43712</v>
      </c>
      <c r="C24" s="46" t="s">
        <v>295</v>
      </c>
      <c r="Q24" s="42">
        <f t="shared" si="33"/>
        <v>891.0300000000002</v>
      </c>
      <c r="R24" s="48">
        <f t="shared" si="34"/>
        <v>1872.3100000000002</v>
      </c>
      <c r="S24">
        <v>543.62</v>
      </c>
      <c r="T24">
        <v>981.28</v>
      </c>
      <c r="U24">
        <v>0</v>
      </c>
      <c r="V24">
        <f>52.49+225.08</f>
        <v>277.57</v>
      </c>
      <c r="W24">
        <v>65.7</v>
      </c>
      <c r="X24">
        <v>4.1399999999999997</v>
      </c>
      <c r="Y24" s="42">
        <f t="shared" si="35"/>
        <v>1872.3100000000002</v>
      </c>
      <c r="Z24" s="23">
        <f t="shared" si="36"/>
        <v>0</v>
      </c>
    </row>
    <row r="25" spans="1:26">
      <c r="A25">
        <v>1</v>
      </c>
      <c r="B25" s="44">
        <v>43713</v>
      </c>
      <c r="C25" s="46" t="s">
        <v>296</v>
      </c>
      <c r="Q25" s="42">
        <f t="shared" ref="Q25:Q26" si="37">R25-T25</f>
        <v>0</v>
      </c>
      <c r="R25" s="48">
        <f t="shared" ref="R25:R26" si="38">SUM(S25:X25)</f>
        <v>0</v>
      </c>
      <c r="Y25" s="42">
        <f t="shared" ref="Y25:Y26" si="39">SUM(D25:N25,S25:X25)-SUM(O25:P25)-R24</f>
        <v>-1872.3100000000002</v>
      </c>
      <c r="Z25" s="23">
        <f t="shared" ref="Z25:Z26" si="40">SUM(D25:N25)</f>
        <v>0</v>
      </c>
    </row>
    <row r="26" spans="1:26">
      <c r="A26">
        <v>1</v>
      </c>
      <c r="B26" s="44">
        <v>43714</v>
      </c>
      <c r="C26" s="46" t="s">
        <v>297</v>
      </c>
      <c r="Q26" s="42">
        <f t="shared" si="37"/>
        <v>0</v>
      </c>
      <c r="R26" s="48">
        <f t="shared" si="38"/>
        <v>0</v>
      </c>
      <c r="Y26" s="42">
        <f t="shared" si="39"/>
        <v>0</v>
      </c>
      <c r="Z26" s="23">
        <f t="shared" si="40"/>
        <v>0</v>
      </c>
    </row>
    <row r="27" spans="1:26">
      <c r="A27">
        <v>1</v>
      </c>
      <c r="B27" s="44">
        <v>43715</v>
      </c>
      <c r="C27" s="46" t="s">
        <v>298</v>
      </c>
      <c r="Q27" s="42">
        <f t="shared" ref="Q27:Q28" si="41">R27-T27</f>
        <v>661.58</v>
      </c>
      <c r="R27" s="48">
        <f t="shared" ref="R27:R28" si="42">SUM(S27:X27)</f>
        <v>1042.95</v>
      </c>
      <c r="S27">
        <v>60.62</v>
      </c>
      <c r="T27">
        <v>381.37</v>
      </c>
      <c r="U27">
        <v>0</v>
      </c>
      <c r="V27">
        <f>422.59+152.2</f>
        <v>574.79</v>
      </c>
      <c r="W27">
        <v>23.03</v>
      </c>
      <c r="X27">
        <v>3.14</v>
      </c>
      <c r="Y27" s="42">
        <f t="shared" ref="Y27" si="43">SUM(D27:N27,S27:X27)-SUM(O27:P27)-R26</f>
        <v>1042.95</v>
      </c>
      <c r="Z27" s="23">
        <f t="shared" ref="Z27" si="44">SUM(D27:N27)</f>
        <v>0</v>
      </c>
    </row>
    <row r="28" spans="1:26">
      <c r="A28">
        <v>1</v>
      </c>
      <c r="B28" s="44">
        <v>43716</v>
      </c>
      <c r="C28" s="46" t="s">
        <v>299</v>
      </c>
      <c r="D28">
        <f>140+99</f>
        <v>239</v>
      </c>
      <c r="E28">
        <f>19.9+20+14.9</f>
        <v>54.8</v>
      </c>
      <c r="F28">
        <v>8.9</v>
      </c>
      <c r="G28">
        <v>9</v>
      </c>
      <c r="H28">
        <f>6.5+0.88</f>
        <v>7.38</v>
      </c>
      <c r="J28">
        <v>3</v>
      </c>
      <c r="L28">
        <v>10</v>
      </c>
      <c r="M28">
        <v>0.11</v>
      </c>
      <c r="N28">
        <v>-0.3</v>
      </c>
      <c r="O28">
        <v>0.04</v>
      </c>
      <c r="P28">
        <v>360</v>
      </c>
      <c r="Q28" s="42">
        <f t="shared" si="41"/>
        <v>333.49000000000012</v>
      </c>
      <c r="R28" s="48">
        <f t="shared" si="42"/>
        <v>1071.1000000000001</v>
      </c>
      <c r="S28">
        <v>57.62</v>
      </c>
      <c r="T28">
        <v>737.61</v>
      </c>
      <c r="U28">
        <v>0</v>
      </c>
      <c r="V28">
        <f>21.94+152.22</f>
        <v>174.16</v>
      </c>
      <c r="W28">
        <v>98.57</v>
      </c>
      <c r="X28">
        <v>3.14</v>
      </c>
      <c r="Y28" s="42">
        <f t="shared" ref="Y28" si="45">SUM(D28:N28,S28:X28)-SUM(O28:P28)-R27</f>
        <v>0</v>
      </c>
      <c r="Z28" s="23">
        <f t="shared" ref="Z28" si="46">SUM(D28:N28)</f>
        <v>331.89</v>
      </c>
    </row>
    <row r="29" spans="1:26">
      <c r="A29">
        <v>2</v>
      </c>
      <c r="B29" s="44">
        <v>43717</v>
      </c>
      <c r="C29" s="46" t="s">
        <v>293</v>
      </c>
      <c r="Q29" s="42">
        <f t="shared" ref="Q29:Q30" si="47">R29-T29</f>
        <v>0</v>
      </c>
      <c r="R29" s="48">
        <f t="shared" ref="R29:R30" si="48">SUM(S29:X29)</f>
        <v>0</v>
      </c>
      <c r="Y29" s="42">
        <f t="shared" ref="Y29:Y30" si="49">SUM(D29:N29,S29:X29)-SUM(O29:P29)-R28</f>
        <v>-1071.1000000000001</v>
      </c>
      <c r="Z29" s="23">
        <f t="shared" ref="Z29:Z30" si="50">SUM(D29:N29)</f>
        <v>0</v>
      </c>
    </row>
    <row r="30" spans="1:26">
      <c r="A30">
        <v>2</v>
      </c>
      <c r="B30" s="44">
        <v>43718</v>
      </c>
      <c r="C30" s="46" t="s">
        <v>294</v>
      </c>
      <c r="D30">
        <v>28</v>
      </c>
      <c r="E30">
        <f>66+78</f>
        <v>144</v>
      </c>
      <c r="Q30" s="42">
        <f t="shared" si="47"/>
        <v>559.11000000000024</v>
      </c>
      <c r="R30" s="48">
        <f t="shared" si="48"/>
        <v>1346.7300000000002</v>
      </c>
      <c r="S30">
        <v>57.62</v>
      </c>
      <c r="T30">
        <v>787.62</v>
      </c>
      <c r="U30">
        <v>0</v>
      </c>
      <c r="V30">
        <v>425.96</v>
      </c>
      <c r="W30">
        <v>12.39</v>
      </c>
      <c r="X30">
        <v>63.14</v>
      </c>
      <c r="Y30" s="42">
        <f t="shared" si="49"/>
        <v>1518.7300000000002</v>
      </c>
      <c r="Z30" s="23">
        <f t="shared" si="50"/>
        <v>172</v>
      </c>
    </row>
    <row r="31" spans="1:26">
      <c r="A31">
        <v>2</v>
      </c>
      <c r="B31" s="44">
        <v>43719</v>
      </c>
      <c r="C31" s="46" t="s">
        <v>295</v>
      </c>
      <c r="G31">
        <v>10</v>
      </c>
      <c r="H31">
        <v>6</v>
      </c>
      <c r="O31">
        <v>0.04</v>
      </c>
      <c r="Q31" s="42">
        <f t="shared" ref="Q31" si="51">R31-T31</f>
        <v>543.11000000000024</v>
      </c>
      <c r="R31" s="48">
        <f t="shared" ref="R31" si="52">SUM(S31:X31)</f>
        <v>1330.7700000000002</v>
      </c>
      <c r="S31">
        <v>57.62</v>
      </c>
      <c r="T31">
        <v>787.66</v>
      </c>
      <c r="U31">
        <v>0</v>
      </c>
      <c r="V31">
        <v>419.96</v>
      </c>
      <c r="W31">
        <v>2.39</v>
      </c>
      <c r="X31">
        <v>63.14</v>
      </c>
      <c r="Y31" s="42">
        <f t="shared" ref="Y31" si="53">SUM(D31:N31,S31:X31)-SUM(O31:P31)-R30</f>
        <v>0</v>
      </c>
      <c r="Z31" s="23">
        <f t="shared" ref="Z31" si="54">SUM(D31:N31)</f>
        <v>16</v>
      </c>
    </row>
    <row r="32" spans="1:26">
      <c r="A32">
        <v>2</v>
      </c>
      <c r="B32" s="44">
        <v>43720</v>
      </c>
      <c r="C32" s="46" t="s">
        <v>296</v>
      </c>
      <c r="Q32" s="42">
        <f t="shared" ref="Q32:Q33" si="55">R32-T32</f>
        <v>0</v>
      </c>
      <c r="R32" s="48">
        <f t="shared" ref="R32:R33" si="56">SUM(S32:X32)</f>
        <v>0</v>
      </c>
      <c r="Y32" s="42">
        <f t="shared" ref="Y32:Y33" si="57">SUM(D32:N32,S32:X32)-SUM(O32:P32)-R31</f>
        <v>-1330.7700000000002</v>
      </c>
      <c r="Z32" s="23">
        <f t="shared" ref="Z32:Z33" si="58">SUM(D32:N32)</f>
        <v>0</v>
      </c>
    </row>
    <row r="33" spans="1:26">
      <c r="A33">
        <v>2</v>
      </c>
      <c r="B33" s="44">
        <v>43721</v>
      </c>
      <c r="C33" s="46" t="s">
        <v>297</v>
      </c>
      <c r="F33">
        <v>6.3</v>
      </c>
      <c r="G33">
        <v>9</v>
      </c>
      <c r="H33">
        <v>12.5</v>
      </c>
      <c r="I33">
        <v>0.14000000000000001</v>
      </c>
      <c r="L33">
        <f>122.01+3.34</f>
        <v>125.35000000000001</v>
      </c>
      <c r="O33">
        <f>28+0.05</f>
        <v>28.05</v>
      </c>
      <c r="Q33" s="42">
        <f t="shared" si="55"/>
        <v>277.19000000000005</v>
      </c>
      <c r="R33" s="48">
        <f t="shared" si="56"/>
        <v>1092.94</v>
      </c>
      <c r="S33">
        <v>21.82</v>
      </c>
      <c r="T33">
        <v>815.75</v>
      </c>
      <c r="U33">
        <v>0</v>
      </c>
      <c r="V33">
        <v>244.64</v>
      </c>
      <c r="W33">
        <v>9.59</v>
      </c>
      <c r="X33">
        <v>1.1399999999999999</v>
      </c>
      <c r="Y33" s="42">
        <f t="shared" si="57"/>
        <v>1218.18</v>
      </c>
      <c r="Z33" s="23">
        <f t="shared" si="58"/>
        <v>153.29000000000002</v>
      </c>
    </row>
    <row r="34" spans="1:26">
      <c r="A34">
        <v>2</v>
      </c>
      <c r="B34" s="44">
        <v>43722</v>
      </c>
      <c r="C34" s="46" t="s">
        <v>298</v>
      </c>
      <c r="G34">
        <v>13</v>
      </c>
      <c r="H34">
        <v>10</v>
      </c>
      <c r="I34">
        <v>0.11</v>
      </c>
      <c r="J34">
        <v>3</v>
      </c>
      <c r="L34">
        <v>7.59</v>
      </c>
      <c r="O34">
        <f>8*9.4</f>
        <v>75.2</v>
      </c>
      <c r="Q34" s="42">
        <f t="shared" ref="Q34" si="59">R34-T34</f>
        <v>218.67000000000007</v>
      </c>
      <c r="R34" s="48">
        <f t="shared" ref="R34" si="60">SUM(S34:X34)</f>
        <v>1034.42</v>
      </c>
      <c r="S34">
        <v>21.82</v>
      </c>
      <c r="T34">
        <v>815.75</v>
      </c>
      <c r="U34">
        <v>0</v>
      </c>
      <c r="V34">
        <f>64.5+44.66</f>
        <v>109.16</v>
      </c>
      <c r="W34">
        <v>86.55</v>
      </c>
      <c r="X34">
        <v>1.1399999999999999</v>
      </c>
      <c r="Y34" s="42">
        <f t="shared" ref="Y34" si="61">SUM(D34:N34,S34:X34)-SUM(O34:P34)-R33</f>
        <v>-100.01999999999998</v>
      </c>
      <c r="Z34" s="23">
        <f t="shared" ref="Z34" si="62">SUM(D34:N34)</f>
        <v>33.700000000000003</v>
      </c>
    </row>
    <row r="35" spans="1:26">
      <c r="A35">
        <v>2</v>
      </c>
      <c r="B35" s="44">
        <v>43723</v>
      </c>
      <c r="C35" s="46" t="s">
        <v>299</v>
      </c>
      <c r="E35">
        <v>45.5</v>
      </c>
      <c r="O35">
        <v>0.05</v>
      </c>
      <c r="Q35" s="42">
        <f t="shared" ref="Q35:Q39" si="63">R35-T35</f>
        <v>0</v>
      </c>
      <c r="R35" s="48">
        <f t="shared" ref="R35:R39" si="64">SUM(S35:X35)</f>
        <v>0</v>
      </c>
      <c r="Y35" s="42">
        <f t="shared" ref="Y35:Y39" si="65">SUM(D35:N35,S35:X35)-SUM(O35:P35)-R34</f>
        <v>-988.97</v>
      </c>
      <c r="Z35" s="23">
        <f t="shared" ref="Z35:Z39" si="66">SUM(D35:N35)</f>
        <v>45.5</v>
      </c>
    </row>
    <row r="36" spans="1:26">
      <c r="A36">
        <v>3</v>
      </c>
      <c r="B36" s="44">
        <v>43724</v>
      </c>
      <c r="C36" s="46" t="s">
        <v>293</v>
      </c>
      <c r="O36">
        <v>0.05</v>
      </c>
      <c r="Q36" s="42">
        <f t="shared" si="63"/>
        <v>0</v>
      </c>
      <c r="R36" s="48">
        <f t="shared" si="64"/>
        <v>0</v>
      </c>
      <c r="Y36" s="42">
        <f t="shared" si="65"/>
        <v>-0.05</v>
      </c>
      <c r="Z36" s="23">
        <f t="shared" si="66"/>
        <v>0</v>
      </c>
    </row>
    <row r="37" spans="1:26">
      <c r="A37">
        <v>3</v>
      </c>
      <c r="B37" s="44">
        <v>43725</v>
      </c>
      <c r="C37" s="46" t="s">
        <v>294</v>
      </c>
      <c r="O37">
        <v>0.05</v>
      </c>
      <c r="Q37" s="42">
        <f t="shared" si="63"/>
        <v>0</v>
      </c>
      <c r="R37" s="48">
        <f t="shared" si="64"/>
        <v>0</v>
      </c>
      <c r="Y37" s="42">
        <f t="shared" si="65"/>
        <v>-0.05</v>
      </c>
      <c r="Z37" s="23">
        <f t="shared" si="66"/>
        <v>0</v>
      </c>
    </row>
    <row r="38" spans="1:26">
      <c r="A38">
        <v>3</v>
      </c>
      <c r="B38" s="44">
        <v>43726</v>
      </c>
      <c r="C38" s="46" t="s">
        <v>295</v>
      </c>
      <c r="O38">
        <v>0.05</v>
      </c>
      <c r="Q38" s="42">
        <f t="shared" si="63"/>
        <v>0</v>
      </c>
      <c r="R38" s="48">
        <f t="shared" si="64"/>
        <v>0</v>
      </c>
      <c r="Y38" s="42">
        <f t="shared" si="65"/>
        <v>-0.05</v>
      </c>
      <c r="Z38" s="23">
        <f t="shared" si="66"/>
        <v>0</v>
      </c>
    </row>
    <row r="39" spans="1:26">
      <c r="A39">
        <v>3</v>
      </c>
      <c r="B39" s="44">
        <v>43727</v>
      </c>
      <c r="C39" s="46" t="s">
        <v>296</v>
      </c>
      <c r="E39">
        <v>15</v>
      </c>
      <c r="O39">
        <v>0.05</v>
      </c>
      <c r="Q39" s="42">
        <f t="shared" si="63"/>
        <v>0</v>
      </c>
      <c r="R39" s="48">
        <f t="shared" si="64"/>
        <v>0</v>
      </c>
      <c r="Y39" s="42">
        <f t="shared" si="65"/>
        <v>14.95</v>
      </c>
      <c r="Z39" s="23">
        <f t="shared" si="66"/>
        <v>15</v>
      </c>
    </row>
    <row r="40" spans="1:26">
      <c r="A40">
        <v>3</v>
      </c>
      <c r="B40" s="44">
        <v>43728</v>
      </c>
      <c r="C40" s="46" t="s">
        <v>297</v>
      </c>
      <c r="D40">
        <v>18.5</v>
      </c>
      <c r="J40">
        <v>4</v>
      </c>
      <c r="O40">
        <v>0.05</v>
      </c>
      <c r="Q40" s="42">
        <f t="shared" ref="Q40" si="67">R40-T40</f>
        <v>143.09000000000003</v>
      </c>
      <c r="R40" s="48">
        <f t="shared" ref="R40" si="68">SUM(S40:X40)</f>
        <v>909.79000000000008</v>
      </c>
      <c r="S40">
        <v>21.82</v>
      </c>
      <c r="T40">
        <v>766.7</v>
      </c>
      <c r="U40">
        <v>0</v>
      </c>
      <c r="V40">
        <f>40.6+44.66</f>
        <v>85.259999999999991</v>
      </c>
      <c r="W40">
        <v>34.64</v>
      </c>
      <c r="X40">
        <v>1.37</v>
      </c>
      <c r="Y40" s="42">
        <f t="shared" ref="Y40:Y42" si="69">SUM(D40:N40,S40:X40)-SUM(O40:P40)-R39</f>
        <v>932.24000000000012</v>
      </c>
      <c r="Z40" s="23">
        <f t="shared" ref="Z40:Z42" si="70">SUM(D40:N40)</f>
        <v>22.5</v>
      </c>
    </row>
    <row r="41" spans="1:26">
      <c r="A41">
        <v>3</v>
      </c>
      <c r="B41" s="44">
        <v>43729</v>
      </c>
      <c r="C41" s="46" t="s">
        <v>298</v>
      </c>
      <c r="Q41" s="42">
        <f t="shared" ref="Q41:Q42" si="71">R41-T43</f>
        <v>0</v>
      </c>
      <c r="R41" s="48">
        <f t="shared" ref="R41:R42" si="72">SUM(S43:X43)</f>
        <v>0</v>
      </c>
      <c r="Y41" s="42">
        <f t="shared" si="69"/>
        <v>-909.79000000000008</v>
      </c>
      <c r="Z41" s="23">
        <f t="shared" si="70"/>
        <v>0</v>
      </c>
    </row>
    <row r="42" spans="1:26">
      <c r="A42">
        <v>3</v>
      </c>
      <c r="B42" s="44">
        <v>43730</v>
      </c>
      <c r="C42" s="46" t="s">
        <v>299</v>
      </c>
      <c r="Q42" s="42">
        <f t="shared" si="71"/>
        <v>0</v>
      </c>
      <c r="R42" s="48">
        <f t="shared" si="72"/>
        <v>0</v>
      </c>
      <c r="Y42" s="42">
        <f t="shared" si="69"/>
        <v>0</v>
      </c>
      <c r="Z42" s="23">
        <f t="shared" si="70"/>
        <v>0</v>
      </c>
    </row>
    <row r="43" spans="1:26">
      <c r="A43">
        <v>4</v>
      </c>
      <c r="B43" s="44">
        <v>43731</v>
      </c>
      <c r="C43" s="46" t="s">
        <v>293</v>
      </c>
      <c r="Q43" s="42">
        <f>R43-T45</f>
        <v>0</v>
      </c>
      <c r="R43" s="48">
        <f>SUM(S45:X45)</f>
        <v>0</v>
      </c>
      <c r="Y43" s="42">
        <f t="shared" ref="Y43:Y49" si="73">SUM(D43:N43,S43:X43)-SUM(O43:P43)-R42</f>
        <v>0</v>
      </c>
      <c r="Z43" s="23">
        <f t="shared" ref="Z43:Z49" si="74">SUM(D43:N43)</f>
        <v>0</v>
      </c>
    </row>
    <row r="44" spans="1:26">
      <c r="A44">
        <v>4</v>
      </c>
      <c r="B44" s="44">
        <v>43732</v>
      </c>
      <c r="C44" s="46" t="s">
        <v>294</v>
      </c>
      <c r="Q44" s="42">
        <f>R44-T46</f>
        <v>0</v>
      </c>
      <c r="R44" s="48">
        <f>SUM(S46:X46)</f>
        <v>0</v>
      </c>
      <c r="Y44" s="42">
        <f t="shared" si="73"/>
        <v>0</v>
      </c>
      <c r="Z44" s="23">
        <f t="shared" si="74"/>
        <v>0</v>
      </c>
    </row>
    <row r="45" spans="1:26">
      <c r="A45">
        <v>4</v>
      </c>
      <c r="B45" s="44">
        <v>43733</v>
      </c>
      <c r="C45" s="46" t="s">
        <v>295</v>
      </c>
      <c r="Q45" s="42">
        <f>R45-T47</f>
        <v>0</v>
      </c>
      <c r="R45" s="48">
        <f>SUM(S47:X47)</f>
        <v>0</v>
      </c>
      <c r="Y45" s="42">
        <f t="shared" si="73"/>
        <v>0</v>
      </c>
      <c r="Z45" s="23">
        <f t="shared" si="74"/>
        <v>0</v>
      </c>
    </row>
    <row r="46" spans="1:26">
      <c r="A46">
        <v>4</v>
      </c>
      <c r="B46" s="44">
        <v>43734</v>
      </c>
      <c r="C46" s="46" t="s">
        <v>296</v>
      </c>
      <c r="Q46" s="42">
        <f>R46-T48</f>
        <v>0</v>
      </c>
      <c r="R46" s="48">
        <f>SUM(S48:X48)</f>
        <v>0</v>
      </c>
      <c r="Y46" s="42">
        <f t="shared" si="73"/>
        <v>0</v>
      </c>
      <c r="Z46" s="23">
        <f t="shared" si="74"/>
        <v>0</v>
      </c>
    </row>
    <row r="47" spans="1:26">
      <c r="A47">
        <v>4</v>
      </c>
      <c r="B47" s="44">
        <v>43735</v>
      </c>
      <c r="C47" s="46" t="s">
        <v>297</v>
      </c>
      <c r="Q47" s="42">
        <f>R47-T49</f>
        <v>0</v>
      </c>
      <c r="R47" s="48">
        <f>SUM(S49:X49)</f>
        <v>0</v>
      </c>
      <c r="Y47" s="42">
        <f t="shared" si="73"/>
        <v>0</v>
      </c>
      <c r="Z47" s="23">
        <f t="shared" si="74"/>
        <v>0</v>
      </c>
    </row>
    <row r="48" spans="1:26">
      <c r="A48">
        <v>4</v>
      </c>
      <c r="B48" s="44">
        <v>43736</v>
      </c>
      <c r="C48" s="46" t="s">
        <v>298</v>
      </c>
      <c r="Q48" s="42">
        <f>R48-'2019-2020秋账单（二）'!S2</f>
        <v>888.91000000000008</v>
      </c>
      <c r="R48" s="48">
        <f>SUM('2019-2020秋账单（二）'!R3:W3)</f>
        <v>1294.3800000000001</v>
      </c>
      <c r="Y48" s="42">
        <f t="shared" si="73"/>
        <v>0</v>
      </c>
      <c r="Z48" s="23">
        <f t="shared" si="74"/>
        <v>0</v>
      </c>
    </row>
    <row r="49" spans="1:26">
      <c r="A49">
        <v>4</v>
      </c>
      <c r="B49" s="44">
        <v>43737</v>
      </c>
      <c r="C49" s="46" t="s">
        <v>299</v>
      </c>
      <c r="Q49" s="42">
        <f>R49-'2019-2020秋账单（二）'!S4</f>
        <v>708.47</v>
      </c>
      <c r="R49" s="48">
        <f>SUM('2019-2020秋账单（二）'!R4:W4)</f>
        <v>1213.97</v>
      </c>
      <c r="Y49" s="42">
        <f t="shared" si="73"/>
        <v>-1294.3800000000001</v>
      </c>
      <c r="Z49" s="23">
        <f t="shared" si="74"/>
        <v>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1B96-FBAE-4D58-8A83-4401B0D71FF0}">
  <dimension ref="A1:Y71"/>
  <sheetViews>
    <sheetView tabSelected="1" workbookViewId="0">
      <pane ySplit="1" topLeftCell="A44" activePane="bottomLeft" state="frozen"/>
      <selection pane="bottomLeft" activeCell="Y75" sqref="Y75"/>
    </sheetView>
  </sheetViews>
  <sheetFormatPr defaultRowHeight="15.75"/>
  <cols>
    <col min="1" max="1" width="3.75" bestFit="1" customWidth="1"/>
    <col min="2" max="2" width="11.125" bestFit="1" customWidth="1"/>
    <col min="20" max="20" width="0" hidden="1" customWidth="1"/>
    <col min="24" max="24" width="8.875" customWidth="1"/>
  </cols>
  <sheetData>
    <row r="1" spans="1:25">
      <c r="A1" s="43" t="s">
        <v>310</v>
      </c>
      <c r="B1" s="50" t="s">
        <v>286</v>
      </c>
      <c r="C1" s="51" t="s">
        <v>308</v>
      </c>
      <c r="D1" s="52" t="s">
        <v>32</v>
      </c>
      <c r="E1" s="52" t="s">
        <v>179</v>
      </c>
      <c r="F1" s="52" t="s">
        <v>289</v>
      </c>
      <c r="G1" s="52" t="s">
        <v>302</v>
      </c>
      <c r="H1" s="61" t="s">
        <v>349</v>
      </c>
      <c r="I1" s="60" t="s">
        <v>347</v>
      </c>
      <c r="J1" s="52" t="s">
        <v>57</v>
      </c>
      <c r="K1" s="52" t="s">
        <v>348</v>
      </c>
      <c r="L1" s="52" t="s">
        <v>305</v>
      </c>
      <c r="M1" s="54" t="s">
        <v>306</v>
      </c>
      <c r="N1" s="55" t="s">
        <v>307</v>
      </c>
      <c r="O1" s="55" t="s">
        <v>345</v>
      </c>
      <c r="P1" s="56" t="s">
        <v>346</v>
      </c>
      <c r="Q1" s="56" t="s">
        <v>292</v>
      </c>
      <c r="R1" s="57" t="s">
        <v>41</v>
      </c>
      <c r="S1" s="56" t="s">
        <v>37</v>
      </c>
      <c r="T1" s="57" t="s">
        <v>303</v>
      </c>
      <c r="U1" s="57" t="s">
        <v>43</v>
      </c>
      <c r="V1" s="57" t="s">
        <v>57</v>
      </c>
      <c r="W1" s="57" t="s">
        <v>44</v>
      </c>
      <c r="X1" s="58" t="s">
        <v>300</v>
      </c>
      <c r="Y1" s="59" t="s">
        <v>309</v>
      </c>
    </row>
    <row r="2" spans="1:25">
      <c r="A2" s="66">
        <v>4</v>
      </c>
      <c r="B2" s="44">
        <v>43737</v>
      </c>
      <c r="C2" s="46" t="s">
        <v>299</v>
      </c>
      <c r="D2" s="63"/>
      <c r="E2" s="63"/>
      <c r="F2" s="63"/>
      <c r="G2" s="63"/>
      <c r="H2" s="64"/>
      <c r="I2" s="64">
        <v>500</v>
      </c>
      <c r="J2" s="64">
        <v>100</v>
      </c>
      <c r="K2" s="64"/>
      <c r="L2" s="64">
        <v>1.2</v>
      </c>
      <c r="M2" s="64"/>
      <c r="N2" s="64"/>
      <c r="O2" s="64"/>
      <c r="P2" s="42">
        <f>Q2-S2</f>
        <v>871.75</v>
      </c>
      <c r="Q2" s="48">
        <f>SUM(W2,R2:U2)</f>
        <v>1277.22</v>
      </c>
      <c r="R2">
        <v>8.2200000000000006</v>
      </c>
      <c r="S2">
        <v>405.47</v>
      </c>
      <c r="T2">
        <v>0</v>
      </c>
      <c r="U2">
        <f>278+24.16</f>
        <v>302.16000000000003</v>
      </c>
      <c r="V2">
        <v>62.71</v>
      </c>
      <c r="W2" s="62">
        <v>561.37</v>
      </c>
      <c r="X2" s="42" t="e">
        <f>SUM(D2:M2,R2:U2,W2)-SUM(N2:O2)-Q1</f>
        <v>#VALUE!</v>
      </c>
      <c r="Y2" s="23">
        <f t="shared" ref="Y2" si="0">SUM(D2:M2)</f>
        <v>601.20000000000005</v>
      </c>
    </row>
    <row r="3" spans="1:25">
      <c r="A3">
        <v>5</v>
      </c>
      <c r="B3" s="44">
        <v>43738</v>
      </c>
      <c r="C3" s="46" t="s">
        <v>293</v>
      </c>
      <c r="D3" s="65"/>
      <c r="E3" s="65">
        <v>0.15</v>
      </c>
      <c r="F3" s="65"/>
      <c r="G3" s="65"/>
      <c r="H3" s="65"/>
      <c r="I3" s="65">
        <v>37.049999999999997</v>
      </c>
      <c r="J3" s="65"/>
      <c r="K3" s="65"/>
      <c r="L3" s="65"/>
      <c r="M3" s="65">
        <v>-0.15</v>
      </c>
      <c r="N3" s="65"/>
      <c r="O3" s="65"/>
      <c r="P3" s="42">
        <f t="shared" ref="P3:P9" si="1">Q3-S3</f>
        <v>734.7</v>
      </c>
      <c r="Q3" s="48">
        <f t="shared" ref="Q3:Q9" si="2">SUM(W3,R3:U3)</f>
        <v>1240.17</v>
      </c>
      <c r="R3">
        <v>108.22</v>
      </c>
      <c r="S3">
        <v>505.47</v>
      </c>
      <c r="T3">
        <v>0</v>
      </c>
      <c r="U3">
        <v>425.11</v>
      </c>
      <c r="V3">
        <v>54.21</v>
      </c>
      <c r="W3">
        <v>201.37</v>
      </c>
      <c r="X3" s="42">
        <f>SUM(D3:M3,R3:U3,W3)-SUM(N3:O3)-Q2</f>
        <v>0</v>
      </c>
      <c r="Y3" s="23">
        <f>SUM(D3:M3)</f>
        <v>37.049999999999997</v>
      </c>
    </row>
    <row r="4" spans="1:25">
      <c r="A4">
        <v>5</v>
      </c>
      <c r="B4" s="44">
        <v>43739</v>
      </c>
      <c r="C4" s="46" t="s">
        <v>294</v>
      </c>
      <c r="D4" s="65">
        <v>20</v>
      </c>
      <c r="E4" s="65"/>
      <c r="F4" s="65"/>
      <c r="G4" s="65">
        <f>1.5+5+25+6</f>
        <v>37.5</v>
      </c>
      <c r="H4" s="65"/>
      <c r="I4" s="65"/>
      <c r="J4" s="65"/>
      <c r="K4" s="65"/>
      <c r="L4" s="65"/>
      <c r="M4" s="65"/>
      <c r="N4" s="65">
        <v>0.03</v>
      </c>
      <c r="O4" s="65"/>
      <c r="P4" s="42">
        <f t="shared" si="1"/>
        <v>677.2</v>
      </c>
      <c r="Q4" s="48">
        <f>SUM(W4,R4:U4)</f>
        <v>1182.7</v>
      </c>
      <c r="R4">
        <v>72.22</v>
      </c>
      <c r="S4">
        <v>505.5</v>
      </c>
      <c r="T4">
        <v>0</v>
      </c>
      <c r="U4">
        <v>403.61</v>
      </c>
      <c r="V4">
        <v>31.27</v>
      </c>
      <c r="W4">
        <v>201.37</v>
      </c>
      <c r="X4" s="67">
        <f>SUM(D4:M4,R4:U4,W4)-SUM(N4:O4)-Q3</f>
        <v>0</v>
      </c>
      <c r="Y4" s="23">
        <f t="shared" ref="Y4:Y9" si="3">SUM(D4:M4)</f>
        <v>57.5</v>
      </c>
    </row>
    <row r="5" spans="1:25">
      <c r="A5">
        <v>5</v>
      </c>
      <c r="B5" s="44">
        <v>43740</v>
      </c>
      <c r="C5" s="46" t="s">
        <v>295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42">
        <f t="shared" si="1"/>
        <v>0</v>
      </c>
      <c r="Q5" s="48">
        <f t="shared" si="2"/>
        <v>0</v>
      </c>
      <c r="X5" s="42">
        <f>SUM(D5:M5,R5:U5,W5)-SUM(N5:O5)-Q4</f>
        <v>-1182.7</v>
      </c>
      <c r="Y5" s="23">
        <f t="shared" si="3"/>
        <v>0</v>
      </c>
    </row>
    <row r="6" spans="1:25">
      <c r="A6">
        <v>5</v>
      </c>
      <c r="B6" s="44">
        <v>43741</v>
      </c>
      <c r="C6" s="46" t="s">
        <v>296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42">
        <f t="shared" si="1"/>
        <v>0</v>
      </c>
      <c r="Q6" s="48">
        <f t="shared" si="2"/>
        <v>0</v>
      </c>
      <c r="X6" s="42">
        <f t="shared" ref="X6:X9" si="4">SUM(D6:M6,R6:U6,W6)-SUM(N6:O6)-Q5</f>
        <v>0</v>
      </c>
      <c r="Y6" s="23">
        <f t="shared" si="3"/>
        <v>0</v>
      </c>
    </row>
    <row r="7" spans="1:25">
      <c r="A7">
        <v>5</v>
      </c>
      <c r="B7" s="44">
        <v>43742</v>
      </c>
      <c r="C7" s="46" t="s">
        <v>297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42">
        <f t="shared" si="1"/>
        <v>0</v>
      </c>
      <c r="Q7" s="48">
        <f t="shared" si="2"/>
        <v>0</v>
      </c>
      <c r="X7" s="42">
        <f t="shared" si="4"/>
        <v>0</v>
      </c>
      <c r="Y7" s="23">
        <f t="shared" si="3"/>
        <v>0</v>
      </c>
    </row>
    <row r="8" spans="1:25">
      <c r="A8">
        <v>5</v>
      </c>
      <c r="B8" s="44">
        <v>43743</v>
      </c>
      <c r="C8" s="46" t="s">
        <v>298</v>
      </c>
      <c r="D8" s="65"/>
      <c r="E8" s="65"/>
      <c r="F8" s="65"/>
      <c r="H8" s="65"/>
      <c r="I8" s="65"/>
      <c r="J8" s="65"/>
      <c r="K8" s="65"/>
      <c r="L8" s="65"/>
      <c r="M8" s="65"/>
      <c r="N8" s="65"/>
      <c r="O8" s="65"/>
      <c r="P8" s="42">
        <f t="shared" si="1"/>
        <v>0</v>
      </c>
      <c r="Q8" s="48">
        <f t="shared" si="2"/>
        <v>0</v>
      </c>
      <c r="X8" s="42">
        <f t="shared" si="4"/>
        <v>0</v>
      </c>
      <c r="Y8" s="23">
        <f t="shared" si="3"/>
        <v>0</v>
      </c>
    </row>
    <row r="9" spans="1:25">
      <c r="A9">
        <v>5</v>
      </c>
      <c r="B9" s="44">
        <v>43744</v>
      </c>
      <c r="C9" s="46" t="s">
        <v>299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42">
        <f t="shared" si="1"/>
        <v>0</v>
      </c>
      <c r="Q9" s="48">
        <f t="shared" si="2"/>
        <v>0</v>
      </c>
      <c r="X9" s="42">
        <f t="shared" si="4"/>
        <v>0</v>
      </c>
      <c r="Y9" s="23">
        <f t="shared" si="3"/>
        <v>0</v>
      </c>
    </row>
    <row r="10" spans="1:25">
      <c r="A10">
        <v>6</v>
      </c>
      <c r="B10" s="44">
        <v>43745</v>
      </c>
      <c r="C10" s="46" t="s">
        <v>293</v>
      </c>
      <c r="P10" s="42">
        <f t="shared" ref="P10:P11" si="5">Q10-S10</f>
        <v>0</v>
      </c>
      <c r="Q10" s="48">
        <f>SUM(W10,R10:U10)</f>
        <v>0</v>
      </c>
      <c r="X10" s="42">
        <f>SUM(D10:M10,R10:U10,W10)-SUM(N10:O10)-Q9</f>
        <v>0</v>
      </c>
      <c r="Y10" s="23">
        <f t="shared" ref="Y10:Y11" si="6">SUM(D10:M10)</f>
        <v>0</v>
      </c>
    </row>
    <row r="11" spans="1:25">
      <c r="A11">
        <v>6</v>
      </c>
      <c r="B11" s="44">
        <v>43746</v>
      </c>
      <c r="C11" s="46" t="s">
        <v>294</v>
      </c>
      <c r="D11">
        <v>4.5</v>
      </c>
      <c r="F11">
        <v>3</v>
      </c>
      <c r="I11">
        <v>2</v>
      </c>
      <c r="N11">
        <v>0.03</v>
      </c>
      <c r="P11" s="42">
        <f t="shared" si="5"/>
        <v>269.26999999999992</v>
      </c>
      <c r="Q11" s="48">
        <f t="shared" ref="Q11" si="7">SUM(W11,R11:U11)</f>
        <v>774.9799999999999</v>
      </c>
      <c r="R11">
        <v>67.22</v>
      </c>
      <c r="S11">
        <v>505.71</v>
      </c>
      <c r="T11">
        <v>0</v>
      </c>
      <c r="U11">
        <v>1.68</v>
      </c>
      <c r="V11">
        <v>39.93</v>
      </c>
      <c r="W11">
        <v>200.37</v>
      </c>
      <c r="X11" s="42">
        <f t="shared" ref="X11" si="8">SUM(D11:M11,R11:U11,W11)-SUM(N11:O11)-Q10</f>
        <v>784.44999999999993</v>
      </c>
      <c r="Y11" s="23">
        <f t="shared" si="6"/>
        <v>9.5</v>
      </c>
    </row>
    <row r="12" spans="1:25">
      <c r="A12">
        <v>6</v>
      </c>
      <c r="B12" s="44">
        <v>43747</v>
      </c>
      <c r="C12" s="46" t="s">
        <v>295</v>
      </c>
      <c r="D12">
        <v>169</v>
      </c>
      <c r="E12">
        <f>28.5+29.05</f>
        <v>57.55</v>
      </c>
      <c r="N12">
        <v>0.03</v>
      </c>
      <c r="P12" s="42">
        <f t="shared" ref="P12:P15" si="9">Q12-S12</f>
        <v>42.719999999999914</v>
      </c>
      <c r="Q12" s="48">
        <f t="shared" ref="Q12:Q15" si="10">SUM(W12,R12:U12)</f>
        <v>548.45999999999992</v>
      </c>
      <c r="R12">
        <v>38.17</v>
      </c>
      <c r="S12">
        <v>505.74</v>
      </c>
      <c r="T12">
        <v>0</v>
      </c>
      <c r="U12">
        <v>1.68</v>
      </c>
      <c r="V12">
        <v>16.149999999999999</v>
      </c>
      <c r="W12">
        <v>2.87</v>
      </c>
      <c r="X12" s="42">
        <f t="shared" ref="X12:X14" si="11">SUM(D12:M12,R12:U12,W12)-SUM(N12:O12)-Q11</f>
        <v>0</v>
      </c>
      <c r="Y12" s="23">
        <f t="shared" ref="Y12:Y14" si="12">SUM(D12:M12)</f>
        <v>226.55</v>
      </c>
    </row>
    <row r="13" spans="1:25">
      <c r="A13">
        <v>6</v>
      </c>
      <c r="B13" s="44">
        <v>43748</v>
      </c>
      <c r="C13" s="46" t="s">
        <v>296</v>
      </c>
      <c r="D13">
        <f>5+24.5</f>
        <v>29.5</v>
      </c>
      <c r="E13">
        <v>5</v>
      </c>
      <c r="H13">
        <v>14</v>
      </c>
      <c r="J13">
        <v>100</v>
      </c>
      <c r="N13">
        <v>0.03</v>
      </c>
      <c r="P13" s="42">
        <f t="shared" si="9"/>
        <v>42.720000000000027</v>
      </c>
      <c r="Q13" s="48">
        <f t="shared" si="10"/>
        <v>399.99</v>
      </c>
      <c r="R13">
        <v>38.17</v>
      </c>
      <c r="S13">
        <v>357.27</v>
      </c>
      <c r="T13">
        <v>0</v>
      </c>
      <c r="U13">
        <v>1.68</v>
      </c>
      <c r="V13">
        <v>76.81</v>
      </c>
      <c r="W13">
        <v>2.87</v>
      </c>
      <c r="X13" s="42">
        <f t="shared" si="11"/>
        <v>0</v>
      </c>
      <c r="Y13" s="23">
        <f t="shared" si="12"/>
        <v>148.5</v>
      </c>
    </row>
    <row r="14" spans="1:25">
      <c r="A14">
        <v>6</v>
      </c>
      <c r="B14" s="44">
        <v>43749</v>
      </c>
      <c r="C14" s="46" t="s">
        <v>297</v>
      </c>
      <c r="P14" s="42">
        <f t="shared" si="9"/>
        <v>0</v>
      </c>
      <c r="Q14" s="48">
        <f t="shared" si="10"/>
        <v>0</v>
      </c>
      <c r="X14" s="42">
        <f t="shared" si="11"/>
        <v>-399.99</v>
      </c>
      <c r="Y14" s="23">
        <f t="shared" si="12"/>
        <v>0</v>
      </c>
    </row>
    <row r="15" spans="1:25">
      <c r="A15">
        <v>6</v>
      </c>
      <c r="B15" s="44">
        <v>43750</v>
      </c>
      <c r="C15" s="46" t="s">
        <v>298</v>
      </c>
      <c r="D15">
        <f>27+11.5+13.9</f>
        <v>52.4</v>
      </c>
      <c r="G15">
        <f>28.5+6+47.2+5</f>
        <v>86.7</v>
      </c>
      <c r="N15">
        <v>0.01</v>
      </c>
      <c r="O15">
        <v>500</v>
      </c>
      <c r="P15" s="42">
        <f t="shared" si="9"/>
        <v>0</v>
      </c>
      <c r="Q15" s="48">
        <f t="shared" si="10"/>
        <v>0</v>
      </c>
      <c r="X15" s="42">
        <f t="shared" ref="X15:X18" si="13">SUM(D15:M15,R15:U15,W15)-SUM(N15:O15)-Q14</f>
        <v>-360.90999999999997</v>
      </c>
      <c r="Y15" s="23">
        <f t="shared" ref="Y15:Y18" si="14">SUM(D15:M15)</f>
        <v>139.1</v>
      </c>
    </row>
    <row r="16" spans="1:25">
      <c r="A16">
        <v>6</v>
      </c>
      <c r="B16" s="44">
        <v>43751</v>
      </c>
      <c r="C16" s="46" t="s">
        <v>299</v>
      </c>
      <c r="D16">
        <v>11</v>
      </c>
      <c r="E16">
        <v>47</v>
      </c>
      <c r="H16">
        <v>16.8</v>
      </c>
      <c r="N16">
        <v>0.01</v>
      </c>
      <c r="P16" s="42">
        <f t="shared" ref="P16:P19" si="15">Q16-S16</f>
        <v>667.92</v>
      </c>
      <c r="Q16" s="48">
        <f t="shared" ref="Q16:Q19" si="16">SUM(W16,R16:U16)</f>
        <v>669.12</v>
      </c>
      <c r="R16">
        <v>528.16999999999996</v>
      </c>
      <c r="S16">
        <v>1.2</v>
      </c>
      <c r="T16">
        <v>0</v>
      </c>
      <c r="U16">
        <v>0.68</v>
      </c>
      <c r="V16">
        <v>30.41</v>
      </c>
      <c r="W16">
        <v>139.07</v>
      </c>
      <c r="X16" s="42">
        <f t="shared" si="13"/>
        <v>743.90999999999985</v>
      </c>
      <c r="Y16" s="23">
        <f t="shared" si="14"/>
        <v>74.8</v>
      </c>
    </row>
    <row r="17" spans="1:25">
      <c r="A17">
        <v>7</v>
      </c>
      <c r="B17" s="44">
        <v>43752</v>
      </c>
      <c r="C17" s="46" t="s">
        <v>293</v>
      </c>
      <c r="D17">
        <v>26</v>
      </c>
      <c r="I17">
        <v>16</v>
      </c>
      <c r="P17" s="42">
        <f t="shared" si="15"/>
        <v>625.91999999999996</v>
      </c>
      <c r="Q17" s="48">
        <f t="shared" si="16"/>
        <v>627.12</v>
      </c>
      <c r="R17">
        <v>502.17</v>
      </c>
      <c r="S17">
        <v>1.2</v>
      </c>
      <c r="T17">
        <v>0</v>
      </c>
      <c r="U17">
        <v>0.68</v>
      </c>
      <c r="V17">
        <v>20.37</v>
      </c>
      <c r="W17">
        <v>123.07</v>
      </c>
      <c r="X17" s="42">
        <f>SUM(D17:M17,R17:U17,W17)-SUM(N17:O17)-Q16</f>
        <v>0</v>
      </c>
      <c r="Y17" s="23">
        <f t="shared" si="14"/>
        <v>42</v>
      </c>
    </row>
    <row r="18" spans="1:25">
      <c r="A18">
        <v>7</v>
      </c>
      <c r="B18" s="44">
        <v>43753</v>
      </c>
      <c r="C18" s="46" t="s">
        <v>294</v>
      </c>
      <c r="D18">
        <f>57.9+5.45</f>
        <v>63.35</v>
      </c>
      <c r="J18">
        <f>100-10</f>
        <v>90</v>
      </c>
      <c r="P18" s="42">
        <f t="shared" si="15"/>
        <v>472.57</v>
      </c>
      <c r="Q18" s="48">
        <f t="shared" si="16"/>
        <v>473.77</v>
      </c>
      <c r="R18">
        <v>448.82</v>
      </c>
      <c r="S18">
        <v>1.2</v>
      </c>
      <c r="T18">
        <v>0</v>
      </c>
      <c r="U18">
        <v>0.68</v>
      </c>
      <c r="W18">
        <v>23.07</v>
      </c>
      <c r="X18" s="42">
        <f t="shared" si="13"/>
        <v>0</v>
      </c>
      <c r="Y18" s="23">
        <f t="shared" si="14"/>
        <v>153.35</v>
      </c>
    </row>
    <row r="19" spans="1:25">
      <c r="A19">
        <v>7</v>
      </c>
      <c r="B19" s="44">
        <v>43754</v>
      </c>
      <c r="C19" s="46" t="s">
        <v>295</v>
      </c>
      <c r="J19">
        <v>-14</v>
      </c>
      <c r="P19" s="42">
        <f t="shared" si="15"/>
        <v>486.57</v>
      </c>
      <c r="Q19" s="48">
        <f t="shared" si="16"/>
        <v>487.77</v>
      </c>
      <c r="R19">
        <v>448.82</v>
      </c>
      <c r="S19">
        <v>1.2</v>
      </c>
      <c r="T19">
        <v>0</v>
      </c>
      <c r="U19">
        <v>14.68</v>
      </c>
      <c r="V19">
        <v>33.29</v>
      </c>
      <c r="W19">
        <v>23.07</v>
      </c>
      <c r="X19" s="42">
        <f t="shared" ref="X19:X23" si="17">SUM(D19:M19,R19:U19,W19)-SUM(N19:O19)-Q18</f>
        <v>0</v>
      </c>
      <c r="Y19" s="23">
        <f t="shared" ref="Y19:Y23" si="18">SUM(D19:M19)</f>
        <v>-14</v>
      </c>
    </row>
    <row r="20" spans="1:25">
      <c r="A20">
        <v>7</v>
      </c>
      <c r="B20" s="44">
        <v>43755</v>
      </c>
      <c r="C20" s="46" t="s">
        <v>296</v>
      </c>
      <c r="D20">
        <v>38.700000000000003</v>
      </c>
      <c r="I20">
        <v>4.5</v>
      </c>
      <c r="M20">
        <v>-0.2</v>
      </c>
      <c r="P20" s="42">
        <f t="shared" ref="P20:P23" si="19">Q20-S20</f>
        <v>443.57</v>
      </c>
      <c r="Q20" s="48">
        <f t="shared" ref="Q20:Q23" si="20">SUM(W20,R20:U20)</f>
        <v>444.77</v>
      </c>
      <c r="R20">
        <v>417.82</v>
      </c>
      <c r="S20">
        <v>1.2</v>
      </c>
      <c r="T20">
        <v>0</v>
      </c>
      <c r="U20">
        <v>2.68</v>
      </c>
      <c r="V20">
        <v>9.9700000000000006</v>
      </c>
      <c r="W20">
        <v>23.07</v>
      </c>
      <c r="X20" s="42">
        <f>SUM(D20:M20,R20:U20,W20)-SUM(N20:O20)-Q19</f>
        <v>0</v>
      </c>
      <c r="Y20" s="23">
        <f>SUM(D20:M20)</f>
        <v>43</v>
      </c>
    </row>
    <row r="21" spans="1:25">
      <c r="A21">
        <v>7</v>
      </c>
      <c r="B21" s="44">
        <v>43756</v>
      </c>
      <c r="C21" s="46" t="s">
        <v>297</v>
      </c>
      <c r="D21">
        <v>20</v>
      </c>
      <c r="P21" s="42">
        <f t="shared" si="19"/>
        <v>0</v>
      </c>
      <c r="Q21" s="48">
        <f t="shared" si="20"/>
        <v>0</v>
      </c>
      <c r="X21" s="42">
        <f t="shared" si="17"/>
        <v>-424.77</v>
      </c>
      <c r="Y21" s="23">
        <f t="shared" si="18"/>
        <v>20</v>
      </c>
    </row>
    <row r="22" spans="1:25">
      <c r="A22">
        <v>7</v>
      </c>
      <c r="B22" s="44">
        <v>43757</v>
      </c>
      <c r="C22" s="46" t="s">
        <v>298</v>
      </c>
      <c r="D22">
        <f>20+159</f>
        <v>179</v>
      </c>
      <c r="F22">
        <v>7</v>
      </c>
      <c r="G22">
        <f>44.5-33+39</f>
        <v>50.5</v>
      </c>
      <c r="O22">
        <v>670</v>
      </c>
      <c r="P22" s="42">
        <f t="shared" si="19"/>
        <v>747.07000000000016</v>
      </c>
      <c r="Q22" s="48">
        <f t="shared" si="20"/>
        <v>748.27000000000021</v>
      </c>
      <c r="R22">
        <v>571.32000000000005</v>
      </c>
      <c r="S22">
        <v>1.2</v>
      </c>
      <c r="T22">
        <v>0</v>
      </c>
      <c r="U22">
        <v>172.68</v>
      </c>
      <c r="V22">
        <v>75.790000000000006</v>
      </c>
      <c r="W22">
        <v>3.07</v>
      </c>
      <c r="X22" s="42">
        <f t="shared" si="17"/>
        <v>314.7700000000001</v>
      </c>
      <c r="Y22" s="23">
        <f t="shared" si="18"/>
        <v>236.5</v>
      </c>
    </row>
    <row r="23" spans="1:25">
      <c r="A23">
        <v>7</v>
      </c>
      <c r="B23" s="44">
        <v>43758</v>
      </c>
      <c r="C23" s="46" t="s">
        <v>299</v>
      </c>
      <c r="D23">
        <v>10</v>
      </c>
      <c r="J23">
        <v>100</v>
      </c>
      <c r="P23" s="42">
        <f t="shared" si="19"/>
        <v>634</v>
      </c>
      <c r="Q23" s="48">
        <f t="shared" si="20"/>
        <v>635.20000000000005</v>
      </c>
      <c r="R23">
        <v>561.32000000000005</v>
      </c>
      <c r="S23">
        <v>1.2</v>
      </c>
      <c r="T23">
        <v>0</v>
      </c>
      <c r="U23">
        <v>72.680000000000007</v>
      </c>
      <c r="X23" s="42">
        <f t="shared" si="17"/>
        <v>-3.0700000000001637</v>
      </c>
      <c r="Y23" s="23">
        <f t="shared" si="18"/>
        <v>110</v>
      </c>
    </row>
    <row r="24" spans="1:25">
      <c r="A24">
        <v>8</v>
      </c>
      <c r="B24" s="44">
        <v>43759</v>
      </c>
      <c r="C24" s="46" t="s">
        <v>293</v>
      </c>
      <c r="D24">
        <v>9.5</v>
      </c>
      <c r="P24" s="42">
        <f t="shared" ref="P24:P30" si="21">Q24-S24</f>
        <v>627.57000000000016</v>
      </c>
      <c r="Q24" s="48">
        <f t="shared" ref="Q24:Q30" si="22">SUM(W24,R24:U24)</f>
        <v>628.77000000000021</v>
      </c>
      <c r="R24">
        <v>551.82000000000005</v>
      </c>
      <c r="S24">
        <v>1.2</v>
      </c>
      <c r="T24">
        <v>0</v>
      </c>
      <c r="U24">
        <v>72.680000000000007</v>
      </c>
      <c r="V24">
        <v>23.29</v>
      </c>
      <c r="W24">
        <v>3.07</v>
      </c>
      <c r="X24" s="42">
        <f>SUM(D24:M24,R24:U24,W24)-SUM(N24:O24)-Q23</f>
        <v>3.07000000000005</v>
      </c>
      <c r="Y24" s="23">
        <f t="shared" ref="Y24:Y29" si="23">SUM(D24:M24)</f>
        <v>9.5</v>
      </c>
    </row>
    <row r="25" spans="1:25">
      <c r="A25">
        <v>8</v>
      </c>
      <c r="B25" s="44">
        <v>43760</v>
      </c>
      <c r="C25" s="46" t="s">
        <v>294</v>
      </c>
      <c r="D25">
        <v>12</v>
      </c>
      <c r="P25" s="42">
        <f t="shared" si="21"/>
        <v>615.57000000000016</v>
      </c>
      <c r="Q25" s="48">
        <f t="shared" si="22"/>
        <v>616.77000000000021</v>
      </c>
      <c r="R25">
        <v>539.82000000000005</v>
      </c>
      <c r="S25">
        <v>1.2</v>
      </c>
      <c r="T25">
        <v>0</v>
      </c>
      <c r="U25">
        <v>72.680000000000007</v>
      </c>
      <c r="V25">
        <v>0</v>
      </c>
      <c r="W25">
        <v>3.07</v>
      </c>
      <c r="X25" s="42">
        <f t="shared" ref="X25:X30" si="24">SUM(D25:M25,R25:U25,W25)-SUM(N25:O25)-Q24</f>
        <v>0</v>
      </c>
      <c r="Y25" s="23">
        <f t="shared" si="23"/>
        <v>12</v>
      </c>
    </row>
    <row r="26" spans="1:25">
      <c r="A26">
        <v>8</v>
      </c>
      <c r="B26" s="44">
        <v>43761</v>
      </c>
      <c r="C26" s="46" t="s">
        <v>295</v>
      </c>
      <c r="O26" s="65"/>
      <c r="P26" s="42">
        <f t="shared" si="21"/>
        <v>0</v>
      </c>
      <c r="Q26" s="48">
        <f t="shared" si="22"/>
        <v>0</v>
      </c>
      <c r="X26" s="42">
        <f t="shared" si="24"/>
        <v>-616.77000000000021</v>
      </c>
      <c r="Y26" s="23">
        <f t="shared" si="23"/>
        <v>0</v>
      </c>
    </row>
    <row r="27" spans="1:25">
      <c r="A27">
        <v>8</v>
      </c>
      <c r="B27" s="44">
        <v>43762</v>
      </c>
      <c r="C27" s="46" t="s">
        <v>296</v>
      </c>
      <c r="D27">
        <v>20</v>
      </c>
      <c r="J27">
        <v>4.5</v>
      </c>
      <c r="P27" s="42">
        <f t="shared" si="21"/>
        <v>190.32</v>
      </c>
      <c r="Q27" s="48">
        <f t="shared" si="22"/>
        <v>491.52</v>
      </c>
      <c r="R27">
        <v>139.07</v>
      </c>
      <c r="S27">
        <v>301.2</v>
      </c>
      <c r="T27">
        <v>0</v>
      </c>
      <c r="U27">
        <f>47.5+0.68</f>
        <v>48.18</v>
      </c>
      <c r="V27">
        <v>35.909999999999997</v>
      </c>
      <c r="W27">
        <v>3.07</v>
      </c>
      <c r="X27" s="42">
        <f t="shared" si="24"/>
        <v>516.02</v>
      </c>
      <c r="Y27" s="23">
        <f t="shared" si="23"/>
        <v>24.5</v>
      </c>
    </row>
    <row r="28" spans="1:25">
      <c r="A28">
        <v>8</v>
      </c>
      <c r="B28" s="44">
        <v>43763</v>
      </c>
      <c r="C28" s="46" t="s">
        <v>297</v>
      </c>
      <c r="E28">
        <v>0.44</v>
      </c>
      <c r="F28">
        <v>3</v>
      </c>
      <c r="N28">
        <v>0.02</v>
      </c>
      <c r="P28" s="42">
        <f t="shared" si="21"/>
        <v>186.86</v>
      </c>
      <c r="Q28" s="48">
        <f>SUM(W28,R28:U28)</f>
        <v>488.08000000000004</v>
      </c>
      <c r="R28">
        <v>136.07</v>
      </c>
      <c r="S28">
        <v>301.22000000000003</v>
      </c>
      <c r="T28">
        <v>0</v>
      </c>
      <c r="U28">
        <v>47.72</v>
      </c>
      <c r="V28">
        <v>5.67</v>
      </c>
      <c r="W28">
        <v>3.07</v>
      </c>
      <c r="X28" s="42">
        <f>SUM(D28:M28,R28:U28,W28)-SUM(N28:O28)-Q27</f>
        <v>-1.9999999999924967E-2</v>
      </c>
      <c r="Y28" s="23">
        <f t="shared" si="23"/>
        <v>3.44</v>
      </c>
    </row>
    <row r="29" spans="1:25">
      <c r="A29">
        <v>8</v>
      </c>
      <c r="B29" s="44">
        <v>43764</v>
      </c>
      <c r="C29" s="46" t="s">
        <v>298</v>
      </c>
      <c r="D29">
        <f>3.5+19+36</f>
        <v>58.5</v>
      </c>
      <c r="I29">
        <f>100+8.5+3.6</f>
        <v>112.1</v>
      </c>
      <c r="J29">
        <v>100</v>
      </c>
      <c r="N29">
        <v>180</v>
      </c>
      <c r="P29" s="42">
        <f t="shared" si="21"/>
        <v>0</v>
      </c>
      <c r="Q29" s="48">
        <f t="shared" si="22"/>
        <v>0</v>
      </c>
      <c r="X29" s="42">
        <f t="shared" si="24"/>
        <v>-397.48</v>
      </c>
      <c r="Y29" s="23">
        <f t="shared" si="23"/>
        <v>270.60000000000002</v>
      </c>
    </row>
    <row r="30" spans="1:25">
      <c r="A30">
        <v>8</v>
      </c>
      <c r="B30" s="44">
        <v>43765</v>
      </c>
      <c r="C30" s="46" t="s">
        <v>299</v>
      </c>
      <c r="D30">
        <v>12</v>
      </c>
      <c r="G30">
        <f>43.5+8.5</f>
        <v>52</v>
      </c>
      <c r="N30">
        <f>6.5+0.02</f>
        <v>6.52</v>
      </c>
      <c r="P30" s="42">
        <f t="shared" si="21"/>
        <v>150.77999999999997</v>
      </c>
      <c r="Q30" s="48">
        <f t="shared" si="22"/>
        <v>340.03999999999996</v>
      </c>
      <c r="R30">
        <v>86.5</v>
      </c>
      <c r="S30">
        <v>189.26</v>
      </c>
      <c r="U30">
        <f>10.46+0.68</f>
        <v>11.14</v>
      </c>
      <c r="V30">
        <v>60.47</v>
      </c>
      <c r="W30">
        <v>53.14</v>
      </c>
      <c r="X30" s="42">
        <f t="shared" si="24"/>
        <v>397.52</v>
      </c>
      <c r="Y30" s="23">
        <f t="shared" ref="Y30:Y41" si="25">SUM(D30:M30)+IF(V29-V30&gt;0,V29-V30,V29+100-V30)-J30</f>
        <v>103.53</v>
      </c>
    </row>
    <row r="31" spans="1:25">
      <c r="A31">
        <v>9</v>
      </c>
      <c r="B31" s="44">
        <v>43766</v>
      </c>
      <c r="C31" s="46" t="s">
        <v>293</v>
      </c>
      <c r="F31">
        <v>3</v>
      </c>
      <c r="I31">
        <v>5</v>
      </c>
      <c r="N31">
        <v>0.01</v>
      </c>
      <c r="P31" s="42">
        <f t="shared" ref="P31:P34" si="26">Q31-S31</f>
        <v>142.77999999999994</v>
      </c>
      <c r="Q31" s="48">
        <f t="shared" ref="Q31" si="27">SUM(W31,R31:U31)</f>
        <v>332.04999999999995</v>
      </c>
      <c r="R31">
        <v>83.5</v>
      </c>
      <c r="S31">
        <v>189.27</v>
      </c>
      <c r="T31">
        <v>0</v>
      </c>
      <c r="U31">
        <f>0.68+5.46</f>
        <v>6.14</v>
      </c>
      <c r="V31">
        <v>42.91</v>
      </c>
      <c r="W31">
        <v>53.14</v>
      </c>
      <c r="X31" s="42">
        <f>SUM(D31:M31,R31:U31,W31)-SUM(N31:O31)-Q30</f>
        <v>0</v>
      </c>
      <c r="Y31" s="23">
        <f t="shared" si="25"/>
        <v>25.560000000000002</v>
      </c>
    </row>
    <row r="32" spans="1:25">
      <c r="A32">
        <v>9</v>
      </c>
      <c r="B32" s="44">
        <v>43767</v>
      </c>
      <c r="C32" s="46" t="s">
        <v>294</v>
      </c>
      <c r="D32">
        <f>9+17</f>
        <v>26</v>
      </c>
      <c r="N32">
        <v>0.01</v>
      </c>
      <c r="O32">
        <v>30</v>
      </c>
      <c r="P32" s="42">
        <f t="shared" si="26"/>
        <v>146.78</v>
      </c>
      <c r="Q32" s="48">
        <f>SUM(W32,R32:U32)</f>
        <v>336.06</v>
      </c>
      <c r="R32">
        <v>66.5</v>
      </c>
      <c r="S32">
        <v>189.28</v>
      </c>
      <c r="T32">
        <v>0</v>
      </c>
      <c r="U32">
        <f>35.46+0.68</f>
        <v>36.14</v>
      </c>
      <c r="V32">
        <v>29.79</v>
      </c>
      <c r="W32">
        <v>44.14</v>
      </c>
      <c r="X32" s="42">
        <f>SUM(D32:M32,R32:U32,W32)-SUM(N32:O32)-Q31</f>
        <v>0</v>
      </c>
      <c r="Y32" s="23">
        <f t="shared" si="25"/>
        <v>39.119999999999997</v>
      </c>
    </row>
    <row r="33" spans="1:25">
      <c r="A33">
        <v>9</v>
      </c>
      <c r="B33" s="44">
        <v>43768</v>
      </c>
      <c r="C33" s="46" t="s">
        <v>295</v>
      </c>
      <c r="D33">
        <v>1.9</v>
      </c>
      <c r="E33">
        <v>8.8000000000000007</v>
      </c>
      <c r="N33">
        <v>0.01</v>
      </c>
      <c r="P33" s="42">
        <f t="shared" si="26"/>
        <v>144.88</v>
      </c>
      <c r="Q33" s="48">
        <f>SUM(W33,R33:U33)</f>
        <v>325.37</v>
      </c>
      <c r="R33">
        <v>64.599999999999994</v>
      </c>
      <c r="S33">
        <v>180.49</v>
      </c>
      <c r="T33">
        <v>0</v>
      </c>
      <c r="U33">
        <v>36.14</v>
      </c>
      <c r="V33">
        <v>12.24</v>
      </c>
      <c r="W33">
        <v>44.14</v>
      </c>
      <c r="X33" s="42">
        <f>SUM(D33:M33,R33:U33,W33)-SUM(N33:O33)-Q32</f>
        <v>0</v>
      </c>
      <c r="Y33" s="23">
        <f t="shared" si="25"/>
        <v>28.25</v>
      </c>
    </row>
    <row r="34" spans="1:25">
      <c r="A34">
        <v>9</v>
      </c>
      <c r="B34" s="44">
        <v>43769</v>
      </c>
      <c r="C34" s="46" t="s">
        <v>296</v>
      </c>
      <c r="D34">
        <v>3</v>
      </c>
      <c r="J34">
        <v>50</v>
      </c>
      <c r="N34">
        <v>0.01</v>
      </c>
      <c r="P34" s="42">
        <f t="shared" si="26"/>
        <v>91.88</v>
      </c>
      <c r="Q34" s="48">
        <f>SUM(W34,R34:U34)</f>
        <v>272.38</v>
      </c>
      <c r="R34">
        <v>11.6</v>
      </c>
      <c r="S34">
        <v>180.5</v>
      </c>
      <c r="T34">
        <v>0</v>
      </c>
      <c r="U34">
        <v>36.14</v>
      </c>
      <c r="V34">
        <v>32.76</v>
      </c>
      <c r="W34">
        <v>44.14</v>
      </c>
      <c r="X34" s="42">
        <f t="shared" ref="X34:X36" si="28">SUM(D34:M34,R34:U34,W34)-SUM(N34:O34)-Q33</f>
        <v>0</v>
      </c>
      <c r="Y34" s="23">
        <f>SUM(D34:M34)+IF(V33-V34&gt;0,V33-V34,V33+50-V34)-J34</f>
        <v>32.480000000000004</v>
      </c>
    </row>
    <row r="35" spans="1:25">
      <c r="A35">
        <v>9</v>
      </c>
      <c r="B35" s="44">
        <v>43771</v>
      </c>
      <c r="C35" s="46" t="s">
        <v>298</v>
      </c>
      <c r="D35">
        <f>17.5+13+18+20+12.5</f>
        <v>81</v>
      </c>
      <c r="F35">
        <v>4</v>
      </c>
      <c r="G35">
        <v>10</v>
      </c>
      <c r="N35">
        <v>0.02</v>
      </c>
      <c r="O35">
        <f>681-25-25-3.5+500</f>
        <v>1127.5</v>
      </c>
      <c r="P35" s="42">
        <f t="shared" ref="P35:P36" si="29">Q35-S35</f>
        <v>1136.8800000000001</v>
      </c>
      <c r="Q35" s="48">
        <f>SUM(W35,R35:U35)</f>
        <v>1304.9000000000001</v>
      </c>
      <c r="R35">
        <v>2.6</v>
      </c>
      <c r="S35">
        <v>168.02</v>
      </c>
      <c r="T35">
        <v>0</v>
      </c>
      <c r="U35">
        <f>607.5+0.64</f>
        <v>608.14</v>
      </c>
      <c r="V35">
        <v>9.77</v>
      </c>
      <c r="W35">
        <v>526.14</v>
      </c>
      <c r="X35" s="42">
        <f>SUM(D35:M35,R35:U35,W35)-SUM(N35:O35)-Q34</f>
        <v>0</v>
      </c>
      <c r="Y35" s="23">
        <f t="shared" si="25"/>
        <v>117.99</v>
      </c>
    </row>
    <row r="36" spans="1:25">
      <c r="A36">
        <v>9</v>
      </c>
      <c r="B36" s="44">
        <v>43772</v>
      </c>
      <c r="C36" s="46" t="s">
        <v>299</v>
      </c>
      <c r="D36">
        <v>13.5</v>
      </c>
      <c r="E36">
        <f>7.8+8.58*2+4.05</f>
        <v>29.01</v>
      </c>
      <c r="J36">
        <v>100</v>
      </c>
      <c r="N36">
        <v>0.01</v>
      </c>
      <c r="P36" s="42">
        <f t="shared" si="29"/>
        <v>776.03000000000009</v>
      </c>
      <c r="Q36" s="48">
        <f t="shared" ref="Q36" si="30">SUM(W36,R36:U36)</f>
        <v>1162.4000000000001</v>
      </c>
      <c r="R36">
        <v>2.6</v>
      </c>
      <c r="S36">
        <v>386.37</v>
      </c>
      <c r="U36">
        <v>573.42999999999995</v>
      </c>
      <c r="V36">
        <v>83.13</v>
      </c>
      <c r="W36">
        <v>200</v>
      </c>
      <c r="X36" s="42">
        <f t="shared" si="28"/>
        <v>0</v>
      </c>
      <c r="Y36" s="23">
        <f t="shared" si="25"/>
        <v>69.149999999999977</v>
      </c>
    </row>
    <row r="37" spans="1:25">
      <c r="A37">
        <v>10</v>
      </c>
      <c r="B37" s="44">
        <v>43774</v>
      </c>
      <c r="C37" s="46" t="s">
        <v>294</v>
      </c>
      <c r="D37">
        <v>5</v>
      </c>
      <c r="I37">
        <v>1.99</v>
      </c>
      <c r="N37">
        <v>0.02</v>
      </c>
      <c r="O37">
        <f>60+8.58</f>
        <v>68.58</v>
      </c>
      <c r="P37" s="42">
        <f t="shared" ref="P37:P41" si="31">Q37-S37</f>
        <v>837.62</v>
      </c>
      <c r="Q37" s="48">
        <f>SUM(W37,R37:U37)</f>
        <v>1224.01</v>
      </c>
      <c r="R37">
        <v>2.6</v>
      </c>
      <c r="S37">
        <v>386.39</v>
      </c>
      <c r="U37">
        <v>575.02</v>
      </c>
      <c r="V37">
        <v>33.72</v>
      </c>
      <c r="W37">
        <v>260</v>
      </c>
      <c r="X37" s="42">
        <f>SUM(D37:M37,R37:U37,W37)-SUM(N37:O37)-Q36</f>
        <v>0</v>
      </c>
      <c r="Y37" s="23">
        <f t="shared" si="25"/>
        <v>56.4</v>
      </c>
    </row>
    <row r="38" spans="1:25">
      <c r="A38">
        <v>10</v>
      </c>
      <c r="B38" s="44">
        <v>43775</v>
      </c>
      <c r="C38" s="46" t="s">
        <v>295</v>
      </c>
      <c r="J38">
        <v>100</v>
      </c>
      <c r="L38">
        <v>1</v>
      </c>
      <c r="N38">
        <v>0.06</v>
      </c>
      <c r="P38" s="42">
        <f t="shared" si="31"/>
        <v>736.65999999999985</v>
      </c>
      <c r="Q38" s="48">
        <f>SUM(W38,R38:U38)</f>
        <v>1123.07</v>
      </c>
      <c r="R38">
        <v>2.6</v>
      </c>
      <c r="S38">
        <v>386.41</v>
      </c>
      <c r="U38">
        <v>475.06</v>
      </c>
      <c r="V38">
        <v>100.02</v>
      </c>
      <c r="W38">
        <v>259</v>
      </c>
      <c r="X38" s="42">
        <f t="shared" ref="X38:X41" si="32">SUM(D38:M38,R38:U38,W38)-SUM(N38:O38)-Q37</f>
        <v>0</v>
      </c>
      <c r="Y38" s="23">
        <f t="shared" si="25"/>
        <v>34.699999999999989</v>
      </c>
    </row>
    <row r="39" spans="1:25">
      <c r="A39">
        <v>10</v>
      </c>
      <c r="B39" s="44">
        <v>43776</v>
      </c>
      <c r="C39" s="46" t="s">
        <v>296</v>
      </c>
      <c r="E39">
        <v>1.45</v>
      </c>
      <c r="N39">
        <v>0.06</v>
      </c>
      <c r="P39" s="42">
        <f t="shared" si="31"/>
        <v>735.24999999999977</v>
      </c>
      <c r="Q39" s="48">
        <f t="shared" ref="Q39:Q41" si="33">SUM(W39,R39:U39)</f>
        <v>1121.6799999999998</v>
      </c>
      <c r="R39">
        <v>2.6</v>
      </c>
      <c r="S39">
        <v>386.43</v>
      </c>
      <c r="U39">
        <v>473.65</v>
      </c>
      <c r="V39">
        <v>73.98</v>
      </c>
      <c r="W39">
        <v>259</v>
      </c>
      <c r="X39" s="42">
        <f t="shared" si="32"/>
        <v>0</v>
      </c>
      <c r="Y39" s="23">
        <f t="shared" si="25"/>
        <v>27.489999999999991</v>
      </c>
    </row>
    <row r="40" spans="1:25">
      <c r="A40">
        <v>10</v>
      </c>
      <c r="B40" s="44">
        <v>43777</v>
      </c>
      <c r="C40" s="46" t="s">
        <v>297</v>
      </c>
      <c r="E40">
        <v>2.4</v>
      </c>
      <c r="F40">
        <v>3</v>
      </c>
      <c r="N40">
        <v>0.05</v>
      </c>
      <c r="P40" s="42">
        <f t="shared" si="31"/>
        <v>729.87999999999988</v>
      </c>
      <c r="Q40" s="48">
        <f t="shared" si="33"/>
        <v>1116.33</v>
      </c>
      <c r="R40">
        <v>2.6</v>
      </c>
      <c r="S40">
        <v>386.45</v>
      </c>
      <c r="U40">
        <v>468.28</v>
      </c>
      <c r="V40">
        <v>45.22</v>
      </c>
      <c r="W40">
        <v>259</v>
      </c>
      <c r="X40" s="42">
        <f t="shared" si="32"/>
        <v>0</v>
      </c>
      <c r="Y40" s="23">
        <f t="shared" si="25"/>
        <v>34.160000000000004</v>
      </c>
    </row>
    <row r="41" spans="1:25">
      <c r="A41">
        <v>10</v>
      </c>
      <c r="B41" s="44">
        <v>43778</v>
      </c>
      <c r="C41" s="46" t="s">
        <v>298</v>
      </c>
      <c r="F41">
        <v>4</v>
      </c>
      <c r="H41">
        <v>93</v>
      </c>
      <c r="M41">
        <v>-0.03</v>
      </c>
      <c r="N41">
        <v>0.05</v>
      </c>
      <c r="P41" s="42">
        <f t="shared" si="31"/>
        <v>632.94000000000005</v>
      </c>
      <c r="Q41" s="48">
        <f t="shared" si="33"/>
        <v>1019.4100000000001</v>
      </c>
      <c r="R41">
        <v>2.6</v>
      </c>
      <c r="S41">
        <v>386.47</v>
      </c>
      <c r="U41">
        <v>371.34</v>
      </c>
      <c r="V41">
        <v>27.34</v>
      </c>
      <c r="W41">
        <v>259</v>
      </c>
      <c r="X41" s="42">
        <f t="shared" si="32"/>
        <v>0</v>
      </c>
      <c r="Y41" s="23">
        <f t="shared" si="25"/>
        <v>114.85</v>
      </c>
    </row>
    <row r="42" spans="1:25">
      <c r="A42">
        <v>11</v>
      </c>
      <c r="B42" s="44">
        <v>43781</v>
      </c>
      <c r="C42" s="46" t="s">
        <v>323</v>
      </c>
      <c r="D42">
        <f>12.5+15+5</f>
        <v>32.5</v>
      </c>
      <c r="E42">
        <f>5.5+1.65</f>
        <v>7.15</v>
      </c>
      <c r="J42">
        <v>100</v>
      </c>
      <c r="L42">
        <v>3</v>
      </c>
      <c r="M42">
        <v>0.05</v>
      </c>
      <c r="N42">
        <v>0.11</v>
      </c>
      <c r="P42" s="42">
        <f t="shared" ref="P42:P43" si="34">Q42-S42</f>
        <v>490.28999999999996</v>
      </c>
      <c r="Q42" s="48">
        <f t="shared" ref="Q42:Q50" si="35">SUM(W42,R42:U42)</f>
        <v>876.81999999999994</v>
      </c>
      <c r="R42">
        <v>2.6</v>
      </c>
      <c r="S42">
        <v>386.53</v>
      </c>
      <c r="U42">
        <f>32+196.69</f>
        <v>228.69</v>
      </c>
      <c r="V42">
        <v>44.66</v>
      </c>
      <c r="W42">
        <v>259</v>
      </c>
      <c r="X42" s="42">
        <f t="shared" ref="X42" si="36">SUM(D42:M42,R42:U42,W42)-SUM(N42:O42)-Q41</f>
        <v>0</v>
      </c>
      <c r="Y42" s="23">
        <f>SUM(D42:M42)+IF(V41-V42&gt;0,V41-V42,V41+100-V42)-J42</f>
        <v>125.38000000000002</v>
      </c>
    </row>
    <row r="43" spans="1:25">
      <c r="A43">
        <v>11</v>
      </c>
      <c r="B43" s="44">
        <v>43782</v>
      </c>
      <c r="C43" s="46" t="s">
        <v>295</v>
      </c>
      <c r="M43">
        <v>0.01</v>
      </c>
      <c r="N43">
        <v>0.04</v>
      </c>
      <c r="P43" s="42">
        <f t="shared" si="34"/>
        <v>490.29000000000013</v>
      </c>
      <c r="Q43" s="48">
        <f t="shared" si="35"/>
        <v>876.85000000000014</v>
      </c>
      <c r="R43">
        <v>2.6</v>
      </c>
      <c r="S43">
        <v>386.56</v>
      </c>
      <c r="U43">
        <v>228.69</v>
      </c>
      <c r="V43">
        <v>16.399999999999999</v>
      </c>
      <c r="W43">
        <v>259</v>
      </c>
      <c r="X43" s="42">
        <f t="shared" ref="X43" si="37">SUM(D43:M43,R43:U43,W43)-SUM(N43:O43)-Q42</f>
        <v>0</v>
      </c>
      <c r="Y43" s="23">
        <f t="shared" ref="Y43" si="38">SUM(D43:M43)+IF(V42-V43&gt;0,V42-V43,V42+100-V43)-J43</f>
        <v>28.27</v>
      </c>
    </row>
    <row r="44" spans="1:25">
      <c r="A44">
        <v>11</v>
      </c>
      <c r="B44" s="44">
        <v>43783</v>
      </c>
      <c r="C44" s="46" t="s">
        <v>296</v>
      </c>
      <c r="P44" s="42">
        <f t="shared" ref="P44:P50" si="39">Q44-S44</f>
        <v>0</v>
      </c>
      <c r="Q44" s="48">
        <f t="shared" si="35"/>
        <v>0</v>
      </c>
      <c r="X44" s="42">
        <f t="shared" ref="X44:X51" si="40">SUM(D44:M44,R44:U44,W44)-SUM(N44:O44)-Q43</f>
        <v>-876.85000000000014</v>
      </c>
      <c r="Y44" s="23">
        <f t="shared" ref="Y44:Y51" si="41">SUM(D44:M44)+IF(V43-V44&gt;0,V43-V44,V43+100-V44)-J44</f>
        <v>16.399999999999999</v>
      </c>
    </row>
    <row r="45" spans="1:25">
      <c r="A45">
        <v>11</v>
      </c>
      <c r="B45" s="44">
        <v>43784</v>
      </c>
      <c r="C45" s="46" t="s">
        <v>297</v>
      </c>
      <c r="P45" s="42">
        <f t="shared" si="39"/>
        <v>0</v>
      </c>
      <c r="Q45" s="48">
        <f t="shared" si="35"/>
        <v>0</v>
      </c>
      <c r="X45" s="42">
        <f t="shared" si="40"/>
        <v>0</v>
      </c>
      <c r="Y45" s="23">
        <f t="shared" si="41"/>
        <v>100</v>
      </c>
    </row>
    <row r="46" spans="1:25">
      <c r="A46">
        <v>11</v>
      </c>
      <c r="B46" s="44">
        <v>43785</v>
      </c>
      <c r="C46" s="46" t="s">
        <v>298</v>
      </c>
      <c r="P46" s="42">
        <f t="shared" si="39"/>
        <v>0</v>
      </c>
      <c r="Q46" s="48">
        <f t="shared" si="35"/>
        <v>0</v>
      </c>
      <c r="X46" s="42">
        <f t="shared" si="40"/>
        <v>0</v>
      </c>
      <c r="Y46" s="23">
        <f t="shared" si="41"/>
        <v>100</v>
      </c>
    </row>
    <row r="47" spans="1:25">
      <c r="A47">
        <v>11</v>
      </c>
      <c r="B47" s="44">
        <v>43786</v>
      </c>
      <c r="C47" s="46" t="s">
        <v>299</v>
      </c>
      <c r="P47" s="42">
        <f t="shared" si="39"/>
        <v>0</v>
      </c>
      <c r="Q47" s="48">
        <f t="shared" si="35"/>
        <v>0</v>
      </c>
      <c r="X47" s="42">
        <f t="shared" si="40"/>
        <v>0</v>
      </c>
      <c r="Y47" s="23">
        <f t="shared" si="41"/>
        <v>100</v>
      </c>
    </row>
    <row r="48" spans="1:25">
      <c r="A48">
        <v>12</v>
      </c>
      <c r="B48" s="44">
        <v>43787</v>
      </c>
      <c r="C48" s="46" t="s">
        <v>293</v>
      </c>
      <c r="P48" s="42">
        <f t="shared" si="39"/>
        <v>0</v>
      </c>
      <c r="Q48" s="48">
        <f t="shared" si="35"/>
        <v>0</v>
      </c>
      <c r="X48" s="42">
        <f t="shared" si="40"/>
        <v>0</v>
      </c>
      <c r="Y48" s="23">
        <f t="shared" si="41"/>
        <v>100</v>
      </c>
    </row>
    <row r="49" spans="1:25">
      <c r="A49">
        <v>12</v>
      </c>
      <c r="B49" s="44">
        <v>43788</v>
      </c>
      <c r="C49" s="46" t="s">
        <v>294</v>
      </c>
      <c r="P49" s="42">
        <f t="shared" si="39"/>
        <v>0</v>
      </c>
      <c r="Q49" s="48">
        <f t="shared" si="35"/>
        <v>0</v>
      </c>
      <c r="X49" s="42">
        <f t="shared" si="40"/>
        <v>0</v>
      </c>
      <c r="Y49" s="23">
        <f t="shared" si="41"/>
        <v>100</v>
      </c>
    </row>
    <row r="50" spans="1:25">
      <c r="A50">
        <v>12</v>
      </c>
      <c r="B50" s="44">
        <v>43789</v>
      </c>
      <c r="C50" s="46" t="s">
        <v>295</v>
      </c>
      <c r="P50" s="42">
        <f t="shared" si="39"/>
        <v>0</v>
      </c>
      <c r="Q50" s="48">
        <f t="shared" si="35"/>
        <v>0</v>
      </c>
      <c r="X50" s="42">
        <f t="shared" si="40"/>
        <v>0</v>
      </c>
      <c r="Y50" s="23">
        <f t="shared" si="41"/>
        <v>100</v>
      </c>
    </row>
    <row r="51" spans="1:25">
      <c r="A51">
        <v>12</v>
      </c>
      <c r="B51" s="44">
        <v>43790</v>
      </c>
      <c r="C51" s="46" t="s">
        <v>296</v>
      </c>
      <c r="D51">
        <v>9</v>
      </c>
      <c r="J51">
        <v>100</v>
      </c>
      <c r="N51">
        <v>0.02</v>
      </c>
      <c r="P51" s="42">
        <f>Q51-S51</f>
        <v>1185.33</v>
      </c>
      <c r="Q51" s="48">
        <f>SUM(W51,R51:U51)</f>
        <v>1569.09</v>
      </c>
      <c r="R51">
        <v>2.6</v>
      </c>
      <c r="S51">
        <v>383.76</v>
      </c>
      <c r="U51">
        <f>6+17.73</f>
        <v>23.73</v>
      </c>
      <c r="V51">
        <v>92.06</v>
      </c>
      <c r="W51">
        <v>1159</v>
      </c>
      <c r="X51" s="42">
        <f t="shared" si="40"/>
        <v>1678.0700000000002</v>
      </c>
      <c r="Y51" s="23">
        <f t="shared" si="41"/>
        <v>16.939999999999998</v>
      </c>
    </row>
    <row r="52" spans="1:25">
      <c r="A52">
        <v>12</v>
      </c>
      <c r="B52" s="44">
        <v>43791</v>
      </c>
      <c r="C52" s="46" t="s">
        <v>297</v>
      </c>
      <c r="P52" s="42">
        <f t="shared" ref="P52:P68" si="42">Q52-S52</f>
        <v>0</v>
      </c>
      <c r="Q52" s="48">
        <f t="shared" ref="Q52:Q68" si="43">SUM(W52,R52:U52)</f>
        <v>0</v>
      </c>
      <c r="X52" s="42">
        <f t="shared" ref="X52:X68" si="44">SUM(D52:M52,R52:U52,W52)-SUM(N52:O52)-Q51</f>
        <v>-1569.09</v>
      </c>
      <c r="Y52" s="23">
        <f t="shared" ref="Y52:Y68" si="45">SUM(D52:M52)+IF(V51-V52&gt;0,V51-V52,V51+100-V52)-J52</f>
        <v>92.06</v>
      </c>
    </row>
    <row r="53" spans="1:25">
      <c r="A53">
        <v>12</v>
      </c>
      <c r="B53" s="44">
        <v>43792</v>
      </c>
      <c r="C53" s="46" t="s">
        <v>298</v>
      </c>
      <c r="P53" s="42">
        <f t="shared" si="42"/>
        <v>0</v>
      </c>
      <c r="Q53" s="48">
        <f t="shared" si="43"/>
        <v>0</v>
      </c>
      <c r="X53" s="42">
        <f t="shared" si="44"/>
        <v>0</v>
      </c>
      <c r="Y53" s="23">
        <f t="shared" si="45"/>
        <v>100</v>
      </c>
    </row>
    <row r="54" spans="1:25">
      <c r="A54">
        <v>12</v>
      </c>
      <c r="B54" s="44">
        <v>43793</v>
      </c>
      <c r="C54" s="46" t="s">
        <v>299</v>
      </c>
      <c r="P54" s="42">
        <f t="shared" si="42"/>
        <v>0</v>
      </c>
      <c r="Q54" s="48">
        <f t="shared" si="43"/>
        <v>0</v>
      </c>
      <c r="X54" s="42">
        <f t="shared" si="44"/>
        <v>0</v>
      </c>
      <c r="Y54" s="23">
        <f t="shared" si="45"/>
        <v>100</v>
      </c>
    </row>
    <row r="55" spans="1:25">
      <c r="A55">
        <v>13</v>
      </c>
      <c r="B55" s="44">
        <v>43794</v>
      </c>
      <c r="C55" s="46" t="s">
        <v>293</v>
      </c>
      <c r="P55" s="42">
        <f t="shared" si="42"/>
        <v>0</v>
      </c>
      <c r="Q55" s="48">
        <f t="shared" si="43"/>
        <v>0</v>
      </c>
      <c r="X55" s="42">
        <f t="shared" si="44"/>
        <v>0</v>
      </c>
      <c r="Y55" s="23">
        <f t="shared" si="45"/>
        <v>100</v>
      </c>
    </row>
    <row r="56" spans="1:25">
      <c r="A56">
        <v>13</v>
      </c>
      <c r="B56" s="44">
        <v>43795</v>
      </c>
      <c r="C56" s="46" t="s">
        <v>294</v>
      </c>
      <c r="P56" s="42">
        <f t="shared" si="42"/>
        <v>0</v>
      </c>
      <c r="Q56" s="48">
        <f t="shared" si="43"/>
        <v>0</v>
      </c>
      <c r="X56" s="42">
        <f t="shared" si="44"/>
        <v>0</v>
      </c>
      <c r="Y56" s="23">
        <f t="shared" si="45"/>
        <v>100</v>
      </c>
    </row>
    <row r="57" spans="1:25">
      <c r="A57">
        <v>13</v>
      </c>
      <c r="B57" s="44">
        <v>43796</v>
      </c>
      <c r="C57" s="46" t="s">
        <v>295</v>
      </c>
      <c r="P57" s="42">
        <f t="shared" si="42"/>
        <v>0</v>
      </c>
      <c r="Q57" s="48">
        <f t="shared" si="43"/>
        <v>0</v>
      </c>
      <c r="X57" s="42">
        <f t="shared" si="44"/>
        <v>0</v>
      </c>
      <c r="Y57" s="23">
        <f t="shared" si="45"/>
        <v>100</v>
      </c>
    </row>
    <row r="58" spans="1:25">
      <c r="A58">
        <v>13</v>
      </c>
      <c r="B58" s="44">
        <v>43797</v>
      </c>
      <c r="C58" s="46" t="s">
        <v>296</v>
      </c>
      <c r="P58" s="42">
        <f t="shared" si="42"/>
        <v>0</v>
      </c>
      <c r="Q58" s="48">
        <f t="shared" si="43"/>
        <v>0</v>
      </c>
      <c r="X58" s="42">
        <f t="shared" si="44"/>
        <v>0</v>
      </c>
      <c r="Y58" s="23">
        <f t="shared" si="45"/>
        <v>100</v>
      </c>
    </row>
    <row r="59" spans="1:25">
      <c r="A59">
        <v>13</v>
      </c>
      <c r="B59" s="44">
        <v>43798</v>
      </c>
      <c r="C59" s="46" t="s">
        <v>297</v>
      </c>
      <c r="P59" s="42">
        <f t="shared" si="42"/>
        <v>0</v>
      </c>
      <c r="Q59" s="48">
        <f t="shared" si="43"/>
        <v>0</v>
      </c>
      <c r="X59" s="42">
        <f t="shared" si="44"/>
        <v>0</v>
      </c>
      <c r="Y59" s="23">
        <f t="shared" si="45"/>
        <v>100</v>
      </c>
    </row>
    <row r="60" spans="1:25">
      <c r="A60">
        <v>13</v>
      </c>
      <c r="B60" s="44">
        <v>43799</v>
      </c>
      <c r="C60" s="46" t="s">
        <v>298</v>
      </c>
      <c r="P60" s="42">
        <f t="shared" si="42"/>
        <v>0</v>
      </c>
      <c r="Q60" s="48">
        <f t="shared" si="43"/>
        <v>0</v>
      </c>
      <c r="X60" s="42">
        <f t="shared" si="44"/>
        <v>0</v>
      </c>
      <c r="Y60" s="23">
        <f t="shared" si="45"/>
        <v>100</v>
      </c>
    </row>
    <row r="61" spans="1:25">
      <c r="A61">
        <v>13</v>
      </c>
      <c r="B61" s="44">
        <v>43800</v>
      </c>
      <c r="C61" s="46" t="s">
        <v>299</v>
      </c>
      <c r="P61" s="42">
        <f t="shared" si="42"/>
        <v>0</v>
      </c>
      <c r="Q61" s="48">
        <f t="shared" si="43"/>
        <v>0</v>
      </c>
      <c r="X61" s="42">
        <f t="shared" si="44"/>
        <v>0</v>
      </c>
      <c r="Y61" s="23">
        <f t="shared" si="45"/>
        <v>100</v>
      </c>
    </row>
    <row r="62" spans="1:25">
      <c r="A62">
        <v>14</v>
      </c>
      <c r="B62" s="44">
        <v>43801</v>
      </c>
      <c r="C62" s="46" t="s">
        <v>293</v>
      </c>
      <c r="P62" s="42">
        <f t="shared" si="42"/>
        <v>1280.7399999999998</v>
      </c>
      <c r="Q62" s="48">
        <f t="shared" si="43"/>
        <v>1664.7599999999998</v>
      </c>
      <c r="R62">
        <v>2.6</v>
      </c>
      <c r="S62">
        <v>384.02</v>
      </c>
      <c r="U62">
        <f>399.21+0.43</f>
        <v>399.64</v>
      </c>
      <c r="V62">
        <v>105.56</v>
      </c>
      <c r="W62">
        <v>878.5</v>
      </c>
      <c r="X62" s="42">
        <f t="shared" si="44"/>
        <v>1664.76</v>
      </c>
      <c r="Y62" s="23">
        <f>SUM(D62:M62)+IF(V61-V62&gt;0,V61-V62,V61+100-V62)-J62</f>
        <v>-5.5600000000000023</v>
      </c>
    </row>
    <row r="63" spans="1:25">
      <c r="A63">
        <v>14</v>
      </c>
      <c r="B63" s="44">
        <v>43802</v>
      </c>
      <c r="C63" s="46" t="s">
        <v>294</v>
      </c>
      <c r="P63" s="42">
        <f t="shared" si="42"/>
        <v>0</v>
      </c>
      <c r="Q63" s="48">
        <f t="shared" si="43"/>
        <v>0</v>
      </c>
      <c r="X63" s="42">
        <f t="shared" si="44"/>
        <v>-1664.7599999999998</v>
      </c>
      <c r="Y63" s="23">
        <f t="shared" si="45"/>
        <v>105.56</v>
      </c>
    </row>
    <row r="64" spans="1:25">
      <c r="A64">
        <v>14</v>
      </c>
      <c r="B64" s="44">
        <v>43803</v>
      </c>
      <c r="C64" s="46" t="s">
        <v>295</v>
      </c>
      <c r="P64" s="42">
        <f t="shared" si="42"/>
        <v>0</v>
      </c>
      <c r="Q64" s="48">
        <f t="shared" si="43"/>
        <v>0</v>
      </c>
      <c r="X64" s="42">
        <f t="shared" si="44"/>
        <v>0</v>
      </c>
      <c r="Y64" s="23">
        <f t="shared" si="45"/>
        <v>100</v>
      </c>
    </row>
    <row r="65" spans="1:25">
      <c r="A65">
        <v>14</v>
      </c>
      <c r="B65" s="44">
        <v>43804</v>
      </c>
      <c r="C65" s="46" t="s">
        <v>296</v>
      </c>
      <c r="P65" s="42">
        <f t="shared" si="42"/>
        <v>0</v>
      </c>
      <c r="Q65" s="48">
        <f t="shared" si="43"/>
        <v>0</v>
      </c>
      <c r="X65" s="42">
        <f t="shared" si="44"/>
        <v>0</v>
      </c>
      <c r="Y65" s="23">
        <f t="shared" si="45"/>
        <v>100</v>
      </c>
    </row>
    <row r="66" spans="1:25">
      <c r="A66">
        <v>14</v>
      </c>
      <c r="B66" s="44">
        <v>43805</v>
      </c>
      <c r="C66" s="46" t="s">
        <v>297</v>
      </c>
      <c r="P66" s="42">
        <f t="shared" si="42"/>
        <v>0</v>
      </c>
      <c r="Q66" s="48">
        <f t="shared" si="43"/>
        <v>0</v>
      </c>
      <c r="X66" s="42">
        <f t="shared" si="44"/>
        <v>0</v>
      </c>
      <c r="Y66" s="23">
        <f t="shared" si="45"/>
        <v>100</v>
      </c>
    </row>
    <row r="67" spans="1:25">
      <c r="A67">
        <v>14</v>
      </c>
      <c r="B67" s="44">
        <v>43806</v>
      </c>
      <c r="C67" s="46" t="s">
        <v>298</v>
      </c>
      <c r="P67" s="42">
        <f t="shared" si="42"/>
        <v>0</v>
      </c>
      <c r="Q67" s="48">
        <f t="shared" si="43"/>
        <v>0</v>
      </c>
      <c r="X67" s="42">
        <f t="shared" si="44"/>
        <v>0</v>
      </c>
      <c r="Y67" s="23">
        <f t="shared" si="45"/>
        <v>100</v>
      </c>
    </row>
    <row r="68" spans="1:25">
      <c r="A68">
        <v>14</v>
      </c>
      <c r="B68" s="44">
        <v>43807</v>
      </c>
      <c r="C68" s="46" t="s">
        <v>299</v>
      </c>
      <c r="P68" s="42">
        <f t="shared" si="42"/>
        <v>0</v>
      </c>
      <c r="Q68" s="48">
        <f t="shared" si="43"/>
        <v>0</v>
      </c>
      <c r="X68" s="42">
        <f t="shared" si="44"/>
        <v>0</v>
      </c>
      <c r="Y68" s="23">
        <f t="shared" si="45"/>
        <v>100</v>
      </c>
    </row>
    <row r="69" spans="1:25">
      <c r="A69">
        <v>16</v>
      </c>
      <c r="B69" s="44">
        <v>43820</v>
      </c>
      <c r="C69" s="46" t="s">
        <v>350</v>
      </c>
      <c r="D69">
        <v>60</v>
      </c>
      <c r="J69">
        <v>100</v>
      </c>
      <c r="O69">
        <v>20</v>
      </c>
      <c r="P69" s="42">
        <f t="shared" ref="P69" si="46">Q69-S69</f>
        <v>1300.1100000000001</v>
      </c>
      <c r="Q69" s="48">
        <f t="shared" ref="Q69" si="47">SUM(W69,R69:U69)</f>
        <v>1330.92</v>
      </c>
      <c r="R69">
        <v>502.6</v>
      </c>
      <c r="S69">
        <v>30.81</v>
      </c>
      <c r="U69">
        <f>20.67+4.35</f>
        <v>25.020000000000003</v>
      </c>
      <c r="V69">
        <v>79.180000000000007</v>
      </c>
      <c r="W69">
        <v>772.49</v>
      </c>
      <c r="X69" s="42">
        <f t="shared" ref="X69" si="48">SUM(D69:M69,R69:U69,W69)-SUM(N69:O69)-Q68</f>
        <v>1470.92</v>
      </c>
      <c r="Y69" s="23">
        <f t="shared" ref="Y69" si="49">SUM(D69:M69)+IF(V68-V69&gt;0,V68-V69,V68+100-V69)-J69</f>
        <v>80.819999999999993</v>
      </c>
    </row>
    <row r="70" spans="1:25">
      <c r="A70">
        <v>16</v>
      </c>
      <c r="B70" s="44">
        <v>43821</v>
      </c>
      <c r="C70" s="46" t="s">
        <v>351</v>
      </c>
      <c r="O70">
        <v>500</v>
      </c>
      <c r="P70" s="42">
        <f t="shared" ref="P70" si="50">Q70-S70</f>
        <v>1414.83</v>
      </c>
      <c r="Q70" s="48">
        <f>SUM(W70,R70:U70)</f>
        <v>1845.6399999999999</v>
      </c>
      <c r="R70">
        <v>602.6</v>
      </c>
      <c r="S70">
        <v>430.81</v>
      </c>
      <c r="U70">
        <f>297.51+14.36</f>
        <v>311.87</v>
      </c>
      <c r="V70">
        <v>61.36</v>
      </c>
      <c r="W70">
        <v>500.36</v>
      </c>
      <c r="X70" s="42">
        <f t="shared" ref="X70" si="51">SUM(D70:M70,R70:U70,W70)-SUM(N70:O70)-Q69</f>
        <v>14.720000000000255</v>
      </c>
      <c r="Y70" s="23">
        <f t="shared" ref="Y70" si="52">SUM(D70:M70)+IF(V69-V70&gt;0,V69-V70,V69+100-V70)-J70</f>
        <v>17.820000000000007</v>
      </c>
    </row>
    <row r="71" spans="1:25">
      <c r="A71">
        <v>18</v>
      </c>
      <c r="B71" s="44">
        <v>43466</v>
      </c>
      <c r="C71" s="46" t="s">
        <v>344</v>
      </c>
      <c r="P71" s="42">
        <f t="shared" ref="P71" si="53">Q71-S71</f>
        <v>1237.1399999999999</v>
      </c>
      <c r="Q71" s="48">
        <f>SUM(W71,R71:U71)</f>
        <v>1620.35</v>
      </c>
      <c r="R71">
        <v>1102.5999999999999</v>
      </c>
      <c r="S71">
        <v>383.21</v>
      </c>
      <c r="U71">
        <f>25.05+3.97</f>
        <v>29.02</v>
      </c>
      <c r="V71">
        <v>52.21</v>
      </c>
      <c r="W71">
        <v>105.52</v>
      </c>
      <c r="X71" s="42">
        <f t="shared" ref="X71" si="54">SUM(D71:M71,R71:U71,W71)-SUM(N71:O71)-Q70</f>
        <v>-225.28999999999996</v>
      </c>
      <c r="Y71" s="23">
        <f t="shared" ref="Y71" si="55">SUM(D71:M71)+IF(V70-V71&gt;0,V70-V71,V70+100-V71)-J71</f>
        <v>9.1499999999999986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2018-2019秋账单</vt:lpstr>
      <vt:lpstr>2018-2019秋总账</vt:lpstr>
      <vt:lpstr>2018-2019春账单</vt:lpstr>
      <vt:lpstr>2018-2019春总账</vt:lpstr>
      <vt:lpstr>社会实践</vt:lpstr>
      <vt:lpstr>宜昌行</vt:lpstr>
      <vt:lpstr>2019-2020 秋账单（一）</vt:lpstr>
      <vt:lpstr>2019-2020秋账单（二）</vt:lpstr>
      <vt:lpstr>TheStart</vt:lpstr>
      <vt:lpstr>微信</vt:lpstr>
      <vt:lpstr>支付宝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沈拙言</dc:creator>
  <cp:lastModifiedBy>沈拙言</cp:lastModifiedBy>
  <cp:lastPrinted>2019-11-07T15:38:30Z</cp:lastPrinted>
  <dcterms:created xsi:type="dcterms:W3CDTF">2018-08-29T04:34:21Z</dcterms:created>
  <dcterms:modified xsi:type="dcterms:W3CDTF">2020-01-01T15:22:03Z</dcterms:modified>
</cp:coreProperties>
</file>