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University of Southampton\Seasonality Project\Covariates\Air travel data 2010-2018\Nigeria\"/>
    </mc:Choice>
  </mc:AlternateContent>
  <xr:revisionPtr revIDLastSave="105" documentId="11_578421A96ED00DFF6ED2EB072B60DDFCF630D0B7" xr6:coauthVersionLast="41" xr6:coauthVersionMax="41" xr10:uidLastSave="{917B0E80-BD83-47E9-B634-B66CCE6CF23B}"/>
  <bookViews>
    <workbookView xWindow="20370" yWindow="-4305" windowWidth="21840" windowHeight="13740" firstSheet="1" activeTab="2" xr2:uid="{00000000-000D-0000-FFFF-FFFF00000000}"/>
  </bookViews>
  <sheets>
    <sheet name="PAX 2014" sheetId="1" r:id="rId1"/>
    <sheet name="PAX 2015" sheetId="2" r:id="rId2"/>
    <sheet name="PAX 2016" sheetId="3" r:id="rId3"/>
    <sheet name="ACR 2014" sheetId="4" r:id="rId4"/>
    <sheet name="ACR 2015" sheetId="5" r:id="rId5"/>
    <sheet name="ACR 2016" sheetId="6" r:id="rId6"/>
    <sheet name="CARGO 2014" sheetId="7" r:id="rId7"/>
    <sheet name="CARGO 2015" sheetId="8" r:id="rId8"/>
    <sheet name="CARGO 2016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65" i="3" l="1"/>
  <c r="AH65" i="3"/>
  <c r="AE65" i="3"/>
  <c r="AB65" i="3"/>
  <c r="Y65" i="3"/>
  <c r="V65" i="3"/>
  <c r="S65" i="3"/>
  <c r="P65" i="3"/>
  <c r="M65" i="3"/>
  <c r="J65" i="3"/>
  <c r="G65" i="3"/>
  <c r="H38" i="3"/>
  <c r="H65" i="3"/>
  <c r="D65" i="3"/>
  <c r="AL43" i="2"/>
  <c r="AL42" i="2"/>
  <c r="AI43" i="2"/>
  <c r="AI42" i="2"/>
  <c r="AF43" i="2"/>
  <c r="AF42" i="2"/>
  <c r="AC43" i="2"/>
  <c r="AC42" i="2"/>
  <c r="Z43" i="2"/>
  <c r="Z42" i="2"/>
  <c r="W43" i="2"/>
  <c r="W42" i="2"/>
  <c r="T43" i="2"/>
  <c r="T42" i="2"/>
  <c r="Q43" i="2"/>
  <c r="Q42" i="2"/>
  <c r="N43" i="2"/>
  <c r="N42" i="2"/>
  <c r="K43" i="2"/>
  <c r="K42" i="2"/>
  <c r="H43" i="2"/>
  <c r="H42" i="2"/>
  <c r="E43" i="2"/>
  <c r="E42" i="2"/>
  <c r="AL43" i="1"/>
  <c r="AL42" i="1"/>
  <c r="AI43" i="1"/>
  <c r="AI42" i="1"/>
  <c r="AF43" i="1"/>
  <c r="AF42" i="1"/>
  <c r="AC43" i="1"/>
  <c r="AC42" i="1"/>
  <c r="Z43" i="1"/>
  <c r="Z42" i="1"/>
  <c r="W43" i="1"/>
  <c r="W42" i="1"/>
  <c r="T43" i="1"/>
  <c r="T42" i="1"/>
  <c r="Q43" i="1"/>
  <c r="Q42" i="1"/>
  <c r="N43" i="1"/>
  <c r="N42" i="1"/>
  <c r="K43" i="1"/>
  <c r="K42" i="1"/>
  <c r="H43" i="1"/>
  <c r="H42" i="1"/>
  <c r="E43" i="1"/>
  <c r="E42" i="1"/>
  <c r="D42" i="1"/>
  <c r="F42" i="1"/>
  <c r="G42" i="1"/>
  <c r="I42" i="1"/>
  <c r="J42" i="1"/>
  <c r="L42" i="1"/>
  <c r="M42" i="1"/>
  <c r="O42" i="1"/>
  <c r="P42" i="1"/>
  <c r="R42" i="1"/>
  <c r="S42" i="1"/>
  <c r="U42" i="1"/>
  <c r="V42" i="1"/>
  <c r="X42" i="1"/>
  <c r="Y42" i="1"/>
  <c r="AA42" i="1"/>
  <c r="AB42" i="1"/>
  <c r="AD42" i="1"/>
  <c r="AE42" i="1"/>
  <c r="AG42" i="1"/>
  <c r="AH42" i="1"/>
  <c r="AJ42" i="1"/>
  <c r="AK42" i="1"/>
  <c r="AP42" i="1"/>
  <c r="D43" i="1"/>
  <c r="F43" i="1"/>
  <c r="G43" i="1"/>
  <c r="I43" i="1"/>
  <c r="J43" i="1"/>
  <c r="L43" i="1"/>
  <c r="M43" i="1"/>
  <c r="O43" i="1"/>
  <c r="P43" i="1"/>
  <c r="R43" i="1"/>
  <c r="S43" i="1"/>
  <c r="U43" i="1"/>
  <c r="V43" i="1"/>
  <c r="X43" i="1"/>
  <c r="Y43" i="1"/>
  <c r="AA43" i="1"/>
  <c r="AB43" i="1"/>
  <c r="AD43" i="1"/>
  <c r="AE43" i="1"/>
  <c r="AG43" i="1"/>
  <c r="AH43" i="1"/>
  <c r="AJ43" i="1"/>
  <c r="AK43" i="1"/>
  <c r="AP43" i="1"/>
  <c r="C45" i="1"/>
  <c r="C43" i="1"/>
  <c r="C42" i="1"/>
  <c r="B43" i="1"/>
  <c r="B42" i="1"/>
  <c r="B10" i="2"/>
  <c r="B11" i="2"/>
  <c r="B12" i="2"/>
  <c r="B13" i="2"/>
  <c r="B14" i="2"/>
  <c r="B15" i="2"/>
  <c r="B16" i="2"/>
  <c r="B18" i="2"/>
  <c r="B20" i="2"/>
  <c r="B21" i="2"/>
  <c r="B22" i="2"/>
  <c r="B23" i="2"/>
  <c r="B24" i="2"/>
  <c r="B25" i="2"/>
  <c r="B27" i="2"/>
  <c r="B28" i="2"/>
  <c r="B31" i="2"/>
  <c r="B32" i="2"/>
  <c r="B33" i="2"/>
  <c r="B34" i="2"/>
  <c r="B37" i="2"/>
  <c r="B40" i="2"/>
  <c r="B42" i="2"/>
  <c r="B43" i="2"/>
  <c r="B9" i="2"/>
  <c r="B11" i="1"/>
  <c r="B12" i="1"/>
  <c r="B13" i="1"/>
  <c r="B14" i="1"/>
  <c r="B15" i="1"/>
  <c r="B16" i="1"/>
  <c r="B18" i="1"/>
  <c r="B20" i="1"/>
  <c r="B21" i="1"/>
  <c r="B22" i="1"/>
  <c r="B23" i="1"/>
  <c r="B24" i="1"/>
  <c r="B25" i="1"/>
  <c r="B27" i="1"/>
  <c r="B28" i="1"/>
  <c r="B31" i="1"/>
  <c r="B32" i="1"/>
  <c r="B33" i="1"/>
  <c r="B34" i="1"/>
  <c r="B36" i="1"/>
  <c r="B37" i="1"/>
  <c r="B39" i="1"/>
  <c r="B40" i="1"/>
  <c r="B10" i="1"/>
  <c r="B9" i="1"/>
  <c r="C44" i="1"/>
  <c r="G25" i="9" l="1"/>
  <c r="F25" i="9"/>
  <c r="E25" i="9"/>
  <c r="C25" i="9"/>
  <c r="D21" i="9"/>
  <c r="D25" i="9" s="1"/>
  <c r="B21" i="9"/>
  <c r="B25" i="9" s="1"/>
  <c r="G14" i="9"/>
  <c r="E12" i="9"/>
  <c r="E14" i="9" s="1"/>
  <c r="D12" i="9"/>
  <c r="D14" i="9" s="1"/>
  <c r="C12" i="9"/>
  <c r="C14" i="9" s="1"/>
  <c r="B12" i="9"/>
  <c r="B14" i="9" s="1"/>
  <c r="F9" i="9"/>
  <c r="F14" i="9" s="1"/>
  <c r="Y25" i="9"/>
  <c r="X25" i="9"/>
  <c r="M25" i="9"/>
  <c r="L25" i="9"/>
  <c r="G26" i="8"/>
  <c r="G28" i="8" s="1"/>
  <c r="F26" i="8"/>
  <c r="Z26" i="8" s="1"/>
  <c r="C28" i="8"/>
  <c r="D28" i="8"/>
  <c r="E28" i="8"/>
  <c r="F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B28" i="8"/>
  <c r="C14" i="8"/>
  <c r="D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4" i="8"/>
  <c r="AC16" i="8"/>
  <c r="AC26" i="8"/>
  <c r="AC28" i="8" s="1"/>
  <c r="AA26" i="8"/>
  <c r="AA25" i="8"/>
  <c r="Z25" i="8"/>
  <c r="AB25" i="8" s="1"/>
  <c r="AD25" i="8" s="1"/>
  <c r="AA24" i="8"/>
  <c r="Z24" i="8"/>
  <c r="AA23" i="8"/>
  <c r="Z23" i="8"/>
  <c r="AB23" i="8" s="1"/>
  <c r="AD23" i="8" s="1"/>
  <c r="AA22" i="8"/>
  <c r="Z22" i="8"/>
  <c r="AC14" i="8"/>
  <c r="AD13" i="8"/>
  <c r="AA12" i="8"/>
  <c r="AA14" i="8" s="1"/>
  <c r="AA16" i="8" s="1"/>
  <c r="E12" i="8"/>
  <c r="E14" i="8" s="1"/>
  <c r="D12" i="8"/>
  <c r="Z12" i="8" s="1"/>
  <c r="AA11" i="8"/>
  <c r="Z11" i="8"/>
  <c r="AB11" i="8" s="1"/>
  <c r="AD11" i="8" s="1"/>
  <c r="AA10" i="8"/>
  <c r="Z10" i="8"/>
  <c r="AA9" i="8"/>
  <c r="Z9" i="8"/>
  <c r="AB9" i="8" s="1"/>
  <c r="AD9" i="8" s="1"/>
  <c r="AC24" i="7"/>
  <c r="Y24" i="7"/>
  <c r="X24" i="7"/>
  <c r="W24" i="7"/>
  <c r="V24" i="7"/>
  <c r="U24" i="7"/>
  <c r="T24" i="7"/>
  <c r="Q24" i="7"/>
  <c r="P24" i="7"/>
  <c r="O24" i="7"/>
  <c r="N24" i="7"/>
  <c r="M24" i="7"/>
  <c r="K24" i="7"/>
  <c r="J24" i="7"/>
  <c r="I24" i="7"/>
  <c r="H24" i="7"/>
  <c r="G24" i="7"/>
  <c r="F24" i="7"/>
  <c r="E24" i="7"/>
  <c r="D24" i="7"/>
  <c r="C24" i="7"/>
  <c r="B24" i="7"/>
  <c r="AB23" i="7"/>
  <c r="AD23" i="7" s="1"/>
  <c r="AA23" i="7"/>
  <c r="Z23" i="7"/>
  <c r="AA22" i="7"/>
  <c r="AB22" i="7" s="1"/>
  <c r="AD22" i="7" s="1"/>
  <c r="Z22" i="7"/>
  <c r="AA21" i="7"/>
  <c r="L21" i="7"/>
  <c r="Z21" i="7" s="1"/>
  <c r="AB21" i="7" s="1"/>
  <c r="AD21" i="7" s="1"/>
  <c r="S20" i="7"/>
  <c r="AA20" i="7" s="1"/>
  <c r="R20" i="7"/>
  <c r="R24" i="7" s="1"/>
  <c r="AC12" i="7"/>
  <c r="Y12" i="7"/>
  <c r="X12" i="7"/>
  <c r="W12" i="7"/>
  <c r="U12" i="7"/>
  <c r="T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A11" i="7"/>
  <c r="Z11" i="7"/>
  <c r="AB11" i="7" s="1"/>
  <c r="AD11" i="7" s="1"/>
  <c r="AA10" i="7"/>
  <c r="W10" i="7"/>
  <c r="V10" i="7"/>
  <c r="V12" i="7" s="1"/>
  <c r="AA9" i="7"/>
  <c r="Z9" i="7"/>
  <c r="AB9" i="7" s="1"/>
  <c r="AD9" i="7" s="1"/>
  <c r="L9" i="7"/>
  <c r="Z8" i="7"/>
  <c r="S8" i="7"/>
  <c r="S12" i="7" s="1"/>
  <c r="R8" i="7"/>
  <c r="R12" i="7" s="1"/>
  <c r="AC41" i="5"/>
  <c r="AC42" i="5"/>
  <c r="AC42" i="4"/>
  <c r="AA41" i="4"/>
  <c r="AB41" i="4" s="1"/>
  <c r="AD41" i="4" s="1"/>
  <c r="Z41" i="4"/>
  <c r="T40" i="4"/>
  <c r="S40" i="4"/>
  <c r="AA40" i="4" s="1"/>
  <c r="R40" i="4"/>
  <c r="T39" i="4"/>
  <c r="S39" i="4"/>
  <c r="R39" i="4"/>
  <c r="Q39" i="4"/>
  <c r="P39" i="4"/>
  <c r="I39" i="4"/>
  <c r="AA39" i="4" s="1"/>
  <c r="H39" i="4"/>
  <c r="W38" i="4"/>
  <c r="V38" i="4"/>
  <c r="S38" i="4"/>
  <c r="R38" i="4"/>
  <c r="Q38" i="4"/>
  <c r="P38" i="4"/>
  <c r="O38" i="4"/>
  <c r="N38" i="4"/>
  <c r="M38" i="4"/>
  <c r="L38" i="4"/>
  <c r="I38" i="4"/>
  <c r="AA38" i="4" s="1"/>
  <c r="H38" i="4"/>
  <c r="AA37" i="4"/>
  <c r="Z37" i="4"/>
  <c r="AB37" i="4" s="1"/>
  <c r="AD37" i="4" s="1"/>
  <c r="W36" i="4"/>
  <c r="V36" i="4"/>
  <c r="J36" i="4"/>
  <c r="H36" i="4"/>
  <c r="C36" i="4"/>
  <c r="AA36" i="4" s="1"/>
  <c r="B36" i="4"/>
  <c r="Y35" i="4"/>
  <c r="X35" i="4"/>
  <c r="W35" i="4"/>
  <c r="V35" i="4"/>
  <c r="U35" i="4"/>
  <c r="T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AA35" i="4" s="1"/>
  <c r="D35" i="4"/>
  <c r="C35" i="4"/>
  <c r="B35" i="4"/>
  <c r="Z35" i="4" s="1"/>
  <c r="AA34" i="4"/>
  <c r="Z34" i="4"/>
  <c r="Y33" i="4"/>
  <c r="X33" i="4"/>
  <c r="W33" i="4"/>
  <c r="V33" i="4"/>
  <c r="S33" i="4"/>
  <c r="R33" i="4"/>
  <c r="Q33" i="4"/>
  <c r="P33" i="4"/>
  <c r="O33" i="4"/>
  <c r="N33" i="4"/>
  <c r="K33" i="4"/>
  <c r="J33" i="4"/>
  <c r="I33" i="4"/>
  <c r="H33" i="4"/>
  <c r="G33" i="4"/>
  <c r="F33" i="4"/>
  <c r="C33" i="4"/>
  <c r="B33" i="4"/>
  <c r="AA32" i="4"/>
  <c r="T32" i="4"/>
  <c r="Z32" i="4" s="1"/>
  <c r="Y31" i="4"/>
  <c r="X31" i="4"/>
  <c r="W31" i="4"/>
  <c r="V31" i="4"/>
  <c r="U31" i="4"/>
  <c r="T31" i="4"/>
  <c r="S31" i="4"/>
  <c r="R31" i="4"/>
  <c r="Q31" i="4"/>
  <c r="P31" i="4"/>
  <c r="O31" i="4"/>
  <c r="N31" i="4"/>
  <c r="K31" i="4"/>
  <c r="J31" i="4"/>
  <c r="I31" i="4"/>
  <c r="H31" i="4"/>
  <c r="G31" i="4"/>
  <c r="F31" i="4"/>
  <c r="E31" i="4"/>
  <c r="D31" i="4"/>
  <c r="C31" i="4"/>
  <c r="B31" i="4"/>
  <c r="Z31" i="4" s="1"/>
  <c r="W30" i="4"/>
  <c r="V30" i="4"/>
  <c r="U30" i="4"/>
  <c r="T30" i="4"/>
  <c r="S30" i="4"/>
  <c r="R30" i="4"/>
  <c r="K30" i="4"/>
  <c r="J30" i="4"/>
  <c r="I30" i="4"/>
  <c r="H30" i="4"/>
  <c r="G30" i="4"/>
  <c r="F30" i="4"/>
  <c r="E30" i="4"/>
  <c r="D30" i="4"/>
  <c r="C30" i="4"/>
  <c r="B30" i="4"/>
  <c r="Z30" i="4" s="1"/>
  <c r="AA29" i="4"/>
  <c r="Z29" i="4"/>
  <c r="AA28" i="4"/>
  <c r="Z28" i="4"/>
  <c r="AB28" i="4" s="1"/>
  <c r="AD28" i="4" s="1"/>
  <c r="AA27" i="4"/>
  <c r="Z27" i="4"/>
  <c r="Y26" i="4"/>
  <c r="X26" i="4"/>
  <c r="W26" i="4"/>
  <c r="V26" i="4"/>
  <c r="U26" i="4"/>
  <c r="T26" i="4"/>
  <c r="S26" i="4"/>
  <c r="R26" i="4"/>
  <c r="Q26" i="4"/>
  <c r="P26" i="4"/>
  <c r="M26" i="4"/>
  <c r="L26" i="4"/>
  <c r="K26" i="4"/>
  <c r="J26" i="4"/>
  <c r="I26" i="4"/>
  <c r="H26" i="4"/>
  <c r="G26" i="4"/>
  <c r="F26" i="4"/>
  <c r="E26" i="4"/>
  <c r="AA26" i="4" s="1"/>
  <c r="D26" i="4"/>
  <c r="C26" i="4"/>
  <c r="B26" i="4"/>
  <c r="U25" i="4"/>
  <c r="AA25" i="4" s="1"/>
  <c r="T25" i="4"/>
  <c r="Z25" i="4" s="1"/>
  <c r="Y24" i="4"/>
  <c r="X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AA24" i="4" s="1"/>
  <c r="D24" i="4"/>
  <c r="C24" i="4"/>
  <c r="B24" i="4"/>
  <c r="Z24" i="4" s="1"/>
  <c r="AA23" i="4"/>
  <c r="Z23" i="4"/>
  <c r="AA22" i="4"/>
  <c r="R22" i="4"/>
  <c r="Z22" i="4" s="1"/>
  <c r="AB22" i="4" s="1"/>
  <c r="AD22" i="4" s="1"/>
  <c r="AA21" i="4"/>
  <c r="Z21" i="4"/>
  <c r="Y20" i="4"/>
  <c r="X20" i="4"/>
  <c r="W20" i="4"/>
  <c r="V20" i="4"/>
  <c r="U20" i="4"/>
  <c r="T20" i="4"/>
  <c r="S20" i="4"/>
  <c r="R20" i="4"/>
  <c r="O20" i="4"/>
  <c r="N20" i="4"/>
  <c r="G20" i="4"/>
  <c r="F20" i="4"/>
  <c r="E20" i="4"/>
  <c r="D20" i="4"/>
  <c r="C20" i="4"/>
  <c r="AA20" i="4" s="1"/>
  <c r="B20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AA19" i="4" s="1"/>
  <c r="F19" i="4"/>
  <c r="E19" i="4"/>
  <c r="D19" i="4"/>
  <c r="AA18" i="4"/>
  <c r="B18" i="4"/>
  <c r="Z18" i="4" s="1"/>
  <c r="G17" i="4"/>
  <c r="F17" i="4"/>
  <c r="E17" i="4"/>
  <c r="D17" i="4"/>
  <c r="C17" i="4"/>
  <c r="B17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Z16" i="4" s="1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Z15" i="4" s="1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Z14" i="4" s="1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Z13" i="4" s="1"/>
  <c r="AA12" i="4"/>
  <c r="Y12" i="4"/>
  <c r="X12" i="4"/>
  <c r="W12" i="4"/>
  <c r="V12" i="4"/>
  <c r="U12" i="4"/>
  <c r="T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Y9" i="4"/>
  <c r="X9" i="4"/>
  <c r="X42" i="4" s="1"/>
  <c r="W9" i="4"/>
  <c r="V9" i="4"/>
  <c r="U9" i="4"/>
  <c r="T9" i="4"/>
  <c r="T42" i="4" s="1"/>
  <c r="S9" i="4"/>
  <c r="R9" i="4"/>
  <c r="Q9" i="4"/>
  <c r="P9" i="4"/>
  <c r="O9" i="4"/>
  <c r="N9" i="4"/>
  <c r="M9" i="4"/>
  <c r="L9" i="4"/>
  <c r="L42" i="4" s="1"/>
  <c r="K9" i="4"/>
  <c r="J9" i="4"/>
  <c r="I9" i="4"/>
  <c r="H9" i="4"/>
  <c r="G9" i="4"/>
  <c r="F9" i="4"/>
  <c r="E9" i="4"/>
  <c r="D9" i="4"/>
  <c r="D42" i="4" s="1"/>
  <c r="C9" i="4"/>
  <c r="B9" i="4"/>
  <c r="AP42" i="2"/>
  <c r="AP44" i="2" s="1"/>
  <c r="AP43" i="2"/>
  <c r="AN41" i="1"/>
  <c r="AM41" i="1"/>
  <c r="AN40" i="1"/>
  <c r="AM40" i="1"/>
  <c r="AN39" i="1"/>
  <c r="AM39" i="1"/>
  <c r="AH38" i="1"/>
  <c r="AG38" i="1"/>
  <c r="AB38" i="1"/>
  <c r="AA38" i="1"/>
  <c r="Y38" i="1"/>
  <c r="X38" i="1"/>
  <c r="V38" i="1"/>
  <c r="U38" i="1"/>
  <c r="S38" i="1"/>
  <c r="R38" i="1"/>
  <c r="M38" i="1"/>
  <c r="L38" i="1"/>
  <c r="AM38" i="1" s="1"/>
  <c r="AN37" i="1"/>
  <c r="AM37" i="1"/>
  <c r="AH36" i="1"/>
  <c r="AG36" i="1"/>
  <c r="L36" i="1"/>
  <c r="D36" i="1"/>
  <c r="C36" i="1"/>
  <c r="AK35" i="1"/>
  <c r="AJ35" i="1"/>
  <c r="AH35" i="1"/>
  <c r="AG35" i="1"/>
  <c r="AE35" i="1"/>
  <c r="AD35" i="1"/>
  <c r="Y35" i="1"/>
  <c r="X35" i="1"/>
  <c r="V35" i="1"/>
  <c r="U35" i="1"/>
  <c r="S35" i="1"/>
  <c r="R35" i="1"/>
  <c r="P35" i="1"/>
  <c r="O35" i="1"/>
  <c r="M35" i="1"/>
  <c r="L35" i="1"/>
  <c r="J35" i="1"/>
  <c r="I35" i="1"/>
  <c r="G35" i="1"/>
  <c r="F35" i="1"/>
  <c r="D35" i="1"/>
  <c r="AN35" i="1" s="1"/>
  <c r="C35" i="1"/>
  <c r="AM35" i="1" s="1"/>
  <c r="AN34" i="1"/>
  <c r="AM34" i="1"/>
  <c r="AK33" i="1"/>
  <c r="AJ33" i="1"/>
  <c r="AH33" i="1"/>
  <c r="AG33" i="1"/>
  <c r="AB33" i="1"/>
  <c r="AA33" i="1"/>
  <c r="Y33" i="1"/>
  <c r="X33" i="1"/>
  <c r="V33" i="1"/>
  <c r="U33" i="1"/>
  <c r="P33" i="1"/>
  <c r="O33" i="1"/>
  <c r="M33" i="1"/>
  <c r="L33" i="1"/>
  <c r="J33" i="1"/>
  <c r="I33" i="1"/>
  <c r="D33" i="1"/>
  <c r="C33" i="1"/>
  <c r="AN32" i="1"/>
  <c r="AJ32" i="1"/>
  <c r="AM32" i="1" s="1"/>
  <c r="AK31" i="1"/>
  <c r="AJ31" i="1"/>
  <c r="AH31" i="1"/>
  <c r="AG31" i="1"/>
  <c r="AE31" i="1"/>
  <c r="AD31" i="1"/>
  <c r="AB31" i="1"/>
  <c r="AA31" i="1"/>
  <c r="Y31" i="1"/>
  <c r="X31" i="1"/>
  <c r="V31" i="1"/>
  <c r="U31" i="1"/>
  <c r="P31" i="1"/>
  <c r="O31" i="1"/>
  <c r="M31" i="1"/>
  <c r="L31" i="1"/>
  <c r="J31" i="1"/>
  <c r="I31" i="1"/>
  <c r="G31" i="1"/>
  <c r="F31" i="1"/>
  <c r="D31" i="1"/>
  <c r="AN31" i="1" s="1"/>
  <c r="C31" i="1"/>
  <c r="AH30" i="1"/>
  <c r="AG30" i="1"/>
  <c r="AE30" i="1"/>
  <c r="AD30" i="1"/>
  <c r="AB30" i="1"/>
  <c r="AA30" i="1"/>
  <c r="P30" i="1"/>
  <c r="O30" i="1"/>
  <c r="M30" i="1"/>
  <c r="L30" i="1"/>
  <c r="J30" i="1"/>
  <c r="I30" i="1"/>
  <c r="G30" i="1"/>
  <c r="F30" i="1"/>
  <c r="D30" i="1"/>
  <c r="AN30" i="1" s="1"/>
  <c r="C30" i="1"/>
  <c r="AM30" i="1" s="1"/>
  <c r="AN29" i="1"/>
  <c r="AM29" i="1"/>
  <c r="AN28" i="1"/>
  <c r="AM28" i="1"/>
  <c r="AN27" i="1"/>
  <c r="L27" i="1"/>
  <c r="AM27" i="1" s="1"/>
  <c r="AK26" i="1"/>
  <c r="AJ26" i="1"/>
  <c r="AH26" i="1"/>
  <c r="AG26" i="1"/>
  <c r="AE26" i="1"/>
  <c r="AD26" i="1"/>
  <c r="AB26" i="1"/>
  <c r="AA26" i="1"/>
  <c r="Y26" i="1"/>
  <c r="X26" i="1"/>
  <c r="S26" i="1"/>
  <c r="R26" i="1"/>
  <c r="P26" i="1"/>
  <c r="O26" i="1"/>
  <c r="M26" i="1"/>
  <c r="L26" i="1"/>
  <c r="J26" i="1"/>
  <c r="I26" i="1"/>
  <c r="G26" i="1"/>
  <c r="F26" i="1"/>
  <c r="D26" i="1"/>
  <c r="AN26" i="1" s="1"/>
  <c r="C26" i="1"/>
  <c r="AM26" i="1" s="1"/>
  <c r="AE25" i="1"/>
  <c r="AN25" i="1" s="1"/>
  <c r="AD25" i="1"/>
  <c r="AM25" i="1" s="1"/>
  <c r="AK24" i="1"/>
  <c r="AJ24" i="1"/>
  <c r="AE24" i="1"/>
  <c r="AD24" i="1"/>
  <c r="AB24" i="1"/>
  <c r="AA24" i="1"/>
  <c r="Y24" i="1"/>
  <c r="X24" i="1"/>
  <c r="V24" i="1"/>
  <c r="U24" i="1"/>
  <c r="S24" i="1"/>
  <c r="R24" i="1"/>
  <c r="P24" i="1"/>
  <c r="O24" i="1"/>
  <c r="M24" i="1"/>
  <c r="L24" i="1"/>
  <c r="J24" i="1"/>
  <c r="I24" i="1"/>
  <c r="G24" i="1"/>
  <c r="F24" i="1"/>
  <c r="D24" i="1"/>
  <c r="C24" i="1"/>
  <c r="AN23" i="1"/>
  <c r="AM23" i="1"/>
  <c r="AN22" i="1"/>
  <c r="AG22" i="1"/>
  <c r="AM22" i="1" s="1"/>
  <c r="AN21" i="1"/>
  <c r="AG21" i="1"/>
  <c r="AM21" i="1" s="1"/>
  <c r="AK20" i="1"/>
  <c r="AJ20" i="1"/>
  <c r="AH20" i="1"/>
  <c r="AG20" i="1"/>
  <c r="AE20" i="1"/>
  <c r="AD20" i="1"/>
  <c r="AB20" i="1"/>
  <c r="AA20" i="1"/>
  <c r="V20" i="1"/>
  <c r="U20" i="1"/>
  <c r="J20" i="1"/>
  <c r="I20" i="1"/>
  <c r="G20" i="1"/>
  <c r="F20" i="1"/>
  <c r="D20" i="1"/>
  <c r="AN20" i="1" s="1"/>
  <c r="C20" i="1"/>
  <c r="AK19" i="1"/>
  <c r="AJ19" i="1"/>
  <c r="AH19" i="1"/>
  <c r="AG19" i="1"/>
  <c r="AE19" i="1"/>
  <c r="AD19" i="1"/>
  <c r="AB19" i="1"/>
  <c r="AA19" i="1"/>
  <c r="Y19" i="1"/>
  <c r="X19" i="1"/>
  <c r="V19" i="1"/>
  <c r="U19" i="1"/>
  <c r="S19" i="1"/>
  <c r="R19" i="1"/>
  <c r="P19" i="1"/>
  <c r="O19" i="1"/>
  <c r="M19" i="1"/>
  <c r="L19" i="1"/>
  <c r="J19" i="1"/>
  <c r="I19" i="1"/>
  <c r="G19" i="1"/>
  <c r="F19" i="1"/>
  <c r="D19" i="1"/>
  <c r="AN19" i="1" s="1"/>
  <c r="C19" i="1"/>
  <c r="AN18" i="1"/>
  <c r="I18" i="1"/>
  <c r="F18" i="1"/>
  <c r="AM18" i="1" s="1"/>
  <c r="X17" i="1"/>
  <c r="J17" i="1"/>
  <c r="I17" i="1"/>
  <c r="G17" i="1"/>
  <c r="F17" i="1"/>
  <c r="D17" i="1"/>
  <c r="C17" i="1"/>
  <c r="AK16" i="1"/>
  <c r="AJ16" i="1"/>
  <c r="AE16" i="1"/>
  <c r="AD16" i="1"/>
  <c r="AB16" i="1"/>
  <c r="AA16" i="1"/>
  <c r="Y16" i="1"/>
  <c r="X16" i="1"/>
  <c r="V16" i="1"/>
  <c r="U16" i="1"/>
  <c r="S16" i="1"/>
  <c r="R16" i="1"/>
  <c r="P16" i="1"/>
  <c r="O16" i="1"/>
  <c r="M16" i="1"/>
  <c r="L16" i="1"/>
  <c r="J16" i="1"/>
  <c r="I16" i="1"/>
  <c r="G16" i="1"/>
  <c r="F16" i="1"/>
  <c r="D16" i="1"/>
  <c r="C16" i="1"/>
  <c r="AK15" i="1"/>
  <c r="AJ15" i="1"/>
  <c r="AH15" i="1"/>
  <c r="AG15" i="1"/>
  <c r="AE15" i="1"/>
  <c r="AD15" i="1"/>
  <c r="AB15" i="1"/>
  <c r="AA15" i="1"/>
  <c r="Y15" i="1"/>
  <c r="X15" i="1"/>
  <c r="V15" i="1"/>
  <c r="U15" i="1"/>
  <c r="S15" i="1"/>
  <c r="R15" i="1"/>
  <c r="P15" i="1"/>
  <c r="O15" i="1"/>
  <c r="M15" i="1"/>
  <c r="L15" i="1"/>
  <c r="J15" i="1"/>
  <c r="I15" i="1"/>
  <c r="G15" i="1"/>
  <c r="F15" i="1"/>
  <c r="D15" i="1"/>
  <c r="C15" i="1"/>
  <c r="AM15" i="1" s="1"/>
  <c r="AK14" i="1"/>
  <c r="AJ14" i="1"/>
  <c r="AH14" i="1"/>
  <c r="AG14" i="1"/>
  <c r="AE14" i="1"/>
  <c r="AD14" i="1"/>
  <c r="Y14" i="1"/>
  <c r="X14" i="1"/>
  <c r="V14" i="1"/>
  <c r="U14" i="1"/>
  <c r="S14" i="1"/>
  <c r="R14" i="1"/>
  <c r="P14" i="1"/>
  <c r="O14" i="1"/>
  <c r="M14" i="1"/>
  <c r="L14" i="1"/>
  <c r="J14" i="1"/>
  <c r="I14" i="1"/>
  <c r="G14" i="1"/>
  <c r="F14" i="1"/>
  <c r="D14" i="1"/>
  <c r="C14" i="1"/>
  <c r="AK13" i="1"/>
  <c r="AJ13" i="1"/>
  <c r="AH13" i="1"/>
  <c r="AG13" i="1"/>
  <c r="AE13" i="1"/>
  <c r="AD13" i="1"/>
  <c r="Y13" i="1"/>
  <c r="X13" i="1"/>
  <c r="V13" i="1"/>
  <c r="U13" i="1"/>
  <c r="S13" i="1"/>
  <c r="R13" i="1"/>
  <c r="P13" i="1"/>
  <c r="O13" i="1"/>
  <c r="M13" i="1"/>
  <c r="L13" i="1"/>
  <c r="J13" i="1"/>
  <c r="I13" i="1"/>
  <c r="G13" i="1"/>
  <c r="F13" i="1"/>
  <c r="D13" i="1"/>
  <c r="C13" i="1"/>
  <c r="AK12" i="1"/>
  <c r="AJ12" i="1"/>
  <c r="AH12" i="1"/>
  <c r="AG12" i="1"/>
  <c r="AE12" i="1"/>
  <c r="AD12" i="1"/>
  <c r="AB12" i="1"/>
  <c r="AA12" i="1"/>
  <c r="Y12" i="1"/>
  <c r="X12" i="1"/>
  <c r="V12" i="1"/>
  <c r="U12" i="1"/>
  <c r="S12" i="1"/>
  <c r="R12" i="1"/>
  <c r="P12" i="1"/>
  <c r="O12" i="1"/>
  <c r="M12" i="1"/>
  <c r="L12" i="1"/>
  <c r="J12" i="1"/>
  <c r="I12" i="1"/>
  <c r="G12" i="1"/>
  <c r="F12" i="1"/>
  <c r="D12" i="1"/>
  <c r="C12" i="1"/>
  <c r="AM12" i="1" s="1"/>
  <c r="AK11" i="1"/>
  <c r="AJ11" i="1"/>
  <c r="AH11" i="1"/>
  <c r="AG11" i="1"/>
  <c r="AE11" i="1"/>
  <c r="AD11" i="1"/>
  <c r="AB11" i="1"/>
  <c r="AA11" i="1"/>
  <c r="Y11" i="1"/>
  <c r="X11" i="1"/>
  <c r="V11" i="1"/>
  <c r="U11" i="1"/>
  <c r="S11" i="1"/>
  <c r="R11" i="1"/>
  <c r="P11" i="1"/>
  <c r="O11" i="1"/>
  <c r="M11" i="1"/>
  <c r="L11" i="1"/>
  <c r="J11" i="1"/>
  <c r="I11" i="1"/>
  <c r="G11" i="1"/>
  <c r="F11" i="1"/>
  <c r="D11" i="1"/>
  <c r="C11" i="1"/>
  <c r="AM11" i="1" s="1"/>
  <c r="AK10" i="1"/>
  <c r="AJ10" i="1"/>
  <c r="AH10" i="1"/>
  <c r="AG10" i="1"/>
  <c r="AE10" i="1"/>
  <c r="AD10" i="1"/>
  <c r="AB10" i="1"/>
  <c r="AA10" i="1"/>
  <c r="Y10" i="1"/>
  <c r="X10" i="1"/>
  <c r="V10" i="1"/>
  <c r="U10" i="1"/>
  <c r="P10" i="1"/>
  <c r="O10" i="1"/>
  <c r="M10" i="1"/>
  <c r="L10" i="1"/>
  <c r="J10" i="1"/>
  <c r="I10" i="1"/>
  <c r="G10" i="1"/>
  <c r="F10" i="1"/>
  <c r="D10" i="1"/>
  <c r="C10" i="1"/>
  <c r="AK9" i="1"/>
  <c r="AJ9" i="1"/>
  <c r="AJ44" i="1" s="1"/>
  <c r="AH9" i="1"/>
  <c r="AG9" i="1"/>
  <c r="AE9" i="1"/>
  <c r="AD9" i="1"/>
  <c r="AD44" i="1" s="1"/>
  <c r="AB9" i="1"/>
  <c r="AA9" i="1"/>
  <c r="Y9" i="1"/>
  <c r="X9" i="1"/>
  <c r="X44" i="1" s="1"/>
  <c r="V9" i="1"/>
  <c r="U9" i="1"/>
  <c r="S9" i="1"/>
  <c r="R9" i="1"/>
  <c r="R44" i="1" s="1"/>
  <c r="P9" i="1"/>
  <c r="O9" i="1"/>
  <c r="M9" i="1"/>
  <c r="L9" i="1"/>
  <c r="L44" i="1" s="1"/>
  <c r="J9" i="1"/>
  <c r="I9" i="1"/>
  <c r="G9" i="1"/>
  <c r="F9" i="1"/>
  <c r="F44" i="1" s="1"/>
  <c r="D9" i="1"/>
  <c r="AN9" i="1" s="1"/>
  <c r="C9" i="1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C76" i="6"/>
  <c r="AA76" i="6" s="1"/>
  <c r="B76" i="6"/>
  <c r="AA75" i="6"/>
  <c r="Z75" i="6"/>
  <c r="AB75" i="6" s="1"/>
  <c r="AA74" i="6"/>
  <c r="AB74" i="6" s="1"/>
  <c r="Z74" i="6"/>
  <c r="AA73" i="6"/>
  <c r="Z73" i="6"/>
  <c r="AB73" i="6" s="1"/>
  <c r="AA72" i="6"/>
  <c r="Z72" i="6"/>
  <c r="AA71" i="6"/>
  <c r="AB71" i="6" s="1"/>
  <c r="Z71" i="6"/>
  <c r="AA70" i="6"/>
  <c r="Z70" i="6"/>
  <c r="AA69" i="6"/>
  <c r="Z69" i="6"/>
  <c r="AA68" i="6"/>
  <c r="Z68" i="6"/>
  <c r="AB68" i="6" s="1"/>
  <c r="AB67" i="6"/>
  <c r="AA67" i="6"/>
  <c r="Z67" i="6"/>
  <c r="AA66" i="6"/>
  <c r="Z66" i="6"/>
  <c r="AA65" i="6"/>
  <c r="Z65" i="6"/>
  <c r="AA64" i="6"/>
  <c r="Z64" i="6"/>
  <c r="AB64" i="6" s="1"/>
  <c r="AA63" i="6"/>
  <c r="Z63" i="6"/>
  <c r="AB63" i="6" s="1"/>
  <c r="AA62" i="6"/>
  <c r="AB62" i="6" s="1"/>
  <c r="Z62" i="6"/>
  <c r="AA61" i="6"/>
  <c r="Z61" i="6"/>
  <c r="AB61" i="6" s="1"/>
  <c r="AA60" i="6"/>
  <c r="Z60" i="6"/>
  <c r="AA59" i="6"/>
  <c r="Z59" i="6"/>
  <c r="AB59" i="6" s="1"/>
  <c r="AA58" i="6"/>
  <c r="AB58" i="6" s="1"/>
  <c r="Z58" i="6"/>
  <c r="AA57" i="6"/>
  <c r="Z57" i="6"/>
  <c r="AB57" i="6" s="1"/>
  <c r="AA56" i="6"/>
  <c r="Z56" i="6"/>
  <c r="AA55" i="6"/>
  <c r="Z55" i="6"/>
  <c r="AB55" i="6" s="1"/>
  <c r="AA54" i="6"/>
  <c r="Z54" i="6"/>
  <c r="AA53" i="6"/>
  <c r="Z53" i="6"/>
  <c r="AB53" i="6" s="1"/>
  <c r="AA52" i="6"/>
  <c r="Z52" i="6"/>
  <c r="AB52" i="6" s="1"/>
  <c r="AA51" i="6"/>
  <c r="AB51" i="6" s="1"/>
  <c r="Z51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AA39" i="6"/>
  <c r="Z39" i="6"/>
  <c r="AB39" i="6" s="1"/>
  <c r="AB38" i="6"/>
  <c r="AA38" i="6"/>
  <c r="Z38" i="6"/>
  <c r="AA37" i="6"/>
  <c r="Z37" i="6"/>
  <c r="AA36" i="6"/>
  <c r="Z36" i="6"/>
  <c r="AB36" i="6" s="1"/>
  <c r="AA35" i="6"/>
  <c r="Z35" i="6"/>
  <c r="AB35" i="6" s="1"/>
  <c r="AA34" i="6"/>
  <c r="Z34" i="6"/>
  <c r="AB34" i="6" s="1"/>
  <c r="AA33" i="6"/>
  <c r="AB33" i="6" s="1"/>
  <c r="Z33" i="6"/>
  <c r="AA32" i="6"/>
  <c r="Z32" i="6"/>
  <c r="AB32" i="6" s="1"/>
  <c r="AA31" i="6"/>
  <c r="Z31" i="6"/>
  <c r="AA30" i="6"/>
  <c r="Z30" i="6"/>
  <c r="AB30" i="6" s="1"/>
  <c r="AA29" i="6"/>
  <c r="Z29" i="6"/>
  <c r="AA28" i="6"/>
  <c r="Z28" i="6"/>
  <c r="AB28" i="6" s="1"/>
  <c r="AA27" i="6"/>
  <c r="Z27" i="6"/>
  <c r="AB27" i="6" s="1"/>
  <c r="AA26" i="6"/>
  <c r="AB26" i="6" s="1"/>
  <c r="Z26" i="6"/>
  <c r="AA25" i="6"/>
  <c r="Z25" i="6"/>
  <c r="AA24" i="6"/>
  <c r="Z24" i="6"/>
  <c r="AA23" i="6"/>
  <c r="Z23" i="6"/>
  <c r="AB23" i="6" s="1"/>
  <c r="AB22" i="6"/>
  <c r="AA22" i="6"/>
  <c r="Z22" i="6"/>
  <c r="AA21" i="6"/>
  <c r="Z21" i="6"/>
  <c r="AA20" i="6"/>
  <c r="Z20" i="6"/>
  <c r="AB20" i="6" s="1"/>
  <c r="AA19" i="6"/>
  <c r="Z19" i="6"/>
  <c r="AB19" i="6" s="1"/>
  <c r="AA18" i="6"/>
  <c r="Z18" i="6"/>
  <c r="AA17" i="6"/>
  <c r="AB17" i="6" s="1"/>
  <c r="Z17" i="6"/>
  <c r="AA16" i="6"/>
  <c r="Z16" i="6"/>
  <c r="AA15" i="6"/>
  <c r="Z15" i="6"/>
  <c r="AB14" i="6"/>
  <c r="AA14" i="6"/>
  <c r="Z14" i="6"/>
  <c r="AA13" i="6"/>
  <c r="Z13" i="6"/>
  <c r="AA12" i="6"/>
  <c r="Z12" i="6"/>
  <c r="AB12" i="6" s="1"/>
  <c r="AA11" i="6"/>
  <c r="Z11" i="6"/>
  <c r="AB11" i="6" s="1"/>
  <c r="AA10" i="6"/>
  <c r="AB10" i="6" s="1"/>
  <c r="Z10" i="6"/>
  <c r="AA9" i="6"/>
  <c r="AB9" i="6" s="1"/>
  <c r="Z9" i="6"/>
  <c r="C41" i="5"/>
  <c r="D41" i="5"/>
  <c r="E41" i="5"/>
  <c r="E43" i="5" s="1"/>
  <c r="F41" i="5"/>
  <c r="F43" i="5" s="1"/>
  <c r="G41" i="5"/>
  <c r="H41" i="5"/>
  <c r="I41" i="5"/>
  <c r="J41" i="5"/>
  <c r="J43" i="5" s="1"/>
  <c r="K41" i="5"/>
  <c r="N41" i="5"/>
  <c r="N43" i="5" s="1"/>
  <c r="O41" i="5"/>
  <c r="P41" i="5"/>
  <c r="Q41" i="5"/>
  <c r="R41" i="5"/>
  <c r="V41" i="5"/>
  <c r="W41" i="5"/>
  <c r="C42" i="5"/>
  <c r="C43" i="5" s="1"/>
  <c r="D42" i="5"/>
  <c r="D43" i="5" s="1"/>
  <c r="E42" i="5"/>
  <c r="F42" i="5"/>
  <c r="G42" i="5"/>
  <c r="G43" i="5" s="1"/>
  <c r="H42" i="5"/>
  <c r="H43" i="5" s="1"/>
  <c r="I42" i="5"/>
  <c r="J42" i="5"/>
  <c r="K42" i="5"/>
  <c r="K43" i="5" s="1"/>
  <c r="L42" i="5"/>
  <c r="M42" i="5"/>
  <c r="N42" i="5"/>
  <c r="O42" i="5"/>
  <c r="O43" i="5" s="1"/>
  <c r="P42" i="5"/>
  <c r="P43" i="5" s="1"/>
  <c r="Q42" i="5"/>
  <c r="S42" i="5"/>
  <c r="T42" i="5"/>
  <c r="U42" i="5"/>
  <c r="V42" i="5"/>
  <c r="W42" i="5"/>
  <c r="X42" i="5"/>
  <c r="Y42" i="5"/>
  <c r="B42" i="5"/>
  <c r="B41" i="5"/>
  <c r="AC43" i="5"/>
  <c r="Q43" i="5"/>
  <c r="I43" i="5"/>
  <c r="AA40" i="5"/>
  <c r="Z40" i="5"/>
  <c r="AB40" i="5" s="1"/>
  <c r="AD40" i="5" s="1"/>
  <c r="AA39" i="5"/>
  <c r="Z39" i="5"/>
  <c r="AB39" i="5" s="1"/>
  <c r="AD39" i="5" s="1"/>
  <c r="AA38" i="5"/>
  <c r="Z38" i="5"/>
  <c r="AB38" i="5" s="1"/>
  <c r="AD38" i="5" s="1"/>
  <c r="AA37" i="5"/>
  <c r="Z37" i="5"/>
  <c r="AB37" i="5" s="1"/>
  <c r="AD37" i="5" s="1"/>
  <c r="AA36" i="5"/>
  <c r="Z36" i="5"/>
  <c r="AB36" i="5" s="1"/>
  <c r="AD36" i="5" s="1"/>
  <c r="AA35" i="5"/>
  <c r="Z35" i="5"/>
  <c r="AB35" i="5" s="1"/>
  <c r="AD35" i="5" s="1"/>
  <c r="AA34" i="5"/>
  <c r="Z34" i="5"/>
  <c r="AB34" i="5" s="1"/>
  <c r="AD34" i="5" s="1"/>
  <c r="AA33" i="5"/>
  <c r="Z33" i="5"/>
  <c r="AB33" i="5" s="1"/>
  <c r="AD33" i="5" s="1"/>
  <c r="AA32" i="5"/>
  <c r="Z32" i="5"/>
  <c r="AB32" i="5" s="1"/>
  <c r="AD32" i="5" s="1"/>
  <c r="AA31" i="5"/>
  <c r="R31" i="5"/>
  <c r="R42" i="5" s="1"/>
  <c r="S30" i="5"/>
  <c r="AA30" i="5" s="1"/>
  <c r="R30" i="5"/>
  <c r="Z30" i="5" s="1"/>
  <c r="AA29" i="5"/>
  <c r="Z29" i="5"/>
  <c r="AB29" i="5" s="1"/>
  <c r="AD29" i="5" s="1"/>
  <c r="AA28" i="5"/>
  <c r="Z28" i="5"/>
  <c r="AA27" i="5"/>
  <c r="Z27" i="5"/>
  <c r="Y26" i="5"/>
  <c r="Y41" i="5" s="1"/>
  <c r="X26" i="5"/>
  <c r="X41" i="5" s="1"/>
  <c r="W26" i="5"/>
  <c r="V26" i="5"/>
  <c r="Z26" i="5" s="1"/>
  <c r="AA25" i="5"/>
  <c r="AB25" i="5" s="1"/>
  <c r="AD25" i="5" s="1"/>
  <c r="Z25" i="5"/>
  <c r="AA24" i="5"/>
  <c r="Z24" i="5"/>
  <c r="AA23" i="5"/>
  <c r="AB23" i="5" s="1"/>
  <c r="AD23" i="5" s="1"/>
  <c r="Z23" i="5"/>
  <c r="AA22" i="5"/>
  <c r="Z22" i="5"/>
  <c r="AA21" i="5"/>
  <c r="AB21" i="5" s="1"/>
  <c r="AD21" i="5" s="1"/>
  <c r="Z21" i="5"/>
  <c r="AA20" i="5"/>
  <c r="Z20" i="5"/>
  <c r="U19" i="5"/>
  <c r="T19" i="5"/>
  <c r="T41" i="5" s="1"/>
  <c r="S19" i="5"/>
  <c r="S41" i="5" s="1"/>
  <c r="R19" i="5"/>
  <c r="M19" i="5"/>
  <c r="L19" i="5"/>
  <c r="L41" i="5" s="1"/>
  <c r="AA18" i="5"/>
  <c r="Z18" i="5"/>
  <c r="AB18" i="5" s="1"/>
  <c r="AD18" i="5" s="1"/>
  <c r="AA17" i="5"/>
  <c r="Z17" i="5"/>
  <c r="AA16" i="5"/>
  <c r="Z16" i="5"/>
  <c r="AB16" i="5" s="1"/>
  <c r="AD16" i="5" s="1"/>
  <c r="AA15" i="5"/>
  <c r="Z15" i="5"/>
  <c r="AA14" i="5"/>
  <c r="Z14" i="5"/>
  <c r="AB14" i="5" s="1"/>
  <c r="AD14" i="5" s="1"/>
  <c r="AA13" i="5"/>
  <c r="Z13" i="5"/>
  <c r="AA12" i="5"/>
  <c r="Z12" i="5"/>
  <c r="AB12" i="5" s="1"/>
  <c r="AD12" i="5" s="1"/>
  <c r="AA11" i="5"/>
  <c r="Z11" i="5"/>
  <c r="AA10" i="5"/>
  <c r="Z10" i="5"/>
  <c r="AB10" i="5" s="1"/>
  <c r="AD10" i="5" s="1"/>
  <c r="AA9" i="5"/>
  <c r="AA42" i="5" s="1"/>
  <c r="Z9" i="5"/>
  <c r="AA8" i="5"/>
  <c r="Z8" i="5"/>
  <c r="AB8" i="5" s="1"/>
  <c r="AJ65" i="3"/>
  <c r="AI65" i="3"/>
  <c r="AG65" i="3"/>
  <c r="AF65" i="3"/>
  <c r="AD65" i="3"/>
  <c r="AC65" i="3"/>
  <c r="AA65" i="3"/>
  <c r="Z65" i="3"/>
  <c r="X65" i="3"/>
  <c r="W65" i="3"/>
  <c r="U65" i="3"/>
  <c r="T65" i="3"/>
  <c r="R65" i="3"/>
  <c r="Q65" i="3"/>
  <c r="O65" i="3"/>
  <c r="N65" i="3"/>
  <c r="L65" i="3"/>
  <c r="K65" i="3"/>
  <c r="I65" i="3"/>
  <c r="F65" i="3"/>
  <c r="E65" i="3"/>
  <c r="C65" i="3"/>
  <c r="B65" i="3"/>
  <c r="AM64" i="3"/>
  <c r="AL64" i="3"/>
  <c r="AM63" i="3"/>
  <c r="AL63" i="3"/>
  <c r="AN63" i="3" s="1"/>
  <c r="AM62" i="3"/>
  <c r="AL62" i="3"/>
  <c r="AM61" i="3"/>
  <c r="AL61" i="3"/>
  <c r="AM60" i="3"/>
  <c r="AL60" i="3"/>
  <c r="AM59" i="3"/>
  <c r="AL59" i="3"/>
  <c r="AN59" i="3" s="1"/>
  <c r="AM58" i="3"/>
  <c r="AL58" i="3"/>
  <c r="AM57" i="3"/>
  <c r="AL57" i="3"/>
  <c r="AM56" i="3"/>
  <c r="AL56" i="3"/>
  <c r="AM55" i="3"/>
  <c r="AL55" i="3"/>
  <c r="AN55" i="3" s="1"/>
  <c r="AM54" i="3"/>
  <c r="AL54" i="3"/>
  <c r="AM53" i="3"/>
  <c r="AL53" i="3"/>
  <c r="AM52" i="3"/>
  <c r="AL52" i="3"/>
  <c r="AM51" i="3"/>
  <c r="AL51" i="3"/>
  <c r="AN51" i="3" s="1"/>
  <c r="AM50" i="3"/>
  <c r="AL50" i="3"/>
  <c r="AM49" i="3"/>
  <c r="AL49" i="3"/>
  <c r="AM48" i="3"/>
  <c r="AL48" i="3"/>
  <c r="AN48" i="3" s="1"/>
  <c r="AJ38" i="3"/>
  <c r="AI38" i="3"/>
  <c r="AG38" i="3"/>
  <c r="AF38" i="3"/>
  <c r="AD38" i="3"/>
  <c r="AC38" i="3"/>
  <c r="AA38" i="3"/>
  <c r="Z38" i="3"/>
  <c r="X38" i="3"/>
  <c r="W38" i="3"/>
  <c r="U38" i="3"/>
  <c r="T38" i="3"/>
  <c r="R38" i="3"/>
  <c r="Q38" i="3"/>
  <c r="O38" i="3"/>
  <c r="N38" i="3"/>
  <c r="L38" i="3"/>
  <c r="K38" i="3"/>
  <c r="I38" i="3"/>
  <c r="J38" i="3" s="1"/>
  <c r="F38" i="3"/>
  <c r="E38" i="3"/>
  <c r="C38" i="3"/>
  <c r="B38" i="3"/>
  <c r="D38" i="3" s="1"/>
  <c r="AM37" i="3"/>
  <c r="AL37" i="3"/>
  <c r="AN37" i="3" s="1"/>
  <c r="AM36" i="3"/>
  <c r="AL36" i="3"/>
  <c r="AM35" i="3"/>
  <c r="AL35" i="3"/>
  <c r="AN35" i="3" s="1"/>
  <c r="AM34" i="3"/>
  <c r="AL34" i="3"/>
  <c r="AM33" i="3"/>
  <c r="AL33" i="3"/>
  <c r="AN33" i="3" s="1"/>
  <c r="AM32" i="3"/>
  <c r="AL32" i="3"/>
  <c r="AM31" i="3"/>
  <c r="AL31" i="3"/>
  <c r="AN31" i="3" s="1"/>
  <c r="AM30" i="3"/>
  <c r="AL30" i="3"/>
  <c r="AM29" i="3"/>
  <c r="AL29" i="3"/>
  <c r="AN29" i="3" s="1"/>
  <c r="AM28" i="3"/>
  <c r="AL28" i="3"/>
  <c r="AM27" i="3"/>
  <c r="AL27" i="3"/>
  <c r="AN27" i="3" s="1"/>
  <c r="AM26" i="3"/>
  <c r="AL26" i="3"/>
  <c r="AM25" i="3"/>
  <c r="AL25" i="3"/>
  <c r="AN25" i="3" s="1"/>
  <c r="AM24" i="3"/>
  <c r="AL24" i="3"/>
  <c r="AM23" i="3"/>
  <c r="AL23" i="3"/>
  <c r="AN23" i="3" s="1"/>
  <c r="AM22" i="3"/>
  <c r="AL22" i="3"/>
  <c r="AM21" i="3"/>
  <c r="AL21" i="3"/>
  <c r="AN21" i="3" s="1"/>
  <c r="AM20" i="3"/>
  <c r="AL20" i="3"/>
  <c r="AM19" i="3"/>
  <c r="AL19" i="3"/>
  <c r="AN19" i="3" s="1"/>
  <c r="AM18" i="3"/>
  <c r="AL18" i="3"/>
  <c r="AM17" i="3"/>
  <c r="AL17" i="3"/>
  <c r="AN17" i="3" s="1"/>
  <c r="AM16" i="3"/>
  <c r="AL16" i="3"/>
  <c r="AM15" i="3"/>
  <c r="AL15" i="3"/>
  <c r="AN15" i="3" s="1"/>
  <c r="AM14" i="3"/>
  <c r="AL14" i="3"/>
  <c r="AM13" i="3"/>
  <c r="AL13" i="3"/>
  <c r="AN13" i="3" s="1"/>
  <c r="AM12" i="3"/>
  <c r="AL12" i="3"/>
  <c r="AM11" i="3"/>
  <c r="AL11" i="3"/>
  <c r="AN11" i="3" s="1"/>
  <c r="AM10" i="3"/>
  <c r="AL10" i="3"/>
  <c r="AM9" i="3"/>
  <c r="AL9" i="3"/>
  <c r="AN9" i="3" s="1"/>
  <c r="AM8" i="3"/>
  <c r="AL8" i="3"/>
  <c r="D42" i="2"/>
  <c r="F42" i="2"/>
  <c r="G42" i="2"/>
  <c r="I42" i="2"/>
  <c r="J42" i="2"/>
  <c r="L42" i="2"/>
  <c r="M42" i="2"/>
  <c r="O42" i="2"/>
  <c r="P42" i="2"/>
  <c r="S42" i="2"/>
  <c r="U42" i="2"/>
  <c r="V42" i="2"/>
  <c r="X42" i="2"/>
  <c r="Y42" i="2"/>
  <c r="AE42" i="2"/>
  <c r="AG42" i="2"/>
  <c r="AJ42" i="2"/>
  <c r="D43" i="2"/>
  <c r="F43" i="2"/>
  <c r="G43" i="2"/>
  <c r="I43" i="2"/>
  <c r="J43" i="2"/>
  <c r="L43" i="2"/>
  <c r="M43" i="2"/>
  <c r="O43" i="2"/>
  <c r="P43" i="2"/>
  <c r="R43" i="2"/>
  <c r="S43" i="2"/>
  <c r="U43" i="2"/>
  <c r="V43" i="2"/>
  <c r="X43" i="2"/>
  <c r="Y43" i="2"/>
  <c r="AA43" i="2"/>
  <c r="AB43" i="2"/>
  <c r="AD43" i="2"/>
  <c r="AE43" i="2"/>
  <c r="AG43" i="2"/>
  <c r="AH43" i="2"/>
  <c r="AJ43" i="2"/>
  <c r="AK43" i="2"/>
  <c r="C43" i="2"/>
  <c r="C42" i="2"/>
  <c r="C44" i="2"/>
  <c r="AN41" i="2"/>
  <c r="AM41" i="2"/>
  <c r="AO41" i="2" s="1"/>
  <c r="AQ41" i="2" s="1"/>
  <c r="AO40" i="2"/>
  <c r="AQ40" i="2" s="1"/>
  <c r="AN40" i="2"/>
  <c r="AM40" i="2"/>
  <c r="AN39" i="2"/>
  <c r="AO39" i="2" s="1"/>
  <c r="AQ39" i="2" s="1"/>
  <c r="AM39" i="2"/>
  <c r="AN38" i="2"/>
  <c r="AM38" i="2"/>
  <c r="AO38" i="2" s="1"/>
  <c r="AQ38" i="2" s="1"/>
  <c r="AN37" i="2"/>
  <c r="AM37" i="2"/>
  <c r="AO37" i="2" s="1"/>
  <c r="AN36" i="2"/>
  <c r="AM36" i="2"/>
  <c r="AO36" i="2" s="1"/>
  <c r="AQ36" i="2" s="1"/>
  <c r="AN35" i="2"/>
  <c r="AM35" i="2"/>
  <c r="AO35" i="2" s="1"/>
  <c r="AQ35" i="2" s="1"/>
  <c r="AN34" i="2"/>
  <c r="AM34" i="2"/>
  <c r="AO34" i="2" s="1"/>
  <c r="AQ34" i="2" s="1"/>
  <c r="AN33" i="2"/>
  <c r="AM33" i="2"/>
  <c r="AO33" i="2" s="1"/>
  <c r="AQ33" i="2" s="1"/>
  <c r="AN32" i="2"/>
  <c r="AM32" i="2"/>
  <c r="AO32" i="2" s="1"/>
  <c r="AQ32" i="2" s="1"/>
  <c r="AB31" i="2"/>
  <c r="AN31" i="2" s="1"/>
  <c r="AA31" i="2"/>
  <c r="AA42" i="2" s="1"/>
  <c r="AN30" i="2"/>
  <c r="AM30" i="2"/>
  <c r="AO30" i="2" s="1"/>
  <c r="AQ30" i="2" s="1"/>
  <c r="AN29" i="2"/>
  <c r="AM29" i="2"/>
  <c r="AO29" i="2" s="1"/>
  <c r="AQ29" i="2" s="1"/>
  <c r="AN28" i="2"/>
  <c r="AM28" i="2"/>
  <c r="AO28" i="2" s="1"/>
  <c r="AK27" i="2"/>
  <c r="AK42" i="2" s="1"/>
  <c r="AJ27" i="2"/>
  <c r="AH27" i="2"/>
  <c r="AG27" i="2"/>
  <c r="AM27" i="2" s="1"/>
  <c r="AO26" i="2"/>
  <c r="AQ26" i="2" s="1"/>
  <c r="AN26" i="2"/>
  <c r="AM26" i="2"/>
  <c r="AN25" i="2"/>
  <c r="AO25" i="2" s="1"/>
  <c r="AQ25" i="2" s="1"/>
  <c r="AM25" i="2"/>
  <c r="AN24" i="2"/>
  <c r="AM24" i="2"/>
  <c r="AO24" i="2" s="1"/>
  <c r="AQ24" i="2" s="1"/>
  <c r="AN23" i="2"/>
  <c r="AM23" i="2"/>
  <c r="AO23" i="2" s="1"/>
  <c r="AQ23" i="2" s="1"/>
  <c r="AO22" i="2"/>
  <c r="AQ22" i="2" s="1"/>
  <c r="AN22" i="2"/>
  <c r="AM22" i="2"/>
  <c r="AN21" i="2"/>
  <c r="AN43" i="2" s="1"/>
  <c r="AM21" i="2"/>
  <c r="AE20" i="2"/>
  <c r="AD20" i="2"/>
  <c r="AD42" i="2" s="1"/>
  <c r="AB20" i="2"/>
  <c r="AN20" i="2" s="1"/>
  <c r="AA20" i="2"/>
  <c r="S20" i="2"/>
  <c r="R20" i="2"/>
  <c r="AM20" i="2" s="1"/>
  <c r="AN19" i="2"/>
  <c r="AM19" i="2"/>
  <c r="AN18" i="2"/>
  <c r="AM18" i="2"/>
  <c r="AO18" i="2" s="1"/>
  <c r="AQ18" i="2" s="1"/>
  <c r="AN17" i="2"/>
  <c r="AM17" i="2"/>
  <c r="AN16" i="2"/>
  <c r="AM16" i="2"/>
  <c r="AO16" i="2" s="1"/>
  <c r="AQ16" i="2" s="1"/>
  <c r="AN15" i="2"/>
  <c r="AM15" i="2"/>
  <c r="AN14" i="2"/>
  <c r="AM14" i="2"/>
  <c r="AO14" i="2" s="1"/>
  <c r="AQ14" i="2" s="1"/>
  <c r="AN13" i="2"/>
  <c r="AM13" i="2"/>
  <c r="AN12" i="2"/>
  <c r="AM12" i="2"/>
  <c r="AO12" i="2" s="1"/>
  <c r="AQ12" i="2" s="1"/>
  <c r="AN11" i="2"/>
  <c r="AM11" i="2"/>
  <c r="AN10" i="2"/>
  <c r="AM10" i="2"/>
  <c r="AM43" i="2" s="1"/>
  <c r="AN9" i="2"/>
  <c r="AM9" i="2"/>
  <c r="R45" i="1"/>
  <c r="AK38" i="3" l="1"/>
  <c r="AH38" i="3"/>
  <c r="S38" i="3"/>
  <c r="Y38" i="3"/>
  <c r="AE38" i="3"/>
  <c r="AB38" i="3"/>
  <c r="P38" i="3"/>
  <c r="V38" i="3"/>
  <c r="M38" i="3"/>
  <c r="G38" i="3"/>
  <c r="AN10" i="3"/>
  <c r="AN14" i="3"/>
  <c r="AN18" i="3"/>
  <c r="AN20" i="3"/>
  <c r="AN22" i="3"/>
  <c r="AN26" i="3"/>
  <c r="AN30" i="3"/>
  <c r="AN34" i="3"/>
  <c r="AL38" i="3"/>
  <c r="AN50" i="3"/>
  <c r="AN52" i="3"/>
  <c r="AN54" i="3"/>
  <c r="AN56" i="3"/>
  <c r="AN58" i="3"/>
  <c r="AN60" i="3"/>
  <c r="AN62" i="3"/>
  <c r="AN64" i="3"/>
  <c r="Y44" i="2"/>
  <c r="AO37" i="1"/>
  <c r="AQ37" i="1" s="1"/>
  <c r="AO40" i="1"/>
  <c r="AQ40" i="1" s="1"/>
  <c r="AO23" i="1"/>
  <c r="AQ23" i="1" s="1"/>
  <c r="AO25" i="1"/>
  <c r="AQ25" i="1" s="1"/>
  <c r="AO27" i="1"/>
  <c r="AQ27" i="1" s="1"/>
  <c r="AO32" i="1"/>
  <c r="AQ32" i="1" s="1"/>
  <c r="AO34" i="1"/>
  <c r="AQ34" i="1" s="1"/>
  <c r="AO18" i="1"/>
  <c r="AQ18" i="1" s="1"/>
  <c r="AO22" i="1"/>
  <c r="AQ22" i="1" s="1"/>
  <c r="L45" i="1"/>
  <c r="AO21" i="2"/>
  <c r="AQ21" i="2" s="1"/>
  <c r="AN8" i="3"/>
  <c r="AN16" i="3"/>
  <c r="AN28" i="3"/>
  <c r="AN36" i="3"/>
  <c r="M43" i="5"/>
  <c r="F45" i="1"/>
  <c r="AN27" i="2"/>
  <c r="AN42" i="2" s="1"/>
  <c r="AN44" i="2" s="1"/>
  <c r="AM31" i="2"/>
  <c r="AO31" i="2" s="1"/>
  <c r="AQ31" i="2" s="1"/>
  <c r="I44" i="2"/>
  <c r="X44" i="2"/>
  <c r="R42" i="2"/>
  <c r="R44" i="2" s="1"/>
  <c r="L44" i="2"/>
  <c r="F44" i="2"/>
  <c r="AL65" i="3"/>
  <c r="U41" i="5"/>
  <c r="U43" i="5" s="1"/>
  <c r="AB21" i="6"/>
  <c r="Z76" i="6"/>
  <c r="AB76" i="6" s="1"/>
  <c r="AM9" i="1"/>
  <c r="I44" i="1"/>
  <c r="O44" i="1"/>
  <c r="U44" i="1"/>
  <c r="AA44" i="1"/>
  <c r="AG44" i="1"/>
  <c r="AM10" i="1"/>
  <c r="AM13" i="1"/>
  <c r="AM42" i="1" s="1"/>
  <c r="AM14" i="1"/>
  <c r="AM16" i="1"/>
  <c r="AM17" i="1"/>
  <c r="U45" i="1"/>
  <c r="AM31" i="1"/>
  <c r="AO31" i="1" s="1"/>
  <c r="AQ31" i="1" s="1"/>
  <c r="AM33" i="1"/>
  <c r="AM36" i="1"/>
  <c r="Z40" i="4"/>
  <c r="AB40" i="4" s="1"/>
  <c r="AD40" i="4" s="1"/>
  <c r="AB8" i="7"/>
  <c r="AD8" i="7" s="1"/>
  <c r="AO9" i="2"/>
  <c r="AO11" i="2"/>
  <c r="AQ11" i="2" s="1"/>
  <c r="AO13" i="2"/>
  <c r="AQ13" i="2" s="1"/>
  <c r="AO15" i="2"/>
  <c r="AQ15" i="2" s="1"/>
  <c r="AO17" i="2"/>
  <c r="AQ17" i="2" s="1"/>
  <c r="AO19" i="2"/>
  <c r="AQ19" i="2" s="1"/>
  <c r="AK44" i="2"/>
  <c r="AE44" i="2"/>
  <c r="S44" i="2"/>
  <c r="M44" i="2"/>
  <c r="G44" i="2"/>
  <c r="AH42" i="2"/>
  <c r="AH44" i="2" s="1"/>
  <c r="AB42" i="2"/>
  <c r="AB44" i="2" s="1"/>
  <c r="V44" i="2"/>
  <c r="AM38" i="3"/>
  <c r="AN49" i="3"/>
  <c r="AN53" i="3"/>
  <c r="AN57" i="3"/>
  <c r="AN61" i="3"/>
  <c r="AM65" i="3"/>
  <c r="AB20" i="5"/>
  <c r="AD20" i="5" s="1"/>
  <c r="AB22" i="5"/>
  <c r="AD22" i="5" s="1"/>
  <c r="AB24" i="5"/>
  <c r="AD24" i="5" s="1"/>
  <c r="AB27" i="5"/>
  <c r="AB16" i="6"/>
  <c r="AB18" i="6"/>
  <c r="AB25" i="6"/>
  <c r="AB60" i="6"/>
  <c r="AB69" i="6"/>
  <c r="AM24" i="1"/>
  <c r="I45" i="1"/>
  <c r="O45" i="1"/>
  <c r="AN36" i="1"/>
  <c r="AA9" i="4"/>
  <c r="AA10" i="4"/>
  <c r="AA11" i="4"/>
  <c r="Z17" i="4"/>
  <c r="AB18" i="4"/>
  <c r="AD18" i="4" s="1"/>
  <c r="Z19" i="4"/>
  <c r="AB19" i="4" s="1"/>
  <c r="AD19" i="4" s="1"/>
  <c r="V42" i="4"/>
  <c r="Z20" i="4"/>
  <c r="AB20" i="4" s="1"/>
  <c r="AD20" i="4" s="1"/>
  <c r="AB21" i="4"/>
  <c r="AD21" i="4" s="1"/>
  <c r="AB23" i="4"/>
  <c r="AD23" i="4" s="1"/>
  <c r="AB25" i="4"/>
  <c r="AD25" i="4" s="1"/>
  <c r="Z26" i="4"/>
  <c r="AB26" i="4" s="1"/>
  <c r="AD26" i="4" s="1"/>
  <c r="AB27" i="4"/>
  <c r="AD27" i="4" s="1"/>
  <c r="AB29" i="4"/>
  <c r="AD29" i="4" s="1"/>
  <c r="AB32" i="4"/>
  <c r="AD32" i="4" s="1"/>
  <c r="Z33" i="4"/>
  <c r="AB33" i="4" s="1"/>
  <c r="AD33" i="4" s="1"/>
  <c r="P42" i="4"/>
  <c r="AB34" i="4"/>
  <c r="AD34" i="4" s="1"/>
  <c r="Z38" i="4"/>
  <c r="AB38" i="4" s="1"/>
  <c r="AD38" i="4" s="1"/>
  <c r="Z39" i="4"/>
  <c r="AB39" i="4" s="1"/>
  <c r="AD39" i="4" s="1"/>
  <c r="AA8" i="7"/>
  <c r="L24" i="7"/>
  <c r="Z24" i="7" s="1"/>
  <c r="AB22" i="8"/>
  <c r="AD22" i="8" s="1"/>
  <c r="AB24" i="8"/>
  <c r="AD24" i="8" s="1"/>
  <c r="AA28" i="8"/>
  <c r="AB9" i="5"/>
  <c r="AN12" i="3"/>
  <c r="AN24" i="3"/>
  <c r="AN32" i="3"/>
  <c r="Y43" i="5"/>
  <c r="M41" i="5"/>
  <c r="AB37" i="6"/>
  <c r="AB66" i="6"/>
  <c r="AO28" i="1"/>
  <c r="AQ28" i="1" s="1"/>
  <c r="E42" i="4"/>
  <c r="I42" i="4"/>
  <c r="M42" i="4"/>
  <c r="Q42" i="4"/>
  <c r="U42" i="4"/>
  <c r="Y42" i="4"/>
  <c r="W42" i="4"/>
  <c r="AB24" i="4"/>
  <c r="AD24" i="4" s="1"/>
  <c r="AB35" i="4"/>
  <c r="AD35" i="4" s="1"/>
  <c r="H42" i="4"/>
  <c r="AB11" i="5"/>
  <c r="AD11" i="5" s="1"/>
  <c r="AB13" i="5"/>
  <c r="AD13" i="5" s="1"/>
  <c r="AB15" i="5"/>
  <c r="AD15" i="5" s="1"/>
  <c r="AB17" i="5"/>
  <c r="AD17" i="5" s="1"/>
  <c r="AB28" i="5"/>
  <c r="AD28" i="5" s="1"/>
  <c r="AB30" i="5"/>
  <c r="AD30" i="5" s="1"/>
  <c r="B43" i="5"/>
  <c r="AB13" i="6"/>
  <c r="AB15" i="6"/>
  <c r="AB24" i="6"/>
  <c r="AB29" i="6"/>
  <c r="AB31" i="6"/>
  <c r="AB54" i="6"/>
  <c r="AB56" i="6"/>
  <c r="AB65" i="6"/>
  <c r="AB70" i="6"/>
  <c r="AB72" i="6"/>
  <c r="G44" i="1"/>
  <c r="M44" i="1"/>
  <c r="S44" i="1"/>
  <c r="Y44" i="1"/>
  <c r="AE44" i="1"/>
  <c r="AK44" i="1"/>
  <c r="AN10" i="1"/>
  <c r="AN43" i="1" s="1"/>
  <c r="V44" i="1"/>
  <c r="AB44" i="1"/>
  <c r="AH44" i="1"/>
  <c r="D45" i="1"/>
  <c r="J44" i="1"/>
  <c r="P45" i="1"/>
  <c r="AN12" i="1"/>
  <c r="AO12" i="1" s="1"/>
  <c r="AQ12" i="1" s="1"/>
  <c r="AN13" i="1"/>
  <c r="AO13" i="1" s="1"/>
  <c r="AQ13" i="1" s="1"/>
  <c r="AN14" i="1"/>
  <c r="AN15" i="1"/>
  <c r="AO15" i="1" s="1"/>
  <c r="AQ15" i="1" s="1"/>
  <c r="AN16" i="1"/>
  <c r="AN17" i="1"/>
  <c r="AM19" i="1"/>
  <c r="AO19" i="1" s="1"/>
  <c r="AQ19" i="1" s="1"/>
  <c r="AM20" i="1"/>
  <c r="AO20" i="1" s="1"/>
  <c r="AQ20" i="1" s="1"/>
  <c r="AO21" i="1"/>
  <c r="AQ21" i="1" s="1"/>
  <c r="AN24" i="1"/>
  <c r="AO29" i="1"/>
  <c r="AQ29" i="1" s="1"/>
  <c r="AN33" i="1"/>
  <c r="AN38" i="1"/>
  <c r="AO38" i="1" s="1"/>
  <c r="AQ38" i="1" s="1"/>
  <c r="AO39" i="1"/>
  <c r="AQ39" i="1" s="1"/>
  <c r="AO41" i="1"/>
  <c r="AQ41" i="1" s="1"/>
  <c r="Z9" i="4"/>
  <c r="AB9" i="4" s="1"/>
  <c r="AD9" i="4" s="1"/>
  <c r="F42" i="4"/>
  <c r="J42" i="4"/>
  <c r="N42" i="4"/>
  <c r="Z10" i="4"/>
  <c r="Z11" i="4"/>
  <c r="Z12" i="4"/>
  <c r="AB12" i="4" s="1"/>
  <c r="AD12" i="4" s="1"/>
  <c r="C42" i="4"/>
  <c r="G42" i="4"/>
  <c r="K42" i="4"/>
  <c r="O42" i="4"/>
  <c r="AA14" i="4"/>
  <c r="AA15" i="4"/>
  <c r="AB15" i="4" s="1"/>
  <c r="AD15" i="4" s="1"/>
  <c r="AA16" i="4"/>
  <c r="AA17" i="4"/>
  <c r="AA30" i="4"/>
  <c r="AA31" i="4"/>
  <c r="AA33" i="4"/>
  <c r="AB10" i="8"/>
  <c r="AD10" i="8" s="1"/>
  <c r="L43" i="5"/>
  <c r="T43" i="5"/>
  <c r="X43" i="5"/>
  <c r="AD44" i="2"/>
  <c r="AJ44" i="2"/>
  <c r="AG44" i="2"/>
  <c r="U44" i="2"/>
  <c r="O44" i="2"/>
  <c r="P44" i="2"/>
  <c r="J44" i="2"/>
  <c r="D44" i="2"/>
  <c r="AB26" i="8"/>
  <c r="Z28" i="8"/>
  <c r="AB12" i="8"/>
  <c r="AD12" i="8" s="1"/>
  <c r="Z14" i="8"/>
  <c r="AA12" i="7"/>
  <c r="Z12" i="7"/>
  <c r="AB12" i="7" s="1"/>
  <c r="AD12" i="7" s="1"/>
  <c r="S24" i="7"/>
  <c r="AA24" i="7" s="1"/>
  <c r="Z20" i="7"/>
  <c r="AB20" i="7" s="1"/>
  <c r="AD20" i="7" s="1"/>
  <c r="Z10" i="7"/>
  <c r="AB10" i="7" s="1"/>
  <c r="AD10" i="7" s="1"/>
  <c r="AB14" i="4"/>
  <c r="AD14" i="4" s="1"/>
  <c r="AB16" i="4"/>
  <c r="AD16" i="4" s="1"/>
  <c r="AB30" i="4"/>
  <c r="AD30" i="4" s="1"/>
  <c r="AB31" i="4"/>
  <c r="AD31" i="4" s="1"/>
  <c r="AB10" i="4"/>
  <c r="AD10" i="4" s="1"/>
  <c r="AB11" i="4"/>
  <c r="AD11" i="4" s="1"/>
  <c r="AA13" i="4"/>
  <c r="AB13" i="4" s="1"/>
  <c r="AD13" i="4" s="1"/>
  <c r="Z36" i="4"/>
  <c r="AB36" i="4" s="1"/>
  <c r="AD36" i="4" s="1"/>
  <c r="B42" i="4"/>
  <c r="AO9" i="1"/>
  <c r="AQ9" i="1" s="1"/>
  <c r="AO26" i="1"/>
  <c r="AQ26" i="1" s="1"/>
  <c r="AO30" i="1"/>
  <c r="AQ30" i="1" s="1"/>
  <c r="AO35" i="1"/>
  <c r="AQ35" i="1" s="1"/>
  <c r="S45" i="1"/>
  <c r="M45" i="1"/>
  <c r="G45" i="1"/>
  <c r="AN11" i="1"/>
  <c r="D44" i="1"/>
  <c r="P44" i="1"/>
  <c r="V45" i="1"/>
  <c r="J45" i="1"/>
  <c r="AA40" i="6"/>
  <c r="Z40" i="6"/>
  <c r="S43" i="5"/>
  <c r="W43" i="5"/>
  <c r="AD8" i="5"/>
  <c r="R43" i="5"/>
  <c r="AA19" i="5"/>
  <c r="AA26" i="5"/>
  <c r="AB26" i="5" s="1"/>
  <c r="AD26" i="5" s="1"/>
  <c r="Z31" i="5"/>
  <c r="Z42" i="5" s="1"/>
  <c r="V43" i="5"/>
  <c r="Z19" i="5"/>
  <c r="Z41" i="5" s="1"/>
  <c r="AA44" i="2"/>
  <c r="AO20" i="2"/>
  <c r="AQ20" i="2" s="1"/>
  <c r="AO27" i="2"/>
  <c r="AQ27" i="2" s="1"/>
  <c r="AO10" i="2"/>
  <c r="AO43" i="2" s="1"/>
  <c r="AN38" i="3" l="1"/>
  <c r="AN65" i="3"/>
  <c r="AN42" i="1"/>
  <c r="AM43" i="1"/>
  <c r="AO16" i="1"/>
  <c r="AQ16" i="1" s="1"/>
  <c r="AO14" i="1"/>
  <c r="AQ14" i="1" s="1"/>
  <c r="AO17" i="1"/>
  <c r="AQ17" i="1" s="1"/>
  <c r="AO10" i="1"/>
  <c r="AM44" i="1"/>
  <c r="AO44" i="1" s="1"/>
  <c r="AQ44" i="1" s="1"/>
  <c r="AN44" i="1"/>
  <c r="AB17" i="4"/>
  <c r="AD17" i="4" s="1"/>
  <c r="AO42" i="2"/>
  <c r="AO36" i="1"/>
  <c r="AQ36" i="1" s="1"/>
  <c r="AO33" i="1"/>
  <c r="AQ33" i="1" s="1"/>
  <c r="AA41" i="5"/>
  <c r="AA43" i="5" s="1"/>
  <c r="AM42" i="2"/>
  <c r="AM44" i="2" s="1"/>
  <c r="AQ9" i="2"/>
  <c r="AD9" i="5"/>
  <c r="AB14" i="8"/>
  <c r="Z16" i="8"/>
  <c r="AO24" i="1"/>
  <c r="AQ24" i="1" s="1"/>
  <c r="AD26" i="8"/>
  <c r="AB28" i="8"/>
  <c r="AB24" i="7"/>
  <c r="AD24" i="7" s="1"/>
  <c r="Z42" i="4"/>
  <c r="AA42" i="4"/>
  <c r="AO11" i="1"/>
  <c r="AB40" i="6"/>
  <c r="AB31" i="5"/>
  <c r="AB42" i="5" s="1"/>
  <c r="Z43" i="5"/>
  <c r="AB19" i="5"/>
  <c r="AB41" i="5" s="1"/>
  <c r="AQ10" i="2"/>
  <c r="AQ43" i="2"/>
  <c r="AQ10" i="1" l="1"/>
  <c r="AO43" i="1"/>
  <c r="AQ11" i="1"/>
  <c r="AO42" i="1"/>
  <c r="AD14" i="8"/>
  <c r="AB16" i="8"/>
  <c r="AB42" i="4"/>
  <c r="AD42" i="4" s="1"/>
  <c r="AD31" i="5"/>
  <c r="AD42" i="5"/>
  <c r="AD19" i="5"/>
  <c r="AO44" i="2"/>
  <c r="AQ42" i="2"/>
  <c r="AB43" i="5" l="1"/>
  <c r="AD41" i="5"/>
  <c r="AQ44" i="2"/>
  <c r="AD43" i="5" l="1"/>
</calcChain>
</file>

<file path=xl/sharedStrings.xml><?xml version="1.0" encoding="utf-8"?>
<sst xmlns="http://schemas.openxmlformats.org/spreadsheetml/2006/main" count="891" uniqueCount="121">
  <si>
    <t>AIRPORTS</t>
  </si>
  <si>
    <t>JANUARY</t>
  </si>
  <si>
    <t>MARCH</t>
  </si>
  <si>
    <t>MAY</t>
  </si>
  <si>
    <t>JUNE</t>
  </si>
  <si>
    <t>JULY</t>
  </si>
  <si>
    <t>%GROWTH</t>
  </si>
  <si>
    <t>MMA DOM</t>
  </si>
  <si>
    <t>ABV. DOM</t>
  </si>
  <si>
    <t>ABV.INT'L</t>
  </si>
  <si>
    <t>PHC.INT'L</t>
  </si>
  <si>
    <t>KANO DOM</t>
  </si>
  <si>
    <t>KANO INT'L</t>
  </si>
  <si>
    <t>ENUGU</t>
  </si>
  <si>
    <t>ENUGU INT'L</t>
  </si>
  <si>
    <t>OSUBI</t>
  </si>
  <si>
    <t>KAD. DOM</t>
  </si>
  <si>
    <t>KAD. INT'L</t>
  </si>
  <si>
    <t>CAL.DOM</t>
  </si>
  <si>
    <t>CAL. INT'L</t>
  </si>
  <si>
    <t>SOK.DOM</t>
  </si>
  <si>
    <t>SOK. INT'L</t>
  </si>
  <si>
    <t>BENIN</t>
  </si>
  <si>
    <t>MAID. DOM</t>
  </si>
  <si>
    <t>MAID. INT'L</t>
  </si>
  <si>
    <t>JOS</t>
  </si>
  <si>
    <t>OWERRI</t>
  </si>
  <si>
    <t>YOLA DOM</t>
  </si>
  <si>
    <t>YOLA INT'L</t>
  </si>
  <si>
    <t>ILORIN DOM</t>
  </si>
  <si>
    <t>ILORIN INT'L</t>
  </si>
  <si>
    <t>IBADAN</t>
  </si>
  <si>
    <t>MINNA</t>
  </si>
  <si>
    <t>MINNA INT'L</t>
  </si>
  <si>
    <t>AKURE</t>
  </si>
  <si>
    <t>KAT</t>
  </si>
  <si>
    <t>KAT INT'L</t>
  </si>
  <si>
    <t>MKD</t>
  </si>
  <si>
    <t>TOTAL</t>
  </si>
  <si>
    <t>FEBRUARY</t>
  </si>
  <si>
    <t>APRIL</t>
  </si>
  <si>
    <t>AUGUST</t>
  </si>
  <si>
    <t>SEPTEMBER</t>
  </si>
  <si>
    <t>OCTOBER</t>
  </si>
  <si>
    <t>NOVEMBER</t>
  </si>
  <si>
    <t>DECEMBER</t>
  </si>
  <si>
    <t>GRAND TOTAL 2015</t>
  </si>
  <si>
    <t>G.TOTAL</t>
  </si>
  <si>
    <t xml:space="preserve">% GROWTH </t>
  </si>
  <si>
    <t>ARR</t>
  </si>
  <si>
    <t>DEP</t>
  </si>
  <si>
    <t>MMA INT'L</t>
  </si>
  <si>
    <t>PHC.DOM</t>
  </si>
  <si>
    <t>TOTAL DOM</t>
  </si>
  <si>
    <t>TOTAL INT'L</t>
  </si>
  <si>
    <t>GRAND TOTAL</t>
  </si>
  <si>
    <t>GRAND</t>
  </si>
  <si>
    <t>AIRPORT</t>
  </si>
  <si>
    <t>ABUJA</t>
  </si>
  <si>
    <t>ASABA</t>
  </si>
  <si>
    <t>BAUCHI</t>
  </si>
  <si>
    <t>BIRIN KEBBI</t>
  </si>
  <si>
    <t>CALABAR</t>
  </si>
  <si>
    <t>DUTSE</t>
  </si>
  <si>
    <t>EKET</t>
  </si>
  <si>
    <t>ESCRAVOS</t>
  </si>
  <si>
    <t>FINMA</t>
  </si>
  <si>
    <t>FORCADOS</t>
  </si>
  <si>
    <t>GOMBE</t>
  </si>
  <si>
    <t>ILORIN</t>
  </si>
  <si>
    <t>KADUNA</t>
  </si>
  <si>
    <t>KANO</t>
  </si>
  <si>
    <t>KATSINA</t>
  </si>
  <si>
    <t>LAGOS</t>
  </si>
  <si>
    <t>MAIDUGURI</t>
  </si>
  <si>
    <t>PORTHARCOURT</t>
  </si>
  <si>
    <t>SOKOTO</t>
  </si>
  <si>
    <t>UYO</t>
  </si>
  <si>
    <t>YOLA</t>
  </si>
  <si>
    <t>ZARIA</t>
  </si>
  <si>
    <t xml:space="preserve">  </t>
  </si>
  <si>
    <t xml:space="preserve"> PASSENGER MOVEMENT - FOREIGN</t>
  </si>
  <si>
    <t>PASSENGER MOVEMENT TO/FROM THE UNDERLISTED NIGERIAN AIRPORTS</t>
  </si>
  <si>
    <t>JANUARY - DECEMBER, 2016</t>
  </si>
  <si>
    <t>MAKURDI</t>
  </si>
  <si>
    <t>AIRCRAFT MOVEMENT - FOREIGN</t>
  </si>
  <si>
    <t>AIRCRAFT MOVEMENT TO/FROM THE UNDERLISTED NIGERIAN AIRPORTS</t>
  </si>
  <si>
    <t>(FOREIGN FLIGHTS)</t>
  </si>
  <si>
    <t xml:space="preserve">SEPTEMBER </t>
  </si>
  <si>
    <t>ABJ. DOM</t>
  </si>
  <si>
    <t>ABJ.INT'L</t>
  </si>
  <si>
    <t>PHC. INT'L</t>
  </si>
  <si>
    <t>CAL DOM</t>
  </si>
  <si>
    <t>CAL INT'L</t>
  </si>
  <si>
    <t>SOK DOM</t>
  </si>
  <si>
    <t>SOK INT'L</t>
  </si>
  <si>
    <t>MAID .DOM</t>
  </si>
  <si>
    <t>MAID INT'L</t>
  </si>
  <si>
    <t>MINNA DOM</t>
  </si>
  <si>
    <t>KAT DOM</t>
  </si>
  <si>
    <t xml:space="preserve">G.TOTAL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</si>
  <si>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</si>
  <si>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JANUARY - DECEMBER 2014</t>
  </si>
  <si>
    <t>G.TOTAL 2014</t>
  </si>
  <si>
    <t>MMA</t>
  </si>
  <si>
    <t>PHC</t>
  </si>
  <si>
    <t xml:space="preserve"> MAIL MOVEMENT (KG) 2014</t>
  </si>
  <si>
    <t>CARGO MOVEMENT (KG)</t>
  </si>
  <si>
    <t>ANNUAL REPORT 2015</t>
  </si>
  <si>
    <t>% GROWTH</t>
  </si>
  <si>
    <t>MAIL MOVEMENT (KG) ANNUAL  2015</t>
  </si>
  <si>
    <t xml:space="preserve"> </t>
  </si>
  <si>
    <t>APRIL - DECEMBER 2016</t>
  </si>
  <si>
    <t xml:space="preserve">                                    MAIL MOVEMENT FROM APRIL -DECEMBER 2016</t>
  </si>
  <si>
    <t>PASSENGER MOVEMENT FOR JAN - DEC 2016</t>
  </si>
  <si>
    <t>PASSENGER MOVEMENT TO/FROM THE UNDERLISTED NIGERIAN AIRPORTS      (DOMESTIC FLIGHTS)</t>
  </si>
  <si>
    <t>PASSENGER TRAFFIC</t>
  </si>
  <si>
    <t>AIRCRAFT MOVEMENT</t>
  </si>
  <si>
    <t>ANNUAL REPORT  2015</t>
  </si>
  <si>
    <t xml:space="preserve"> AIRCRAFT MOVEMENT FOR JAN - DEC 2016</t>
  </si>
  <si>
    <t>AIRCRAFT MOVEMENT TO/FROM THE UNDERLISTED NIGERIAN AIRPORTS     (DOMESTIC FLIGHTS)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</si>
</sst>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(* #,##0.0_);_(* \(#,##0.0\);_(* &quot;-&quot;??_);_(@_)"/>
    <numFmt numFmtId="167" formatCode="_-* #,##0_-;\-* #,##0_-;_-* &quot;-&quot;??_-;_-@_-"/>
    <numFmt numFmtId="168" formatCode="_-* #,##0.0_-;\-* #,##0.0_-;_-* &quot;-&quot;??_-;_-@_-"/>
    <numFmt numFmtId="169" formatCode="_-* #,##0.0_-;\-* #,##0.0_-;_-* &quot;-&quot;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Black"/>
      <family val="2"/>
    </font>
    <font>
      <sz val="11"/>
      <color theme="1"/>
      <name val="Arial Black"/>
      <family val="2"/>
    </font>
    <font>
      <b/>
      <sz val="11"/>
      <color theme="1"/>
      <name val="Arial Black"/>
      <family val="2"/>
    </font>
    <font>
      <b/>
      <sz val="12"/>
      <color theme="1"/>
      <name val="Arial Black"/>
      <family val="2"/>
    </font>
    <font>
      <sz val="12"/>
      <color theme="1"/>
      <name val="Arial Black"/>
      <family val="2"/>
    </font>
    <font>
      <b/>
      <sz val="14"/>
      <color theme="1"/>
      <name val="Arial Black"/>
      <family val="2"/>
    </font>
    <font>
      <b/>
      <sz val="11"/>
      <color theme="1"/>
      <name val="Century"/>
      <family val="1"/>
    </font>
    <font>
      <b/>
      <sz val="12"/>
      <color theme="1"/>
      <name val="Century"/>
      <family val="1"/>
    </font>
    <font>
      <b/>
      <sz val="11"/>
      <name val="Century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rial"/>
      <family val="2"/>
    </font>
    <font>
      <b/>
      <sz val="10"/>
      <name val="Century"/>
      <family val="1"/>
    </font>
    <font>
      <b/>
      <sz val="16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name val="Calibri"/>
      <family val="2"/>
      <scheme val="minor"/>
    </font>
    <font>
      <sz val="20"/>
      <name val="Calibri"/>
      <family val="2"/>
      <scheme val="minor"/>
    </font>
    <font>
      <b/>
      <sz val="16"/>
      <color theme="1"/>
      <name val="Century"/>
      <family val="1"/>
    </font>
    <font>
      <sz val="11"/>
      <color theme="1"/>
      <name val="Century"/>
      <family val="1"/>
    </font>
    <font>
      <b/>
      <sz val="14"/>
      <color theme="1"/>
      <name val="Century"/>
      <family val="1"/>
    </font>
    <font>
      <sz val="12"/>
      <color theme="1"/>
      <name val="Century"/>
      <family val="1"/>
    </font>
    <font>
      <b/>
      <sz val="16"/>
      <color theme="1"/>
      <name val="Arial Black"/>
      <family val="2"/>
    </font>
    <font>
      <sz val="10"/>
      <color theme="1"/>
      <name val="Arial Black"/>
      <family val="2"/>
    </font>
    <font>
      <b/>
      <sz val="10"/>
      <color theme="1"/>
      <name val="Arial Black"/>
      <family val="2"/>
    </font>
    <font>
      <sz val="11"/>
      <color theme="1"/>
      <name val="Arial"/>
      <family val="2"/>
    </font>
    <font>
      <sz val="14"/>
      <color theme="1"/>
      <name val="Arial Black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3" fillId="0" borderId="0"/>
  </cellStyleXfs>
  <cellXfs count="370">
    <xf numFmtId="0" fontId="0" fillId="0" borderId="0" xfId="0"/>
    <xf numFmtId="0" fontId="2" fillId="0" borderId="0" xfId="0" applyFont="1"/>
    <xf numFmtId="0" fontId="0" fillId="0" borderId="0" xfId="0"/>
    <xf numFmtId="0" fontId="5" fillId="0" borderId="1" xfId="0" applyFont="1" applyBorder="1"/>
    <xf numFmtId="0" fontId="6" fillId="0" borderId="1" xfId="0" applyFont="1" applyBorder="1"/>
    <xf numFmtId="0" fontId="5" fillId="0" borderId="0" xfId="0" applyFont="1"/>
    <xf numFmtId="0" fontId="6" fillId="0" borderId="0" xfId="0" applyFont="1"/>
    <xf numFmtId="0" fontId="7" fillId="0" borderId="1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3" xfId="0" applyFont="1" applyBorder="1"/>
    <xf numFmtId="0" fontId="9" fillId="0" borderId="1" xfId="0" applyFont="1" applyBorder="1"/>
    <xf numFmtId="165" fontId="5" fillId="0" borderId="1" xfId="3" applyNumberFormat="1" applyFont="1" applyBorder="1"/>
    <xf numFmtId="165" fontId="8" fillId="0" borderId="1" xfId="3" applyNumberFormat="1" applyFont="1" applyBorder="1"/>
    <xf numFmtId="165" fontId="6" fillId="0" borderId="1" xfId="3" applyNumberFormat="1" applyFont="1" applyBorder="1"/>
    <xf numFmtId="0" fontId="7" fillId="0" borderId="8" xfId="0" applyFont="1" applyBorder="1"/>
    <xf numFmtId="165" fontId="5" fillId="0" borderId="8" xfId="3" applyNumberFormat="1" applyFont="1" applyBorder="1"/>
    <xf numFmtId="166" fontId="5" fillId="0" borderId="1" xfId="0" applyNumberFormat="1" applyFont="1" applyBorder="1"/>
    <xf numFmtId="0" fontId="6" fillId="0" borderId="8" xfId="0" applyFont="1" applyBorder="1"/>
    <xf numFmtId="0" fontId="6" fillId="0" borderId="3" xfId="0" applyFont="1" applyBorder="1"/>
    <xf numFmtId="0" fontId="0" fillId="0" borderId="0" xfId="0" applyFont="1"/>
    <xf numFmtId="165" fontId="5" fillId="0" borderId="1" xfId="0" applyNumberFormat="1" applyFont="1" applyBorder="1"/>
    <xf numFmtId="166" fontId="5" fillId="0" borderId="1" xfId="3" applyNumberFormat="1" applyFont="1" applyBorder="1"/>
    <xf numFmtId="166" fontId="6" fillId="0" borderId="1" xfId="3" applyNumberFormat="1" applyFont="1" applyBorder="1"/>
    <xf numFmtId="164" fontId="5" fillId="0" borderId="1" xfId="3" applyFont="1" applyBorder="1"/>
    <xf numFmtId="165" fontId="6" fillId="0" borderId="1" xfId="0" applyNumberFormat="1" applyFont="1" applyBorder="1"/>
    <xf numFmtId="167" fontId="2" fillId="0" borderId="0" xfId="0" applyNumberFormat="1" applyFont="1"/>
    <xf numFmtId="0" fontId="10" fillId="0" borderId="6" xfId="0" applyFont="1" applyBorder="1"/>
    <xf numFmtId="0" fontId="10" fillId="0" borderId="1" xfId="0" applyFont="1" applyBorder="1"/>
    <xf numFmtId="0" fontId="10" fillId="0" borderId="4" xfId="0" applyFont="1" applyBorder="1"/>
    <xf numFmtId="0" fontId="10" fillId="0" borderId="5" xfId="0" applyFont="1" applyBorder="1"/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1" fillId="0" borderId="1" xfId="0" applyFont="1" applyBorder="1"/>
    <xf numFmtId="0" fontId="11" fillId="0" borderId="6" xfId="0" applyFont="1" applyBorder="1"/>
    <xf numFmtId="167" fontId="10" fillId="0" borderId="1" xfId="1" applyNumberFormat="1" applyFont="1" applyBorder="1"/>
    <xf numFmtId="167" fontId="10" fillId="0" borderId="6" xfId="1" applyNumberFormat="1" applyFont="1" applyBorder="1"/>
    <xf numFmtId="165" fontId="10" fillId="0" borderId="1" xfId="3" applyNumberFormat="1" applyFont="1" applyBorder="1"/>
    <xf numFmtId="165" fontId="10" fillId="0" borderId="6" xfId="3" applyNumberFormat="1" applyFont="1" applyBorder="1"/>
    <xf numFmtId="167" fontId="10" fillId="0" borderId="1" xfId="0" applyNumberFormat="1" applyFont="1" applyBorder="1"/>
    <xf numFmtId="165" fontId="10" fillId="0" borderId="1" xfId="0" applyNumberFormat="1" applyFont="1" applyBorder="1"/>
    <xf numFmtId="165" fontId="10" fillId="0" borderId="4" xfId="1" applyNumberFormat="1" applyFont="1" applyBorder="1" applyAlignment="1">
      <alignment horizontal="right"/>
    </xf>
    <xf numFmtId="165" fontId="10" fillId="0" borderId="1" xfId="1" applyNumberFormat="1" applyFont="1" applyBorder="1" applyAlignment="1">
      <alignment horizontal="right"/>
    </xf>
    <xf numFmtId="165" fontId="10" fillId="2" borderId="4" xfId="1" applyNumberFormat="1" applyFont="1" applyFill="1" applyBorder="1" applyAlignment="1">
      <alignment horizontal="right"/>
    </xf>
    <xf numFmtId="165" fontId="10" fillId="2" borderId="1" xfId="1" applyNumberFormat="1" applyFont="1" applyFill="1" applyBorder="1" applyAlignment="1">
      <alignment horizontal="right"/>
    </xf>
    <xf numFmtId="165" fontId="10" fillId="2" borderId="6" xfId="1" applyNumberFormat="1" applyFont="1" applyFill="1" applyBorder="1" applyAlignment="1">
      <alignment horizontal="right"/>
    </xf>
    <xf numFmtId="167" fontId="10" fillId="0" borderId="4" xfId="1" applyNumberFormat="1" applyFont="1" applyBorder="1" applyAlignment="1">
      <alignment horizontal="right"/>
    </xf>
    <xf numFmtId="167" fontId="10" fillId="0" borderId="1" xfId="1" applyNumberFormat="1" applyFont="1" applyBorder="1" applyAlignment="1">
      <alignment horizontal="right"/>
    </xf>
    <xf numFmtId="165" fontId="11" fillId="0" borderId="1" xfId="3" applyNumberFormat="1" applyFont="1" applyBorder="1"/>
    <xf numFmtId="167" fontId="11" fillId="0" borderId="1" xfId="1" applyNumberFormat="1" applyFont="1" applyBorder="1"/>
    <xf numFmtId="165" fontId="11" fillId="0" borderId="6" xfId="3" applyNumberFormat="1" applyFont="1" applyBorder="1"/>
    <xf numFmtId="165" fontId="10" fillId="2" borderId="3" xfId="1" applyNumberFormat="1" applyFont="1" applyFill="1" applyBorder="1" applyAlignment="1">
      <alignment horizontal="right"/>
    </xf>
    <xf numFmtId="167" fontId="10" fillId="2" borderId="1" xfId="1" applyNumberFormat="1" applyFont="1" applyFill="1" applyBorder="1"/>
    <xf numFmtId="167" fontId="10" fillId="2" borderId="6" xfId="1" applyNumberFormat="1" applyFont="1" applyFill="1" applyBorder="1"/>
    <xf numFmtId="165" fontId="10" fillId="0" borderId="6" xfId="1" applyNumberFormat="1" applyFont="1" applyBorder="1" applyAlignment="1">
      <alignment horizontal="right"/>
    </xf>
    <xf numFmtId="0" fontId="10" fillId="0" borderId="6" xfId="0" applyFont="1" applyFill="1" applyBorder="1"/>
    <xf numFmtId="167" fontId="12" fillId="2" borderId="4" xfId="1" applyNumberFormat="1" applyFont="1" applyFill="1" applyBorder="1" applyAlignment="1">
      <alignment horizontal="right"/>
    </xf>
    <xf numFmtId="167" fontId="12" fillId="2" borderId="1" xfId="1" applyNumberFormat="1" applyFont="1" applyFill="1" applyBorder="1" applyAlignment="1">
      <alignment horizontal="right"/>
    </xf>
    <xf numFmtId="167" fontId="2" fillId="0" borderId="1" xfId="0" applyNumberFormat="1" applyFont="1" applyBorder="1"/>
    <xf numFmtId="167" fontId="0" fillId="0" borderId="0" xfId="0" applyNumberFormat="1"/>
    <xf numFmtId="165" fontId="0" fillId="0" borderId="0" xfId="0" applyNumberFormat="1"/>
    <xf numFmtId="0" fontId="13" fillId="0" borderId="0" xfId="0" applyFont="1"/>
    <xf numFmtId="0" fontId="14" fillId="0" borderId="11" xfId="0" applyFont="1" applyBorder="1"/>
    <xf numFmtId="0" fontId="14" fillId="0" borderId="12" xfId="0" applyFont="1" applyBorder="1"/>
    <xf numFmtId="0" fontId="15" fillId="0" borderId="13" xfId="0" applyFont="1" applyBorder="1" applyAlignment="1">
      <alignment wrapText="1"/>
    </xf>
    <xf numFmtId="0" fontId="14" fillId="0" borderId="14" xfId="0" applyFont="1" applyBorder="1" applyAlignment="1">
      <alignment horizontal="left"/>
    </xf>
    <xf numFmtId="0" fontId="14" fillId="0" borderId="15" xfId="0" applyFont="1" applyBorder="1"/>
    <xf numFmtId="0" fontId="14" fillId="0" borderId="16" xfId="0" applyFont="1" applyBorder="1"/>
    <xf numFmtId="0" fontId="14" fillId="0" borderId="17" xfId="0" applyFont="1" applyBorder="1"/>
    <xf numFmtId="0" fontId="14" fillId="0" borderId="18" xfId="0" applyFont="1" applyBorder="1"/>
    <xf numFmtId="0" fontId="15" fillId="0" borderId="19" xfId="0" applyFont="1" applyBorder="1" applyAlignment="1">
      <alignment wrapText="1"/>
    </xf>
    <xf numFmtId="0" fontId="16" fillId="0" borderId="20" xfId="6" applyFont="1" applyBorder="1" applyAlignment="1">
      <alignment horizontal="left"/>
    </xf>
    <xf numFmtId="165" fontId="16" fillId="0" borderId="21" xfId="4" applyNumberFormat="1" applyFont="1" applyBorder="1" applyAlignment="1">
      <alignment horizontal="center"/>
    </xf>
    <xf numFmtId="165" fontId="16" fillId="0" borderId="22" xfId="4" applyNumberFormat="1" applyFont="1" applyBorder="1" applyAlignment="1">
      <alignment horizontal="center"/>
    </xf>
    <xf numFmtId="165" fontId="16" fillId="2" borderId="22" xfId="1" applyNumberFormat="1" applyFont="1" applyFill="1" applyBorder="1" applyAlignment="1">
      <alignment horizontal="right"/>
    </xf>
    <xf numFmtId="3" fontId="13" fillId="0" borderId="22" xfId="0" applyNumberFormat="1" applyFont="1" applyBorder="1" applyAlignment="1">
      <alignment horizontal="center"/>
    </xf>
    <xf numFmtId="167" fontId="13" fillId="0" borderId="22" xfId="1" applyNumberFormat="1" applyFont="1" applyBorder="1" applyAlignment="1">
      <alignment horizontal="right"/>
    </xf>
    <xf numFmtId="165" fontId="13" fillId="0" borderId="22" xfId="1" applyNumberFormat="1" applyFont="1" applyBorder="1"/>
    <xf numFmtId="167" fontId="13" fillId="0" borderId="23" xfId="1" applyNumberFormat="1" applyFont="1" applyBorder="1" applyAlignment="1">
      <alignment horizontal="right"/>
    </xf>
    <xf numFmtId="165" fontId="15" fillId="0" borderId="24" xfId="4" applyNumberFormat="1" applyFont="1" applyBorder="1" applyAlignment="1">
      <alignment horizontal="center"/>
    </xf>
    <xf numFmtId="165" fontId="15" fillId="0" borderId="25" xfId="4" applyNumberFormat="1" applyFont="1" applyBorder="1" applyAlignment="1">
      <alignment horizontal="center"/>
    </xf>
    <xf numFmtId="165" fontId="15" fillId="0" borderId="14" xfId="0" applyNumberFormat="1" applyFont="1" applyBorder="1"/>
    <xf numFmtId="0" fontId="16" fillId="0" borderId="20" xfId="0" applyFont="1" applyBorder="1" applyAlignment="1">
      <alignment horizontal="left"/>
    </xf>
    <xf numFmtId="165" fontId="16" fillId="0" borderId="4" xfId="4" applyNumberFormat="1" applyFont="1" applyBorder="1" applyAlignment="1">
      <alignment horizontal="center"/>
    </xf>
    <xf numFmtId="165" fontId="16" fillId="0" borderId="1" xfId="4" applyNumberFormat="1" applyFont="1" applyBorder="1" applyAlignment="1">
      <alignment horizontal="center"/>
    </xf>
    <xf numFmtId="165" fontId="16" fillId="0" borderId="1" xfId="1" applyNumberFormat="1" applyFont="1" applyBorder="1" applyAlignment="1">
      <alignment horizontal="right"/>
    </xf>
    <xf numFmtId="3" fontId="13" fillId="0" borderId="1" xfId="0" applyNumberFormat="1" applyFont="1" applyBorder="1" applyAlignment="1">
      <alignment horizontal="center"/>
    </xf>
    <xf numFmtId="167" fontId="13" fillId="0" borderId="1" xfId="1" applyNumberFormat="1" applyFont="1" applyBorder="1" applyAlignment="1">
      <alignment horizontal="right"/>
    </xf>
    <xf numFmtId="165" fontId="13" fillId="0" borderId="1" xfId="1" applyNumberFormat="1" applyFont="1" applyBorder="1"/>
    <xf numFmtId="167" fontId="13" fillId="0" borderId="5" xfId="1" applyNumberFormat="1" applyFont="1" applyBorder="1" applyAlignment="1">
      <alignment horizontal="right"/>
    </xf>
    <xf numFmtId="165" fontId="16" fillId="2" borderId="1" xfId="1" applyNumberFormat="1" applyFont="1" applyFill="1" applyBorder="1" applyAlignment="1">
      <alignment horizontal="right"/>
    </xf>
    <xf numFmtId="14" fontId="16" fillId="0" borderId="20" xfId="0" applyNumberFormat="1" applyFont="1" applyBorder="1" applyAlignment="1">
      <alignment horizontal="left"/>
    </xf>
    <xf numFmtId="165" fontId="16" fillId="0" borderId="1" xfId="1" applyNumberFormat="1" applyFont="1" applyFill="1" applyBorder="1" applyAlignment="1">
      <alignment horizontal="right"/>
    </xf>
    <xf numFmtId="165" fontId="16" fillId="0" borderId="1" xfId="1" applyNumberFormat="1" applyFont="1" applyBorder="1"/>
    <xf numFmtId="0" fontId="16" fillId="0" borderId="26" xfId="0" applyFont="1" applyBorder="1" applyAlignment="1">
      <alignment horizontal="left"/>
    </xf>
    <xf numFmtId="165" fontId="16" fillId="3" borderId="1" xfId="1" applyNumberFormat="1" applyFont="1" applyFill="1" applyBorder="1" applyAlignment="1">
      <alignment horizontal="right"/>
    </xf>
    <xf numFmtId="41" fontId="13" fillId="0" borderId="1" xfId="1" applyNumberFormat="1" applyFont="1" applyBorder="1" applyAlignment="1">
      <alignment horizontal="center"/>
    </xf>
    <xf numFmtId="14" fontId="16" fillId="0" borderId="26" xfId="0" applyNumberFormat="1" applyFont="1" applyBorder="1" applyAlignment="1">
      <alignment horizontal="left"/>
    </xf>
    <xf numFmtId="0" fontId="16" fillId="0" borderId="1" xfId="0" applyFont="1" applyBorder="1"/>
    <xf numFmtId="0" fontId="16" fillId="0" borderId="26" xfId="6" applyFont="1" applyBorder="1" applyAlignment="1">
      <alignment horizontal="left"/>
    </xf>
    <xf numFmtId="165" fontId="16" fillId="0" borderId="27" xfId="4" applyNumberFormat="1" applyFont="1" applyBorder="1" applyAlignment="1">
      <alignment horizontal="center"/>
    </xf>
    <xf numFmtId="165" fontId="16" fillId="0" borderId="28" xfId="4" applyNumberFormat="1" applyFont="1" applyBorder="1" applyAlignment="1">
      <alignment horizontal="center"/>
    </xf>
    <xf numFmtId="165" fontId="16" fillId="0" borderId="28" xfId="1" applyNumberFormat="1" applyFont="1" applyBorder="1" applyAlignment="1">
      <alignment horizontal="right"/>
    </xf>
    <xf numFmtId="165" fontId="13" fillId="0" borderId="28" xfId="1" applyNumberFormat="1" applyFont="1" applyBorder="1"/>
    <xf numFmtId="167" fontId="13" fillId="0" borderId="28" xfId="1" applyNumberFormat="1" applyFont="1" applyBorder="1" applyAlignment="1">
      <alignment horizontal="right"/>
    </xf>
    <xf numFmtId="167" fontId="13" fillId="0" borderId="29" xfId="1" applyNumberFormat="1" applyFont="1" applyBorder="1" applyAlignment="1">
      <alignment horizontal="right"/>
    </xf>
    <xf numFmtId="165" fontId="15" fillId="0" borderId="13" xfId="0" applyNumberFormat="1" applyFont="1" applyBorder="1"/>
    <xf numFmtId="0" fontId="14" fillId="0" borderId="30" xfId="0" applyFont="1" applyBorder="1" applyAlignment="1">
      <alignment horizontal="left"/>
    </xf>
    <xf numFmtId="165" fontId="15" fillId="0" borderId="17" xfId="4" applyNumberFormat="1" applyFont="1" applyBorder="1" applyAlignment="1">
      <alignment horizontal="center"/>
    </xf>
    <xf numFmtId="165" fontId="15" fillId="0" borderId="18" xfId="4" applyNumberFormat="1" applyFont="1" applyBorder="1" applyAlignment="1">
      <alignment horizontal="center"/>
    </xf>
    <xf numFmtId="165" fontId="14" fillId="0" borderId="17" xfId="4" applyNumberFormat="1" applyFont="1" applyBorder="1" applyAlignment="1">
      <alignment horizontal="center"/>
    </xf>
    <xf numFmtId="165" fontId="14" fillId="0" borderId="18" xfId="4" applyNumberFormat="1" applyFont="1" applyBorder="1" applyAlignment="1">
      <alignment horizontal="center"/>
    </xf>
    <xf numFmtId="165" fontId="15" fillId="0" borderId="31" xfId="4" applyNumberFormat="1" applyFont="1" applyBorder="1" applyAlignment="1">
      <alignment horizontal="center"/>
    </xf>
    <xf numFmtId="165" fontId="15" fillId="0" borderId="32" xfId="4" applyNumberFormat="1" applyFont="1" applyBorder="1" applyAlignment="1">
      <alignment horizontal="center"/>
    </xf>
    <xf numFmtId="165" fontId="15" fillId="0" borderId="30" xfId="0" applyNumberFormat="1" applyFont="1" applyBorder="1"/>
    <xf numFmtId="0" fontId="17" fillId="0" borderId="0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/>
    <xf numFmtId="0" fontId="18" fillId="0" borderId="0" xfId="0" applyFont="1"/>
    <xf numFmtId="0" fontId="19" fillId="0" borderId="0" xfId="0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Alignment="1">
      <alignment horizontal="left"/>
    </xf>
    <xf numFmtId="0" fontId="16" fillId="0" borderId="0" xfId="0" applyFont="1"/>
    <xf numFmtId="0" fontId="15" fillId="0" borderId="11" xfId="0" applyFont="1" applyBorder="1"/>
    <xf numFmtId="0" fontId="15" fillId="0" borderId="12" xfId="0" applyFont="1" applyBorder="1"/>
    <xf numFmtId="0" fontId="15" fillId="0" borderId="14" xfId="0" applyFont="1" applyBorder="1" applyAlignment="1">
      <alignment horizontal="left"/>
    </xf>
    <xf numFmtId="0" fontId="15" fillId="0" borderId="15" xfId="0" applyFont="1" applyBorder="1"/>
    <xf numFmtId="0" fontId="15" fillId="0" borderId="16" xfId="0" applyFont="1" applyBorder="1"/>
    <xf numFmtId="0" fontId="15" fillId="0" borderId="33" xfId="0" applyFont="1" applyBorder="1"/>
    <xf numFmtId="0" fontId="15" fillId="0" borderId="25" xfId="0" applyFont="1" applyBorder="1"/>
    <xf numFmtId="165" fontId="15" fillId="0" borderId="24" xfId="4" applyNumberFormat="1" applyFont="1" applyBorder="1"/>
    <xf numFmtId="165" fontId="15" fillId="0" borderId="25" xfId="4" applyNumberFormat="1" applyFont="1" applyBorder="1"/>
    <xf numFmtId="165" fontId="16" fillId="0" borderId="1" xfId="4" quotePrefix="1" applyNumberFormat="1" applyFont="1" applyBorder="1" applyAlignment="1">
      <alignment horizontal="center"/>
    </xf>
    <xf numFmtId="3" fontId="13" fillId="0" borderId="28" xfId="0" applyNumberFormat="1" applyFont="1" applyBorder="1" applyAlignment="1">
      <alignment horizontal="center"/>
    </xf>
    <xf numFmtId="0" fontId="15" fillId="0" borderId="30" xfId="0" applyFont="1" applyBorder="1" applyAlignment="1">
      <alignment horizontal="left"/>
    </xf>
    <xf numFmtId="165" fontId="21" fillId="0" borderId="17" xfId="4" applyNumberFormat="1" applyFont="1" applyBorder="1" applyAlignment="1">
      <alignment horizontal="center"/>
    </xf>
    <xf numFmtId="165" fontId="21" fillId="0" borderId="18" xfId="4" applyNumberFormat="1" applyFont="1" applyBorder="1" applyAlignment="1">
      <alignment horizontal="center"/>
    </xf>
    <xf numFmtId="165" fontId="15" fillId="0" borderId="33" xfId="4" applyNumberFormat="1" applyFont="1" applyBorder="1"/>
    <xf numFmtId="167" fontId="5" fillId="0" borderId="1" xfId="1" applyNumberFormat="1" applyFont="1" applyBorder="1"/>
    <xf numFmtId="167" fontId="6" fillId="0" borderId="1" xfId="1" applyNumberFormat="1" applyFont="1" applyBorder="1"/>
    <xf numFmtId="0" fontId="7" fillId="0" borderId="6" xfId="0" applyFont="1" applyBorder="1"/>
    <xf numFmtId="0" fontId="11" fillId="0" borderId="6" xfId="0" applyFont="1" applyBorder="1" applyAlignment="1"/>
    <xf numFmtId="0" fontId="11" fillId="0" borderId="3" xfId="0" applyFont="1" applyBorder="1" applyAlignment="1"/>
    <xf numFmtId="0" fontId="7" fillId="0" borderId="4" xfId="0" applyFont="1" applyBorder="1"/>
    <xf numFmtId="0" fontId="7" fillId="0" borderId="5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1" fillId="0" borderId="1" xfId="0" applyFont="1" applyFill="1" applyBorder="1"/>
    <xf numFmtId="0" fontId="2" fillId="0" borderId="1" xfId="0" applyFont="1" applyBorder="1"/>
    <xf numFmtId="167" fontId="22" fillId="0" borderId="1" xfId="1" applyNumberFormat="1" applyFont="1" applyBorder="1"/>
    <xf numFmtId="165" fontId="12" fillId="0" borderId="1" xfId="1" applyNumberFormat="1" applyFont="1" applyBorder="1"/>
    <xf numFmtId="165" fontId="22" fillId="0" borderId="4" xfId="1" applyNumberFormat="1" applyFont="1" applyBorder="1" applyAlignment="1">
      <alignment horizontal="right"/>
    </xf>
    <xf numFmtId="165" fontId="22" fillId="0" borderId="1" xfId="1" applyNumberFormat="1" applyFont="1" applyBorder="1" applyAlignment="1">
      <alignment horizontal="right"/>
    </xf>
    <xf numFmtId="165" fontId="22" fillId="2" borderId="4" xfId="1" applyNumberFormat="1" applyFont="1" applyFill="1" applyBorder="1" applyAlignment="1">
      <alignment horizontal="right"/>
    </xf>
    <xf numFmtId="165" fontId="22" fillId="2" borderId="1" xfId="1" applyNumberFormat="1" applyFont="1" applyFill="1" applyBorder="1" applyAlignment="1">
      <alignment horizontal="right"/>
    </xf>
    <xf numFmtId="165" fontId="22" fillId="2" borderId="3" xfId="1" applyNumberFormat="1" applyFont="1" applyFill="1" applyBorder="1" applyAlignment="1">
      <alignment horizontal="right"/>
    </xf>
    <xf numFmtId="165" fontId="22" fillId="0" borderId="5" xfId="1" applyNumberFormat="1" applyFont="1" applyBorder="1" applyAlignment="1">
      <alignment horizontal="right"/>
    </xf>
    <xf numFmtId="165" fontId="23" fillId="0" borderId="1" xfId="1" applyNumberFormat="1" applyFont="1" applyBorder="1"/>
    <xf numFmtId="0" fontId="22" fillId="0" borderId="1" xfId="0" applyFont="1" applyBorder="1"/>
    <xf numFmtId="0" fontId="7" fillId="0" borderId="6" xfId="0" applyFont="1" applyFill="1" applyBorder="1"/>
    <xf numFmtId="165" fontId="12" fillId="2" borderId="1" xfId="1" applyNumberFormat="1" applyFont="1" applyFill="1" applyBorder="1" applyAlignment="1">
      <alignment horizontal="right"/>
    </xf>
    <xf numFmtId="165" fontId="11" fillId="0" borderId="1" xfId="0" applyNumberFormat="1" applyFont="1" applyBorder="1"/>
    <xf numFmtId="0" fontId="16" fillId="0" borderId="14" xfId="0" applyFont="1" applyBorder="1" applyAlignment="1">
      <alignment horizontal="left"/>
    </xf>
    <xf numFmtId="0" fontId="16" fillId="0" borderId="33" xfId="0" applyFont="1" applyBorder="1"/>
    <xf numFmtId="0" fontId="16" fillId="0" borderId="34" xfId="0" applyFont="1" applyBorder="1"/>
    <xf numFmtId="0" fontId="15" fillId="0" borderId="34" xfId="0" applyFont="1" applyBorder="1"/>
    <xf numFmtId="0" fontId="16" fillId="0" borderId="35" xfId="6" applyFont="1" applyBorder="1" applyAlignment="1">
      <alignment horizontal="left"/>
    </xf>
    <xf numFmtId="165" fontId="16" fillId="0" borderId="4" xfId="4" applyNumberFormat="1" applyFont="1" applyBorder="1"/>
    <xf numFmtId="165" fontId="16" fillId="0" borderId="5" xfId="4" applyNumberFormat="1" applyFont="1" applyBorder="1"/>
    <xf numFmtId="3" fontId="13" fillId="0" borderId="8" xfId="0" applyNumberFormat="1" applyFont="1" applyBorder="1" applyAlignment="1">
      <alignment horizontal="center"/>
    </xf>
    <xf numFmtId="167" fontId="13" fillId="0" borderId="8" xfId="1" applyNumberFormat="1" applyFont="1" applyBorder="1" applyAlignment="1">
      <alignment horizontal="right"/>
    </xf>
    <xf numFmtId="165" fontId="13" fillId="0" borderId="8" xfId="1" applyNumberFormat="1" applyFont="1" applyBorder="1"/>
    <xf numFmtId="167" fontId="13" fillId="0" borderId="25" xfId="1" applyNumberFormat="1" applyFont="1" applyBorder="1" applyAlignment="1">
      <alignment horizontal="right"/>
    </xf>
    <xf numFmtId="165" fontId="15" fillId="0" borderId="33" xfId="4" applyNumberFormat="1" applyFont="1" applyBorder="1" applyAlignment="1">
      <alignment horizontal="center"/>
    </xf>
    <xf numFmtId="0" fontId="16" fillId="0" borderId="35" xfId="0" applyFont="1" applyBorder="1" applyAlignment="1">
      <alignment horizontal="left"/>
    </xf>
    <xf numFmtId="167" fontId="13" fillId="0" borderId="6" xfId="1" applyNumberFormat="1" applyFont="1" applyBorder="1" applyAlignment="1">
      <alignment horizontal="right"/>
    </xf>
    <xf numFmtId="14" fontId="16" fillId="0" borderId="35" xfId="0" applyNumberFormat="1" applyFont="1" applyBorder="1" applyAlignment="1">
      <alignment horizontal="left"/>
    </xf>
    <xf numFmtId="165" fontId="16" fillId="0" borderId="4" xfId="1" applyNumberFormat="1" applyFont="1" applyBorder="1" applyAlignment="1">
      <alignment horizontal="right"/>
    </xf>
    <xf numFmtId="0" fontId="16" fillId="0" borderId="36" xfId="0" applyFont="1" applyBorder="1" applyAlignment="1">
      <alignment horizontal="left"/>
    </xf>
    <xf numFmtId="165" fontId="16" fillId="0" borderId="37" xfId="4" applyNumberFormat="1" applyFont="1" applyBorder="1"/>
    <xf numFmtId="165" fontId="16" fillId="0" borderId="38" xfId="4" applyNumberFormat="1" applyFont="1" applyBorder="1"/>
    <xf numFmtId="165" fontId="16" fillId="0" borderId="39" xfId="1" applyNumberFormat="1" applyFont="1" applyBorder="1" applyAlignment="1">
      <alignment horizontal="right"/>
    </xf>
    <xf numFmtId="165" fontId="16" fillId="0" borderId="1" xfId="4" applyNumberFormat="1" applyFont="1" applyBorder="1"/>
    <xf numFmtId="14" fontId="16" fillId="0" borderId="36" xfId="0" applyNumberFormat="1" applyFont="1" applyBorder="1" applyAlignment="1">
      <alignment horizontal="left"/>
    </xf>
    <xf numFmtId="0" fontId="16" fillId="0" borderId="36" xfId="6" applyFont="1" applyBorder="1" applyAlignment="1">
      <alignment horizontal="left"/>
    </xf>
    <xf numFmtId="165" fontId="16" fillId="0" borderId="37" xfId="1" applyNumberFormat="1" applyFont="1" applyBorder="1" applyAlignment="1">
      <alignment horizontal="right"/>
    </xf>
    <xf numFmtId="165" fontId="16" fillId="0" borderId="38" xfId="1" applyNumberFormat="1" applyFont="1" applyBorder="1" applyAlignment="1">
      <alignment horizontal="right"/>
    </xf>
    <xf numFmtId="165" fontId="16" fillId="0" borderId="37" xfId="1" applyNumberFormat="1" applyFont="1" applyBorder="1"/>
    <xf numFmtId="165" fontId="16" fillId="0" borderId="38" xfId="1" applyNumberFormat="1" applyFont="1" applyBorder="1"/>
    <xf numFmtId="165" fontId="13" fillId="0" borderId="2" xfId="1" applyNumberFormat="1" applyFont="1" applyBorder="1"/>
    <xf numFmtId="167" fontId="13" fillId="0" borderId="2" xfId="1" applyNumberFormat="1" applyFont="1" applyBorder="1" applyAlignment="1">
      <alignment horizontal="right"/>
    </xf>
    <xf numFmtId="167" fontId="13" fillId="0" borderId="40" xfId="1" applyNumberFormat="1" applyFont="1" applyBorder="1" applyAlignment="1">
      <alignment horizontal="right"/>
    </xf>
    <xf numFmtId="165" fontId="15" fillId="0" borderId="15" xfId="4" applyNumberFormat="1" applyFont="1" applyBorder="1" applyAlignment="1">
      <alignment horizontal="center"/>
    </xf>
    <xf numFmtId="165" fontId="15" fillId="0" borderId="41" xfId="4" applyNumberFormat="1" applyFont="1" applyBorder="1" applyAlignment="1">
      <alignment horizontal="center"/>
    </xf>
    <xf numFmtId="0" fontId="24" fillId="0" borderId="30" xfId="0" applyFont="1" applyBorder="1" applyAlignment="1">
      <alignment horizontal="left"/>
    </xf>
    <xf numFmtId="165" fontId="15" fillId="0" borderId="31" xfId="4" applyNumberFormat="1" applyFont="1" applyBorder="1"/>
    <xf numFmtId="165" fontId="15" fillId="0" borderId="42" xfId="4" applyNumberFormat="1" applyFont="1" applyBorder="1"/>
    <xf numFmtId="165" fontId="14" fillId="0" borderId="31" xfId="4" applyNumberFormat="1" applyFont="1" applyBorder="1"/>
    <xf numFmtId="165" fontId="14" fillId="0" borderId="42" xfId="4" applyNumberFormat="1" applyFont="1" applyBorder="1"/>
    <xf numFmtId="0" fontId="25" fillId="0" borderId="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7" fillId="0" borderId="0" xfId="0" applyFont="1" applyAlignment="1">
      <alignment horizontal="left"/>
    </xf>
    <xf numFmtId="0" fontId="27" fillId="0" borderId="0" xfId="0" applyFont="1"/>
    <xf numFmtId="165" fontId="20" fillId="0" borderId="0" xfId="0" applyNumberFormat="1" applyFont="1"/>
    <xf numFmtId="0" fontId="28" fillId="0" borderId="0" xfId="0" applyFont="1" applyAlignment="1">
      <alignment horizontal="left"/>
    </xf>
    <xf numFmtId="0" fontId="15" fillId="0" borderId="17" xfId="0" applyFont="1" applyBorder="1"/>
    <xf numFmtId="0" fontId="15" fillId="0" borderId="18" xfId="0" applyFont="1" applyBorder="1"/>
    <xf numFmtId="165" fontId="16" fillId="0" borderId="21" xfId="4" applyNumberFormat="1" applyFont="1" applyBorder="1"/>
    <xf numFmtId="165" fontId="16" fillId="0" borderId="22" xfId="4" applyNumberFormat="1" applyFont="1" applyBorder="1"/>
    <xf numFmtId="165" fontId="16" fillId="0" borderId="22" xfId="1" applyNumberFormat="1" applyFont="1" applyBorder="1" applyAlignment="1">
      <alignment horizontal="right"/>
    </xf>
    <xf numFmtId="165" fontId="16" fillId="0" borderId="22" xfId="1" applyNumberFormat="1" applyFont="1" applyBorder="1"/>
    <xf numFmtId="165" fontId="15" fillId="0" borderId="34" xfId="4" applyNumberFormat="1" applyFont="1" applyBorder="1"/>
    <xf numFmtId="0" fontId="13" fillId="0" borderId="1" xfId="0" applyFont="1" applyBorder="1"/>
    <xf numFmtId="0" fontId="13" fillId="0" borderId="5" xfId="0" applyFont="1" applyBorder="1"/>
    <xf numFmtId="164" fontId="13" fillId="0" borderId="1" xfId="1" applyFont="1" applyBorder="1" applyAlignment="1">
      <alignment horizontal="center"/>
    </xf>
    <xf numFmtId="167" fontId="13" fillId="0" borderId="1" xfId="1" applyNumberFormat="1" applyFont="1" applyFill="1" applyBorder="1" applyAlignment="1">
      <alignment horizontal="right"/>
    </xf>
    <xf numFmtId="165" fontId="13" fillId="0" borderId="1" xfId="1" applyNumberFormat="1" applyFont="1" applyFill="1" applyBorder="1"/>
    <xf numFmtId="167" fontId="13" fillId="0" borderId="5" xfId="1" applyNumberFormat="1" applyFont="1" applyFill="1" applyBorder="1" applyAlignment="1">
      <alignment horizontal="right"/>
    </xf>
    <xf numFmtId="3" fontId="13" fillId="0" borderId="1" xfId="0" applyNumberFormat="1" applyFont="1" applyFill="1" applyBorder="1" applyAlignment="1">
      <alignment horizontal="center"/>
    </xf>
    <xf numFmtId="165" fontId="16" fillId="0" borderId="27" xfId="4" applyNumberFormat="1" applyFont="1" applyBorder="1"/>
    <xf numFmtId="165" fontId="16" fillId="0" borderId="28" xfId="4" applyNumberFormat="1" applyFont="1" applyBorder="1"/>
    <xf numFmtId="165" fontId="16" fillId="0" borderId="28" xfId="1" applyNumberFormat="1" applyFont="1" applyBorder="1"/>
    <xf numFmtId="165" fontId="15" fillId="0" borderId="43" xfId="4" applyNumberFormat="1" applyFont="1" applyBorder="1"/>
    <xf numFmtId="165" fontId="15" fillId="0" borderId="16" xfId="4" applyNumberFormat="1" applyFont="1" applyBorder="1"/>
    <xf numFmtId="165" fontId="15" fillId="0" borderId="17" xfId="4" applyNumberFormat="1" applyFont="1" applyBorder="1"/>
    <xf numFmtId="165" fontId="15" fillId="0" borderId="18" xfId="4" applyNumberFormat="1" applyFont="1" applyBorder="1"/>
    <xf numFmtId="165" fontId="5" fillId="0" borderId="4" xfId="1" applyNumberFormat="1" applyFont="1" applyBorder="1" applyAlignment="1">
      <alignment horizontal="right"/>
    </xf>
    <xf numFmtId="165" fontId="5" fillId="0" borderId="1" xfId="1" applyNumberFormat="1" applyFont="1" applyBorder="1" applyAlignment="1">
      <alignment horizontal="right"/>
    </xf>
    <xf numFmtId="165" fontId="5" fillId="2" borderId="4" xfId="1" applyNumberFormat="1" applyFont="1" applyFill="1" applyBorder="1" applyAlignment="1">
      <alignment horizontal="right"/>
    </xf>
    <xf numFmtId="165" fontId="5" fillId="2" borderId="1" xfId="1" applyNumberFormat="1" applyFont="1" applyFill="1" applyBorder="1" applyAlignment="1">
      <alignment horizontal="right"/>
    </xf>
    <xf numFmtId="167" fontId="8" fillId="0" borderId="1" xfId="1" applyNumberFormat="1" applyFont="1" applyBorder="1"/>
    <xf numFmtId="165" fontId="5" fillId="2" borderId="3" xfId="1" applyNumberFormat="1" applyFont="1" applyFill="1" applyBorder="1" applyAlignment="1">
      <alignment horizontal="right"/>
    </xf>
    <xf numFmtId="165" fontId="5" fillId="0" borderId="5" xfId="1" applyNumberFormat="1" applyFont="1" applyBorder="1" applyAlignment="1">
      <alignment horizontal="right"/>
    </xf>
    <xf numFmtId="165" fontId="4" fillId="2" borderId="4" xfId="1" applyNumberFormat="1" applyFont="1" applyFill="1" applyBorder="1" applyAlignment="1">
      <alignment horizontal="right"/>
    </xf>
    <xf numFmtId="165" fontId="4" fillId="2" borderId="1" xfId="1" applyNumberFormat="1" applyFont="1" applyFill="1" applyBorder="1" applyAlignment="1">
      <alignment horizontal="right"/>
    </xf>
    <xf numFmtId="167" fontId="7" fillId="0" borderId="1" xfId="1" applyNumberFormat="1" applyFont="1" applyBorder="1"/>
    <xf numFmtId="165" fontId="4" fillId="0" borderId="1" xfId="1" applyNumberFormat="1" applyFont="1" applyBorder="1"/>
    <xf numFmtId="168" fontId="5" fillId="0" borderId="1" xfId="1" applyNumberFormat="1" applyFont="1" applyBorder="1"/>
    <xf numFmtId="164" fontId="8" fillId="0" borderId="1" xfId="1" applyFont="1" applyBorder="1"/>
    <xf numFmtId="164" fontId="7" fillId="0" borderId="1" xfId="1" applyFont="1" applyBorder="1"/>
    <xf numFmtId="168" fontId="6" fillId="0" borderId="1" xfId="1" applyNumberFormat="1" applyFont="1" applyBorder="1"/>
    <xf numFmtId="164" fontId="5" fillId="0" borderId="1" xfId="1" applyFont="1" applyBorder="1"/>
    <xf numFmtId="168" fontId="5" fillId="0" borderId="0" xfId="0" applyNumberFormat="1" applyFont="1"/>
    <xf numFmtId="164" fontId="0" fillId="0" borderId="0" xfId="0" applyNumberFormat="1"/>
    <xf numFmtId="0" fontId="30" fillId="0" borderId="0" xfId="0" applyFont="1"/>
    <xf numFmtId="0" fontId="11" fillId="0" borderId="4" xfId="0" applyFont="1" applyBorder="1"/>
    <xf numFmtId="0" fontId="11" fillId="0" borderId="5" xfId="0" applyFont="1" applyBorder="1"/>
    <xf numFmtId="0" fontId="31" fillId="0" borderId="1" xfId="0" applyFont="1" applyBorder="1"/>
    <xf numFmtId="0" fontId="31" fillId="0" borderId="6" xfId="0" applyFont="1" applyBorder="1"/>
    <xf numFmtId="168" fontId="10" fillId="0" borderId="1" xfId="1" applyNumberFormat="1" applyFont="1" applyBorder="1"/>
    <xf numFmtId="164" fontId="10" fillId="0" borderId="1" xfId="1" applyFont="1" applyBorder="1"/>
    <xf numFmtId="164" fontId="11" fillId="0" borderId="1" xfId="1" applyFont="1" applyBorder="1"/>
    <xf numFmtId="166" fontId="32" fillId="0" borderId="1" xfId="3" applyNumberFormat="1" applyFont="1" applyBorder="1"/>
    <xf numFmtId="165" fontId="32" fillId="0" borderId="1" xfId="3" applyNumberFormat="1" applyFont="1" applyBorder="1"/>
    <xf numFmtId="164" fontId="32" fillId="0" borderId="0" xfId="1" applyFont="1"/>
    <xf numFmtId="165" fontId="32" fillId="0" borderId="6" xfId="3" applyNumberFormat="1" applyFont="1" applyBorder="1"/>
    <xf numFmtId="164" fontId="30" fillId="0" borderId="1" xfId="0" applyNumberFormat="1" applyFont="1" applyBorder="1"/>
    <xf numFmtId="167" fontId="30" fillId="0" borderId="1" xfId="1" applyNumberFormat="1" applyFont="1" applyBorder="1"/>
    <xf numFmtId="165" fontId="30" fillId="0" borderId="1" xfId="0" applyNumberFormat="1" applyFont="1" applyBorder="1"/>
    <xf numFmtId="164" fontId="32" fillId="0" borderId="1" xfId="3" applyFont="1" applyBorder="1"/>
    <xf numFmtId="164" fontId="32" fillId="0" borderId="6" xfId="3" applyFont="1" applyBorder="1"/>
    <xf numFmtId="0" fontId="30" fillId="0" borderId="1" xfId="0" applyFont="1" applyBorder="1"/>
    <xf numFmtId="164" fontId="10" fillId="0" borderId="1" xfId="0" applyNumberFormat="1" applyFont="1" applyBorder="1"/>
    <xf numFmtId="0" fontId="32" fillId="0" borderId="0" xfId="0" applyFont="1"/>
    <xf numFmtId="166" fontId="32" fillId="0" borderId="6" xfId="3" applyNumberFormat="1" applyFont="1" applyBorder="1"/>
    <xf numFmtId="164" fontId="32" fillId="0" borderId="1" xfId="0" applyNumberFormat="1" applyFont="1" applyBorder="1"/>
    <xf numFmtId="167" fontId="32" fillId="0" borderId="1" xfId="1" applyNumberFormat="1" applyFont="1" applyBorder="1"/>
    <xf numFmtId="165" fontId="32" fillId="0" borderId="1" xfId="0" applyNumberFormat="1" applyFont="1" applyBorder="1"/>
    <xf numFmtId="164" fontId="11" fillId="0" borderId="1" xfId="0" applyNumberFormat="1" applyFont="1" applyBorder="1"/>
    <xf numFmtId="167" fontId="22" fillId="0" borderId="39" xfId="1" applyNumberFormat="1" applyFont="1" applyFill="1" applyBorder="1"/>
    <xf numFmtId="169" fontId="30" fillId="0" borderId="0" xfId="0" applyNumberFormat="1" applyFont="1"/>
    <xf numFmtId="43" fontId="2" fillId="0" borderId="0" xfId="0" applyNumberFormat="1" applyFont="1"/>
    <xf numFmtId="0" fontId="8" fillId="0" borderId="1" xfId="0" applyFont="1" applyBorder="1"/>
    <xf numFmtId="164" fontId="6" fillId="0" borderId="1" xfId="1" applyFont="1" applyBorder="1"/>
    <xf numFmtId="1" fontId="2" fillId="0" borderId="0" xfId="0" applyNumberFormat="1" applyFont="1"/>
    <xf numFmtId="164" fontId="34" fillId="2" borderId="44" xfId="1" applyFont="1" applyFill="1" applyBorder="1" applyAlignment="1">
      <alignment horizontal="center" vertical="top" wrapText="1"/>
    </xf>
    <xf numFmtId="164" fontId="35" fillId="2" borderId="44" xfId="1" applyFont="1" applyFill="1" applyBorder="1" applyAlignment="1">
      <alignment horizontal="center" vertical="top" wrapText="1"/>
    </xf>
    <xf numFmtId="0" fontId="5" fillId="0" borderId="1" xfId="0" applyFont="1" applyFill="1" applyBorder="1"/>
    <xf numFmtId="164" fontId="34" fillId="0" borderId="1" xfId="1" applyFont="1" applyBorder="1"/>
    <xf numFmtId="164" fontId="34" fillId="0" borderId="1" xfId="1" applyFont="1" applyBorder="1" applyAlignment="1">
      <alignment horizontal="right"/>
    </xf>
    <xf numFmtId="164" fontId="35" fillId="0" borderId="1" xfId="1" applyFont="1" applyBorder="1"/>
    <xf numFmtId="0" fontId="36" fillId="0" borderId="0" xfId="0" applyFont="1" applyBorder="1"/>
    <xf numFmtId="168" fontId="5" fillId="0" borderId="0" xfId="1" applyNumberFormat="1" applyFont="1" applyBorder="1"/>
    <xf numFmtId="164" fontId="5" fillId="0" borderId="0" xfId="1" applyNumberFormat="1" applyFont="1" applyBorder="1"/>
    <xf numFmtId="167" fontId="5" fillId="0" borderId="0" xfId="1" applyNumberFormat="1" applyFont="1" applyBorder="1"/>
    <xf numFmtId="0" fontId="5" fillId="0" borderId="0" xfId="0" applyFont="1" applyFill="1" applyBorder="1"/>
    <xf numFmtId="0" fontId="8" fillId="0" borderId="6" xfId="0" applyFont="1" applyBorder="1"/>
    <xf numFmtId="0" fontId="8" fillId="0" borderId="7" xfId="0" applyFont="1" applyBorder="1"/>
    <xf numFmtId="0" fontId="5" fillId="0" borderId="7" xfId="0" applyFont="1" applyBorder="1"/>
    <xf numFmtId="0" fontId="37" fillId="0" borderId="1" xfId="0" applyFont="1" applyBorder="1"/>
    <xf numFmtId="166" fontId="34" fillId="0" borderId="1" xfId="1" applyNumberFormat="1" applyFont="1" applyBorder="1"/>
    <xf numFmtId="166" fontId="5" fillId="0" borderId="1" xfId="1" applyNumberFormat="1" applyFont="1" applyBorder="1"/>
    <xf numFmtId="3" fontId="0" fillId="0" borderId="0" xfId="0" applyNumberFormat="1" applyFont="1"/>
    <xf numFmtId="3" fontId="2" fillId="0" borderId="0" xfId="0" applyNumberFormat="1" applyFont="1"/>
    <xf numFmtId="166" fontId="0" fillId="0" borderId="0" xfId="0" applyNumberFormat="1" applyFont="1"/>
    <xf numFmtId="169" fontId="36" fillId="0" borderId="0" xfId="0" applyNumberFormat="1" applyFont="1" applyBorder="1"/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33" fillId="0" borderId="0" xfId="0" applyFont="1"/>
    <xf numFmtId="0" fontId="40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9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7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11" fillId="0" borderId="7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 wrapText="1"/>
    </xf>
    <xf numFmtId="0" fontId="15" fillId="0" borderId="19" xfId="0" applyFont="1" applyBorder="1" applyAlignment="1">
      <alignment horizontal="center" wrapText="1"/>
    </xf>
    <xf numFmtId="0" fontId="3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37" fillId="0" borderId="6" xfId="0" applyFont="1" applyBorder="1" applyAlignment="1">
      <alignment horizontal="center"/>
    </xf>
    <xf numFmtId="0" fontId="3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0" fillId="0" borderId="45" xfId="0" applyFont="1" applyBorder="1"/>
    <xf numFmtId="0" fontId="10" fillId="0" borderId="7" xfId="0" applyFont="1" applyBorder="1"/>
    <xf numFmtId="0" fontId="10" fillId="4" borderId="6" xfId="0" applyFont="1" applyFill="1" applyBorder="1"/>
    <xf numFmtId="0" fontId="6" fillId="4" borderId="1" xfId="0" applyFont="1" applyFill="1" applyBorder="1"/>
    <xf numFmtId="167" fontId="10" fillId="4" borderId="1" xfId="1" applyNumberFormat="1" applyFont="1" applyFill="1" applyBorder="1"/>
    <xf numFmtId="165" fontId="10" fillId="4" borderId="1" xfId="0" applyNumberFormat="1" applyFont="1" applyFill="1" applyBorder="1"/>
    <xf numFmtId="0" fontId="0" fillId="4" borderId="0" xfId="0" applyFill="1"/>
    <xf numFmtId="165" fontId="0" fillId="4" borderId="0" xfId="0" applyNumberFormat="1" applyFill="1"/>
    <xf numFmtId="0" fontId="10" fillId="4" borderId="1" xfId="0" applyFont="1" applyFill="1" applyBorder="1"/>
    <xf numFmtId="167" fontId="5" fillId="0" borderId="3" xfId="1" applyNumberFormat="1" applyFont="1" applyBorder="1"/>
    <xf numFmtId="165" fontId="5" fillId="0" borderId="6" xfId="1" applyNumberFormat="1" applyFont="1" applyBorder="1" applyAlignment="1">
      <alignment horizontal="right"/>
    </xf>
    <xf numFmtId="165" fontId="8" fillId="0" borderId="8" xfId="3" applyNumberFormat="1" applyFont="1" applyBorder="1"/>
    <xf numFmtId="165" fontId="6" fillId="0" borderId="8" xfId="3" applyNumberFormat="1" applyFont="1" applyBorder="1"/>
    <xf numFmtId="167" fontId="10" fillId="5" borderId="1" xfId="1" applyNumberFormat="1" applyFont="1" applyFill="1" applyBorder="1"/>
    <xf numFmtId="0" fontId="10" fillId="0" borderId="46" xfId="0" applyFont="1" applyBorder="1" applyAlignment="1">
      <alignment horizontal="center"/>
    </xf>
    <xf numFmtId="167" fontId="10" fillId="0" borderId="3" xfId="1" applyNumberFormat="1" applyFont="1" applyBorder="1"/>
    <xf numFmtId="0" fontId="10" fillId="0" borderId="45" xfId="0" applyFont="1" applyBorder="1" applyAlignment="1">
      <alignment horizontal="center"/>
    </xf>
    <xf numFmtId="0" fontId="14" fillId="0" borderId="47" xfId="0" applyFont="1" applyBorder="1"/>
    <xf numFmtId="0" fontId="14" fillId="0" borderId="0" xfId="0" applyFont="1" applyBorder="1"/>
    <xf numFmtId="0" fontId="15" fillId="0" borderId="47" xfId="0" applyFont="1" applyBorder="1"/>
    <xf numFmtId="0" fontId="15" fillId="0" borderId="0" xfId="0" applyFont="1" applyBorder="1"/>
  </cellXfs>
  <cellStyles count="8">
    <cellStyle name="Comma" xfId="1" builtinId="3"/>
    <cellStyle name="Comma 2" xfId="3" xr:uid="{00000000-0005-0000-0000-000001000000}"/>
    <cellStyle name="Comma 3" xfId="4" xr:uid="{00000000-0005-0000-0000-000002000000}"/>
    <cellStyle name="Comma 4" xfId="5" xr:uid="{00000000-0005-0000-0000-000003000000}"/>
    <cellStyle name="Comma 5" xfId="2" xr:uid="{00000000-0005-0000-0000-000004000000}"/>
    <cellStyle name="Normal" xfId="0" builtinId="0"/>
    <cellStyle name="Normal 2" xfId="6" xr:uid="{00000000-0005-0000-0000-000006000000}"/>
    <cellStyle name="Normal 3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45"/>
  <sheetViews>
    <sheetView topLeftCell="A7" workbookViewId="0">
      <pane xSplit="2" ySplit="2" topLeftCell="AD33" activePane="bottomRight" state="frozen"/>
      <selection activeCell="A7" sqref="A7"/>
      <selection pane="topRight" activeCell="C7" sqref="C7"/>
      <selection pane="bottomLeft" activeCell="A9" sqref="A9"/>
      <selection pane="bottomRight" activeCell="AL42" activeCellId="11" sqref="E42:E43 H42:H43 K42:K43 N42:N43 Q42:Q43 T42:T43 W42:W43 Z42:Z43 AC42:AC43 AF42:AF43 AI42:AI43 AL42:AL43"/>
    </sheetView>
  </sheetViews>
  <sheetFormatPr defaultRowHeight="15" x14ac:dyDescent="0.25"/>
  <cols>
    <col min="1" max="2" width="20.28515625" style="1" customWidth="1"/>
    <col min="3" max="23" width="16.7109375" style="1" customWidth="1"/>
    <col min="24" max="24" width="11.28515625" style="1" customWidth="1"/>
    <col min="25" max="25" width="12.140625" style="1" bestFit="1" customWidth="1"/>
    <col min="26" max="26" width="12.140625" style="1" customWidth="1"/>
    <col min="27" max="38" width="13.85546875" style="1" customWidth="1"/>
    <col min="39" max="41" width="15.5703125" style="1" customWidth="1"/>
    <col min="42" max="42" width="13.85546875" style="1" customWidth="1"/>
    <col min="43" max="16384" width="9.140625" style="1"/>
  </cols>
  <sheetData>
    <row r="1" spans="1:43" ht="19.5" x14ac:dyDescent="0.4">
      <c r="A1" s="313"/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04"/>
    </row>
    <row r="2" spans="1:43" ht="19.5" x14ac:dyDescent="0.4">
      <c r="A2" s="313"/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  <c r="P2" s="313"/>
      <c r="Q2" s="313"/>
      <c r="R2" s="313"/>
      <c r="S2" s="313"/>
      <c r="T2" s="313"/>
      <c r="U2" s="313"/>
      <c r="V2" s="313"/>
      <c r="W2" s="304"/>
    </row>
    <row r="3" spans="1:43" ht="19.5" x14ac:dyDescent="0.4">
      <c r="A3" s="313" t="s">
        <v>116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  <c r="R3" s="313"/>
      <c r="S3" s="313"/>
      <c r="T3" s="313"/>
      <c r="U3" s="313"/>
      <c r="V3" s="313"/>
      <c r="W3" s="304"/>
    </row>
    <row r="4" spans="1:43" ht="19.5" x14ac:dyDescent="0.4">
      <c r="A4" s="313" t="s">
        <v>102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3"/>
      <c r="R4" s="313"/>
      <c r="S4" s="313"/>
      <c r="T4" s="313"/>
      <c r="U4" s="313"/>
      <c r="V4" s="313"/>
      <c r="W4" s="304"/>
    </row>
    <row r="7" spans="1:43" ht="22.5" x14ac:dyDescent="0.45">
      <c r="A7" s="7"/>
      <c r="B7" s="141"/>
      <c r="C7" s="314" t="s">
        <v>1</v>
      </c>
      <c r="D7" s="316"/>
      <c r="E7" s="305"/>
      <c r="F7" s="314" t="s">
        <v>39</v>
      </c>
      <c r="G7" s="315"/>
      <c r="H7" s="305"/>
      <c r="I7" s="314" t="s">
        <v>2</v>
      </c>
      <c r="J7" s="315"/>
      <c r="K7" s="305"/>
      <c r="L7" s="314" t="s">
        <v>40</v>
      </c>
      <c r="M7" s="315"/>
      <c r="N7" s="305"/>
      <c r="O7" s="314" t="s">
        <v>3</v>
      </c>
      <c r="P7" s="315"/>
      <c r="Q7" s="305"/>
      <c r="R7" s="314" t="s">
        <v>4</v>
      </c>
      <c r="S7" s="315"/>
      <c r="T7" s="305"/>
      <c r="U7" s="314" t="s">
        <v>5</v>
      </c>
      <c r="V7" s="315"/>
      <c r="W7" s="305"/>
      <c r="X7" s="314" t="s">
        <v>41</v>
      </c>
      <c r="Y7" s="315"/>
      <c r="Z7" s="305"/>
      <c r="AA7" s="314" t="s">
        <v>88</v>
      </c>
      <c r="AB7" s="315"/>
      <c r="AC7" s="305"/>
      <c r="AD7" s="310" t="s">
        <v>43</v>
      </c>
      <c r="AE7" s="311"/>
      <c r="AF7" s="303"/>
      <c r="AG7" s="310" t="s">
        <v>44</v>
      </c>
      <c r="AH7" s="311"/>
      <c r="AI7" s="303"/>
      <c r="AJ7" s="310" t="s">
        <v>45</v>
      </c>
      <c r="AK7" s="312"/>
      <c r="AL7" s="303"/>
      <c r="AM7" s="8"/>
      <c r="AN7" s="9"/>
      <c r="AO7" s="10">
        <v>2014</v>
      </c>
      <c r="AP7" s="10">
        <v>2013</v>
      </c>
      <c r="AQ7" s="11"/>
    </row>
    <row r="8" spans="1:43" ht="18.75" x14ac:dyDescent="0.4">
      <c r="A8" s="4" t="s">
        <v>57</v>
      </c>
      <c r="B8" s="4"/>
      <c r="C8" s="4" t="s">
        <v>49</v>
      </c>
      <c r="D8" s="4" t="s">
        <v>50</v>
      </c>
      <c r="E8" s="4"/>
      <c r="F8" s="4" t="s">
        <v>49</v>
      </c>
      <c r="G8" s="4" t="s">
        <v>50</v>
      </c>
      <c r="H8" s="4"/>
      <c r="I8" s="4" t="s">
        <v>49</v>
      </c>
      <c r="J8" s="4" t="s">
        <v>50</v>
      </c>
      <c r="K8" s="4"/>
      <c r="L8" s="4" t="s">
        <v>49</v>
      </c>
      <c r="M8" s="4" t="s">
        <v>50</v>
      </c>
      <c r="N8" s="4"/>
      <c r="O8" s="4" t="s">
        <v>49</v>
      </c>
      <c r="P8" s="4" t="s">
        <v>50</v>
      </c>
      <c r="Q8" s="4"/>
      <c r="R8" s="4" t="s">
        <v>49</v>
      </c>
      <c r="S8" s="4" t="s">
        <v>50</v>
      </c>
      <c r="T8" s="4"/>
      <c r="U8" s="4" t="s">
        <v>49</v>
      </c>
      <c r="V8" s="4" t="s">
        <v>50</v>
      </c>
      <c r="W8" s="4"/>
      <c r="X8" s="4" t="s">
        <v>49</v>
      </c>
      <c r="Y8" s="4" t="s">
        <v>50</v>
      </c>
      <c r="Z8" s="4"/>
      <c r="AA8" s="4" t="s">
        <v>49</v>
      </c>
      <c r="AB8" s="4" t="s">
        <v>50</v>
      </c>
      <c r="AC8" s="4"/>
      <c r="AD8" s="4" t="s">
        <v>49</v>
      </c>
      <c r="AE8" s="4" t="s">
        <v>50</v>
      </c>
      <c r="AF8" s="4"/>
      <c r="AG8" s="4" t="s">
        <v>49</v>
      </c>
      <c r="AH8" s="4" t="s">
        <v>50</v>
      </c>
      <c r="AI8" s="4"/>
      <c r="AJ8" s="4" t="s">
        <v>49</v>
      </c>
      <c r="AK8" s="4" t="s">
        <v>50</v>
      </c>
      <c r="AL8" s="18"/>
      <c r="AM8" s="18" t="s">
        <v>49</v>
      </c>
      <c r="AN8" s="18" t="s">
        <v>50</v>
      </c>
      <c r="AO8" s="18" t="s">
        <v>47</v>
      </c>
      <c r="AP8" s="19" t="s">
        <v>47</v>
      </c>
      <c r="AQ8" s="4" t="s">
        <v>6</v>
      </c>
    </row>
    <row r="9" spans="1:43" ht="18.75" x14ac:dyDescent="0.4">
      <c r="A9" s="4" t="s">
        <v>7</v>
      </c>
      <c r="B9" s="4" t="str">
        <f>RIGHT(A9,3)</f>
        <v>DOM</v>
      </c>
      <c r="C9" s="139">
        <f>137434+3556</f>
        <v>140990</v>
      </c>
      <c r="D9" s="139">
        <f>132471+3577</f>
        <v>136048</v>
      </c>
      <c r="E9" s="139"/>
      <c r="F9" s="139">
        <f>141160+2828</f>
        <v>143988</v>
      </c>
      <c r="G9" s="139">
        <f>144566+2937</f>
        <v>147503</v>
      </c>
      <c r="H9" s="139"/>
      <c r="I9" s="139">
        <f>163030+3907</f>
        <v>166937</v>
      </c>
      <c r="J9" s="139">
        <f>159568+3862</f>
        <v>163430</v>
      </c>
      <c r="K9" s="139"/>
      <c r="L9" s="139">
        <f>168950+3896</f>
        <v>172846</v>
      </c>
      <c r="M9" s="139">
        <f>171782+3772</f>
        <v>175554</v>
      </c>
      <c r="N9" s="139"/>
      <c r="O9" s="139">
        <f>155547+3633</f>
        <v>159180</v>
      </c>
      <c r="P9" s="139">
        <f>159601+3974</f>
        <v>163575</v>
      </c>
      <c r="Q9" s="139"/>
      <c r="R9" s="139">
        <f>163991+3673</f>
        <v>167664</v>
      </c>
      <c r="S9" s="139">
        <f>164318+3650</f>
        <v>167968</v>
      </c>
      <c r="T9" s="139"/>
      <c r="U9" s="139">
        <f>162217+4799</f>
        <v>167016</v>
      </c>
      <c r="V9" s="139">
        <f>161393+4802</f>
        <v>166195</v>
      </c>
      <c r="W9" s="139"/>
      <c r="X9" s="139">
        <f>162348+4142</f>
        <v>166490</v>
      </c>
      <c r="Y9" s="139">
        <f>164965+4119</f>
        <v>169084</v>
      </c>
      <c r="Z9" s="139"/>
      <c r="AA9" s="139">
        <f>171058+3983</f>
        <v>175041</v>
      </c>
      <c r="AB9" s="139">
        <f>166094+3996</f>
        <v>170090</v>
      </c>
      <c r="AC9" s="139"/>
      <c r="AD9" s="12">
        <f>161434+4390</f>
        <v>165824</v>
      </c>
      <c r="AE9" s="12">
        <f>159208+4561</f>
        <v>163769</v>
      </c>
      <c r="AF9" s="12"/>
      <c r="AG9" s="12">
        <f>174992+5586</f>
        <v>180578</v>
      </c>
      <c r="AH9" s="12">
        <f>176360+4807</f>
        <v>181167</v>
      </c>
      <c r="AI9" s="12"/>
      <c r="AJ9" s="12">
        <f>187400+4538</f>
        <v>191938</v>
      </c>
      <c r="AK9" s="12">
        <f>200327+4538</f>
        <v>204865</v>
      </c>
      <c r="AL9" s="16"/>
      <c r="AM9" s="16">
        <f>C9+F9+I9+L9+O9+R9+U9+X9+AA9+AD9+AG9+AJ9</f>
        <v>1998492</v>
      </c>
      <c r="AN9" s="16">
        <f>D9+G9+J9+M9+P9+S9+V9+Y9+AB9+AE9+AH9+AK9</f>
        <v>2009248</v>
      </c>
      <c r="AO9" s="21">
        <f>SUM(AM9:AN9)</f>
        <v>4007740</v>
      </c>
      <c r="AP9" s="140">
        <v>3454250</v>
      </c>
      <c r="AQ9" s="17">
        <f>(AO9-AP9)*100/AP9</f>
        <v>16.023449373959615</v>
      </c>
    </row>
    <row r="10" spans="1:43" ht="18.75" x14ac:dyDescent="0.4">
      <c r="A10" s="4" t="s">
        <v>51</v>
      </c>
      <c r="B10" s="4" t="str">
        <f>RIGHT(A10,3)</f>
        <v>T'L</v>
      </c>
      <c r="C10" s="139">
        <f>138111+1295</f>
        <v>139406</v>
      </c>
      <c r="D10" s="139">
        <f>146071+1007</f>
        <v>147078</v>
      </c>
      <c r="E10" s="139"/>
      <c r="F10" s="139">
        <f>109335+828</f>
        <v>110163</v>
      </c>
      <c r="G10" s="139">
        <f>122300+738</f>
        <v>123038</v>
      </c>
      <c r="H10" s="139"/>
      <c r="I10" s="139">
        <f>124778+1111</f>
        <v>125889</v>
      </c>
      <c r="J10" s="139">
        <f>138087+818</f>
        <v>138905</v>
      </c>
      <c r="K10" s="139"/>
      <c r="L10" s="139">
        <f>137936+2782</f>
        <v>140718</v>
      </c>
      <c r="M10" s="139">
        <f>136268+1576</f>
        <v>137844</v>
      </c>
      <c r="N10" s="139"/>
      <c r="O10" s="139">
        <f>134638+1409</f>
        <v>136047</v>
      </c>
      <c r="P10" s="139">
        <f>144478+1372</f>
        <v>145850</v>
      </c>
      <c r="Q10" s="139"/>
      <c r="R10" s="139">
        <v>136597</v>
      </c>
      <c r="S10" s="139">
        <v>137011</v>
      </c>
      <c r="T10" s="139"/>
      <c r="U10" s="139">
        <f>134392+847</f>
        <v>135239</v>
      </c>
      <c r="V10" s="139">
        <f>159309+831</f>
        <v>160140</v>
      </c>
      <c r="W10" s="139"/>
      <c r="X10" s="139">
        <f>136388+705</f>
        <v>137093</v>
      </c>
      <c r="Y10" s="139">
        <f>158377+600</f>
        <v>158977</v>
      </c>
      <c r="Z10" s="139"/>
      <c r="AA10" s="139">
        <f>137718+801</f>
        <v>138519</v>
      </c>
      <c r="AB10" s="139">
        <f>158400+7804</f>
        <v>166204</v>
      </c>
      <c r="AC10" s="139"/>
      <c r="AD10" s="12">
        <f>137847+9797</f>
        <v>147644</v>
      </c>
      <c r="AE10" s="12">
        <f>158481+2414</f>
        <v>160895</v>
      </c>
      <c r="AF10" s="12"/>
      <c r="AG10" s="12">
        <f>119958+3770</f>
        <v>123728</v>
      </c>
      <c r="AH10" s="12">
        <f>112845+4686</f>
        <v>117531</v>
      </c>
      <c r="AI10" s="12"/>
      <c r="AJ10" s="12">
        <f>157286+5795</f>
        <v>163081</v>
      </c>
      <c r="AK10" s="12">
        <f>133319+5851</f>
        <v>139170</v>
      </c>
      <c r="AL10" s="16"/>
      <c r="AM10" s="16">
        <f>C10+F10+I10+L10+O10+R10+U10+X10+AA10+AD10+AG10+AJ10</f>
        <v>1634124</v>
      </c>
      <c r="AN10" s="16">
        <f>D10+G10+J10+M10+P10+S10+V10+Y10+AB10+AE10+AH10+AK10</f>
        <v>1732643</v>
      </c>
      <c r="AO10" s="21">
        <f t="shared" ref="AO10:AO44" si="0">SUM(AM10:AN10)</f>
        <v>3366767</v>
      </c>
      <c r="AP10" s="140">
        <v>3395872</v>
      </c>
      <c r="AQ10" s="17">
        <f t="shared" ref="AQ10:AQ44" si="1">(AO10-AP10)*100/AP10</f>
        <v>-0.85706999557109342</v>
      </c>
    </row>
    <row r="11" spans="1:43" ht="18.75" x14ac:dyDescent="0.4">
      <c r="A11" s="4" t="s">
        <v>89</v>
      </c>
      <c r="B11" s="4" t="str">
        <f t="shared" ref="B11:B40" si="2">RIGHT(A11,3)</f>
        <v>DOM</v>
      </c>
      <c r="C11" s="139">
        <f>115793+3047</f>
        <v>118840</v>
      </c>
      <c r="D11" s="139">
        <f>102508+2770</f>
        <v>105278</v>
      </c>
      <c r="E11" s="139"/>
      <c r="F11" s="139">
        <f>111284+3864</f>
        <v>115148</v>
      </c>
      <c r="G11" s="139">
        <f>115359+3608</f>
        <v>118967</v>
      </c>
      <c r="H11" s="139"/>
      <c r="I11" s="139">
        <f>118189+3338</f>
        <v>121527</v>
      </c>
      <c r="J11" s="139">
        <f>118088+3401</f>
        <v>121489</v>
      </c>
      <c r="K11" s="139"/>
      <c r="L11" s="139">
        <f>134094+4859</f>
        <v>138953</v>
      </c>
      <c r="M11" s="139">
        <f>132996+4423</f>
        <v>137419</v>
      </c>
      <c r="N11" s="139"/>
      <c r="O11" s="139">
        <f>136090+4932</f>
        <v>141022</v>
      </c>
      <c r="P11" s="139">
        <f>133012+4516</f>
        <v>137528</v>
      </c>
      <c r="Q11" s="139"/>
      <c r="R11" s="139">
        <f>150049+3277</f>
        <v>153326</v>
      </c>
      <c r="S11" s="139">
        <f>133295+3700</f>
        <v>136995</v>
      </c>
      <c r="T11" s="139"/>
      <c r="U11" s="139">
        <f>116111+4363</f>
        <v>120474</v>
      </c>
      <c r="V11" s="139">
        <f>121260+3785</f>
        <v>125045</v>
      </c>
      <c r="W11" s="139"/>
      <c r="X11" s="139">
        <f>125554+3936</f>
        <v>129490</v>
      </c>
      <c r="Y11" s="139">
        <f>126050+4001</f>
        <v>130051</v>
      </c>
      <c r="Z11" s="139"/>
      <c r="AA11" s="139">
        <f>137233+4765</f>
        <v>141998</v>
      </c>
      <c r="AB11" s="139">
        <f>135456+5108</f>
        <v>140564</v>
      </c>
      <c r="AC11" s="139"/>
      <c r="AD11" s="12">
        <f>141647+5428</f>
        <v>147075</v>
      </c>
      <c r="AE11" s="12">
        <f>146321+5369</f>
        <v>151690</v>
      </c>
      <c r="AF11" s="12"/>
      <c r="AG11" s="12">
        <f>156301+4560</f>
        <v>160861</v>
      </c>
      <c r="AH11" s="12">
        <f>148688+3535</f>
        <v>152223</v>
      </c>
      <c r="AI11" s="12"/>
      <c r="AJ11" s="12">
        <f>151451+6619</f>
        <v>158070</v>
      </c>
      <c r="AK11" s="12">
        <f>162123+8830</f>
        <v>170953</v>
      </c>
      <c r="AL11" s="16"/>
      <c r="AM11" s="16">
        <f>C11+F11+I11+L11+O11+R11+U11+X11+AA11+AD11+AG11+AJ11</f>
        <v>1646784</v>
      </c>
      <c r="AN11" s="16">
        <f>D11+G11+J11+M11+P11+S11+V11+Y11+AB11+AE11+AH11+AK11</f>
        <v>1628202</v>
      </c>
      <c r="AO11" s="21">
        <f t="shared" si="0"/>
        <v>3274986</v>
      </c>
      <c r="AP11" s="140">
        <v>3015803</v>
      </c>
      <c r="AQ11" s="17">
        <f t="shared" si="1"/>
        <v>8.5941621518381677</v>
      </c>
    </row>
    <row r="12" spans="1:43" ht="18.75" x14ac:dyDescent="0.4">
      <c r="A12" s="4" t="s">
        <v>90</v>
      </c>
      <c r="B12" s="4" t="str">
        <f t="shared" si="2"/>
        <v>T'L</v>
      </c>
      <c r="C12" s="139">
        <f>40308+1024</f>
        <v>41332</v>
      </c>
      <c r="D12" s="139">
        <f>37548+609</f>
        <v>38157</v>
      </c>
      <c r="E12" s="139"/>
      <c r="F12" s="139">
        <f>28418+1109</f>
        <v>29527</v>
      </c>
      <c r="G12" s="139">
        <f>27200+1105</f>
        <v>28305</v>
      </c>
      <c r="H12" s="139"/>
      <c r="I12" s="139">
        <f>32396+2800</f>
        <v>35196</v>
      </c>
      <c r="J12" s="139">
        <f>31524+2699</f>
        <v>34223</v>
      </c>
      <c r="K12" s="139"/>
      <c r="L12" s="139">
        <f>32040+908</f>
        <v>32948</v>
      </c>
      <c r="M12" s="139">
        <f>33756+528</f>
        <v>34284</v>
      </c>
      <c r="N12" s="139"/>
      <c r="O12" s="139">
        <f>33161+1012</f>
        <v>34173</v>
      </c>
      <c r="P12" s="139">
        <f>33988+612</f>
        <v>34600</v>
      </c>
      <c r="Q12" s="139"/>
      <c r="R12" s="139">
        <f>34435+1677</f>
        <v>36112</v>
      </c>
      <c r="S12" s="139">
        <f>32769+2026</f>
        <v>34795</v>
      </c>
      <c r="T12" s="139"/>
      <c r="U12" s="139">
        <f>37544+2037</f>
        <v>39581</v>
      </c>
      <c r="V12" s="139">
        <f>36866+922</f>
        <v>37788</v>
      </c>
      <c r="W12" s="139"/>
      <c r="X12" s="139">
        <f>41704+456</f>
        <v>42160</v>
      </c>
      <c r="Y12" s="139">
        <f>52543+720</f>
        <v>53263</v>
      </c>
      <c r="Z12" s="139"/>
      <c r="AA12" s="139">
        <f>37234+1388</f>
        <v>38622</v>
      </c>
      <c r="AB12" s="139">
        <f>37234+5741</f>
        <v>42975</v>
      </c>
      <c r="AC12" s="139"/>
      <c r="AD12" s="12">
        <f>35593+6796</f>
        <v>42389</v>
      </c>
      <c r="AE12" s="12">
        <f>31144+2309</f>
        <v>33453</v>
      </c>
      <c r="AF12" s="12"/>
      <c r="AG12" s="12">
        <f>34589+1825</f>
        <v>36414</v>
      </c>
      <c r="AH12" s="12">
        <f>30778+1189</f>
        <v>31967</v>
      </c>
      <c r="AI12" s="12"/>
      <c r="AJ12" s="12">
        <f>35533+2911</f>
        <v>38444</v>
      </c>
      <c r="AK12" s="12">
        <f>40859+3123</f>
        <v>43982</v>
      </c>
      <c r="AL12" s="16"/>
      <c r="AM12" s="16">
        <f>C12+F12+I12+L12+O12+R12+U12+X12+AA12+AD12+AG12+AJ12</f>
        <v>446898</v>
      </c>
      <c r="AN12" s="16">
        <f>D12+G12+J12+M12+P12+S12+V12+Y12+AB12+AE12+AH12+AK12</f>
        <v>447792</v>
      </c>
      <c r="AO12" s="21">
        <f t="shared" si="0"/>
        <v>894690</v>
      </c>
      <c r="AP12" s="140">
        <v>854129</v>
      </c>
      <c r="AQ12" s="17">
        <f t="shared" si="1"/>
        <v>4.7488142891764591</v>
      </c>
    </row>
    <row r="13" spans="1:43" ht="18.75" x14ac:dyDescent="0.4">
      <c r="A13" s="4" t="s">
        <v>52</v>
      </c>
      <c r="B13" s="4" t="str">
        <f t="shared" si="2"/>
        <v>DOM</v>
      </c>
      <c r="C13" s="139">
        <f>38857+1382</f>
        <v>40239</v>
      </c>
      <c r="D13" s="139">
        <f>41790+1367</f>
        <v>43157</v>
      </c>
      <c r="E13" s="139"/>
      <c r="F13" s="139">
        <f>42340+1756</f>
        <v>44096</v>
      </c>
      <c r="G13" s="139">
        <f>42928+1427</f>
        <v>44355</v>
      </c>
      <c r="H13" s="139"/>
      <c r="I13" s="139">
        <f>49462+1794</f>
        <v>51256</v>
      </c>
      <c r="J13" s="139">
        <f>49540+1543</f>
        <v>51083</v>
      </c>
      <c r="K13" s="139"/>
      <c r="L13" s="139">
        <f>52716+2070</f>
        <v>54786</v>
      </c>
      <c r="M13" s="139">
        <f>52901+1932</f>
        <v>54833</v>
      </c>
      <c r="N13" s="139"/>
      <c r="O13" s="139">
        <f>48826+1631</f>
        <v>50457</v>
      </c>
      <c r="P13" s="139">
        <f>48134+1488</f>
        <v>49622</v>
      </c>
      <c r="Q13" s="139"/>
      <c r="R13" s="139">
        <f>50891+1532</f>
        <v>52423</v>
      </c>
      <c r="S13" s="139">
        <f>50409+1646</f>
        <v>52055</v>
      </c>
      <c r="T13" s="139"/>
      <c r="U13" s="139">
        <f>49856+1607</f>
        <v>51463</v>
      </c>
      <c r="V13" s="139">
        <f>52062+1972</f>
        <v>54034</v>
      </c>
      <c r="W13" s="139"/>
      <c r="X13" s="139">
        <f>50448+1873</f>
        <v>52321</v>
      </c>
      <c r="Y13" s="139">
        <f>51096+1812</f>
        <v>52908</v>
      </c>
      <c r="Z13" s="139"/>
      <c r="AA13" s="139">
        <v>48658</v>
      </c>
      <c r="AB13" s="139">
        <v>47890</v>
      </c>
      <c r="AC13" s="139"/>
      <c r="AD13" s="12">
        <f>48564+4357</f>
        <v>52921</v>
      </c>
      <c r="AE13" s="12">
        <f>48621+2647</f>
        <v>51268</v>
      </c>
      <c r="AF13" s="12"/>
      <c r="AG13" s="12">
        <f>52714+2855</f>
        <v>55569</v>
      </c>
      <c r="AH13" s="12">
        <f>51397+2703</f>
        <v>54100</v>
      </c>
      <c r="AI13" s="12"/>
      <c r="AJ13" s="12">
        <f>57048+3253</f>
        <v>60301</v>
      </c>
      <c r="AK13" s="12">
        <f>52547+2793</f>
        <v>55340</v>
      </c>
      <c r="AL13" s="16"/>
      <c r="AM13" s="16">
        <f>C13+F13+I13+L13+O13+R13+U13+X13+AA13+AD13+AG13+AJ13</f>
        <v>614490</v>
      </c>
      <c r="AN13" s="16">
        <f>D13+G13+J13+M13+P13+S13+V13+Y13+AB13+AE13+AH13+AK13</f>
        <v>610645</v>
      </c>
      <c r="AO13" s="21">
        <f t="shared" si="0"/>
        <v>1225135</v>
      </c>
      <c r="AP13" s="140">
        <v>1113183</v>
      </c>
      <c r="AQ13" s="17">
        <f t="shared" si="1"/>
        <v>10.056926848505592</v>
      </c>
    </row>
    <row r="14" spans="1:43" ht="18.75" x14ac:dyDescent="0.4">
      <c r="A14" s="4" t="s">
        <v>91</v>
      </c>
      <c r="B14" s="4" t="str">
        <f t="shared" si="2"/>
        <v>T'L</v>
      </c>
      <c r="C14" s="139">
        <f>4910+203</f>
        <v>5113</v>
      </c>
      <c r="D14" s="139">
        <f>5707+219</f>
        <v>5926</v>
      </c>
      <c r="E14" s="139"/>
      <c r="F14" s="139">
        <f>3023+227</f>
        <v>3250</v>
      </c>
      <c r="G14" s="139">
        <f>3486+233</f>
        <v>3719</v>
      </c>
      <c r="H14" s="139"/>
      <c r="I14" s="139">
        <f>3912+178</f>
        <v>4090</v>
      </c>
      <c r="J14" s="139">
        <f>3779+437</f>
        <v>4216</v>
      </c>
      <c r="K14" s="139"/>
      <c r="L14" s="139">
        <f>4387+543</f>
        <v>4930</v>
      </c>
      <c r="M14" s="139">
        <f>4904+443</f>
        <v>5347</v>
      </c>
      <c r="N14" s="139"/>
      <c r="O14" s="139">
        <f>4449+166</f>
        <v>4615</v>
      </c>
      <c r="P14" s="139">
        <f>4312+236</f>
        <v>4548</v>
      </c>
      <c r="Q14" s="139"/>
      <c r="R14" s="139">
        <f>3876+297</f>
        <v>4173</v>
      </c>
      <c r="S14" s="139">
        <f>4107+378</f>
        <v>4485</v>
      </c>
      <c r="T14" s="139"/>
      <c r="U14" s="139">
        <f>4850+154</f>
        <v>5004</v>
      </c>
      <c r="V14" s="139">
        <f>5561+230</f>
        <v>5791</v>
      </c>
      <c r="W14" s="139"/>
      <c r="X14" s="139">
        <f>5358+37</f>
        <v>5395</v>
      </c>
      <c r="Y14" s="139">
        <f>5731+45</f>
        <v>5776</v>
      </c>
      <c r="Z14" s="139"/>
      <c r="AA14" s="139">
        <v>4029</v>
      </c>
      <c r="AB14" s="139">
        <v>4818</v>
      </c>
      <c r="AC14" s="139"/>
      <c r="AD14" s="12">
        <f>4418+979</f>
        <v>5397</v>
      </c>
      <c r="AE14" s="12">
        <f>3554+15</f>
        <v>3569</v>
      </c>
      <c r="AF14" s="12"/>
      <c r="AG14" s="12">
        <f>4181+16</f>
        <v>4197</v>
      </c>
      <c r="AH14" s="12">
        <f>3354+73</f>
        <v>3427</v>
      </c>
      <c r="AI14" s="12"/>
      <c r="AJ14" s="12">
        <f>6042+21</f>
        <v>6063</v>
      </c>
      <c r="AK14" s="12">
        <f>4447+17</f>
        <v>4464</v>
      </c>
      <c r="AL14" s="16"/>
      <c r="AM14" s="16">
        <f>C14+F14+I14+L14+O14+R14+U14+X14+AA14+AD14+AG14+AJ14</f>
        <v>56256</v>
      </c>
      <c r="AN14" s="16">
        <f>D14+G14+J14+M14+P14+S14+V14+Y14+AB14+AE14+AH14+AK14</f>
        <v>56086</v>
      </c>
      <c r="AO14" s="21">
        <f t="shared" si="0"/>
        <v>112342</v>
      </c>
      <c r="AP14" s="140">
        <v>129176</v>
      </c>
      <c r="AQ14" s="17">
        <f t="shared" si="1"/>
        <v>-13.031832538552052</v>
      </c>
    </row>
    <row r="15" spans="1:43" ht="18.75" x14ac:dyDescent="0.4">
      <c r="A15" s="4" t="s">
        <v>11</v>
      </c>
      <c r="B15" s="4" t="str">
        <f t="shared" si="2"/>
        <v>DOM</v>
      </c>
      <c r="C15" s="139">
        <f>7000+242</f>
        <v>7242</v>
      </c>
      <c r="D15" s="139">
        <f>7475+171</f>
        <v>7646</v>
      </c>
      <c r="E15" s="139"/>
      <c r="F15" s="139">
        <f>7688+265</f>
        <v>7953</v>
      </c>
      <c r="G15" s="139">
        <f>7661+220</f>
        <v>7881</v>
      </c>
      <c r="H15" s="139"/>
      <c r="I15" s="139">
        <f>8736+197</f>
        <v>8933</v>
      </c>
      <c r="J15" s="139">
        <f>8581+141</f>
        <v>8722</v>
      </c>
      <c r="K15" s="139"/>
      <c r="L15" s="139">
        <f>10496+257</f>
        <v>10753</v>
      </c>
      <c r="M15" s="139">
        <f>10623+306</f>
        <v>10929</v>
      </c>
      <c r="N15" s="358"/>
      <c r="O15" s="228">
        <f>11388+186</f>
        <v>11574</v>
      </c>
      <c r="P15" s="229">
        <f>11204+196</f>
        <v>11400</v>
      </c>
      <c r="Q15" s="229"/>
      <c r="R15" s="139">
        <f>11778+400</f>
        <v>12178</v>
      </c>
      <c r="S15" s="139">
        <f>12920+367</f>
        <v>13287</v>
      </c>
      <c r="T15" s="139"/>
      <c r="U15" s="139">
        <f>12133+120</f>
        <v>12253</v>
      </c>
      <c r="V15" s="139">
        <f>10167+123</f>
        <v>10290</v>
      </c>
      <c r="W15" s="139"/>
      <c r="X15" s="139">
        <f>11007+619</f>
        <v>11626</v>
      </c>
      <c r="Y15" s="139">
        <f>12333+692</f>
        <v>13025</v>
      </c>
      <c r="Z15" s="139"/>
      <c r="AA15" s="139">
        <f>10449+500</f>
        <v>10949</v>
      </c>
      <c r="AB15" s="139">
        <f>10679+191</f>
        <v>10870</v>
      </c>
      <c r="AC15" s="139"/>
      <c r="AD15" s="12">
        <f>10513+245</f>
        <v>10758</v>
      </c>
      <c r="AE15" s="12">
        <f>11254+175</f>
        <v>11429</v>
      </c>
      <c r="AF15" s="12"/>
      <c r="AG15" s="12">
        <f>11339+207</f>
        <v>11546</v>
      </c>
      <c r="AH15" s="12">
        <f>11697+184</f>
        <v>11881</v>
      </c>
      <c r="AI15" s="12"/>
      <c r="AJ15" s="12">
        <f>11084+390</f>
        <v>11474</v>
      </c>
      <c r="AK15" s="12">
        <f>12778+550</f>
        <v>13328</v>
      </c>
      <c r="AL15" s="16"/>
      <c r="AM15" s="16">
        <f>C15+F15+I15+L15+O15+R15+U15+X15+AA15+AD15+AG15+AJ15</f>
        <v>127239</v>
      </c>
      <c r="AN15" s="16">
        <f>D15+G15+J15+M15+P15+S15+V15+Y15+AB15+AE15+AH15+AK15</f>
        <v>130688</v>
      </c>
      <c r="AO15" s="21">
        <f t="shared" si="0"/>
        <v>257927</v>
      </c>
      <c r="AP15" s="140">
        <v>202934</v>
      </c>
      <c r="AQ15" s="17">
        <f t="shared" si="1"/>
        <v>27.098958282003014</v>
      </c>
    </row>
    <row r="16" spans="1:43" ht="18.75" x14ac:dyDescent="0.4">
      <c r="A16" s="4" t="s">
        <v>12</v>
      </c>
      <c r="B16" s="4" t="str">
        <f t="shared" si="2"/>
        <v>T'L</v>
      </c>
      <c r="C16" s="139">
        <f>5696+27</f>
        <v>5723</v>
      </c>
      <c r="D16" s="139">
        <f>5573+7</f>
        <v>5580</v>
      </c>
      <c r="E16" s="139"/>
      <c r="F16" s="139">
        <f>5266+127</f>
        <v>5393</v>
      </c>
      <c r="G16" s="139">
        <f>6143+122</f>
        <v>6265</v>
      </c>
      <c r="H16" s="139"/>
      <c r="I16" s="139">
        <f>6618+6</f>
        <v>6624</v>
      </c>
      <c r="J16" s="139">
        <f>7676+0</f>
        <v>7676</v>
      </c>
      <c r="K16" s="139"/>
      <c r="L16" s="139">
        <f>7205</f>
        <v>7205</v>
      </c>
      <c r="M16" s="139">
        <f>8011+27</f>
        <v>8038</v>
      </c>
      <c r="N16" s="358"/>
      <c r="O16" s="228">
        <f>6747+11</f>
        <v>6758</v>
      </c>
      <c r="P16" s="229">
        <f>7039+20</f>
        <v>7059</v>
      </c>
      <c r="Q16" s="229"/>
      <c r="R16" s="139">
        <f>7721+22</f>
        <v>7743</v>
      </c>
      <c r="S16" s="139">
        <f>8754+11</f>
        <v>8765</v>
      </c>
      <c r="T16" s="139"/>
      <c r="U16" s="139">
        <f>10482+39</f>
        <v>10521</v>
      </c>
      <c r="V16" s="139">
        <f>13621+121</f>
        <v>13742</v>
      </c>
      <c r="W16" s="139"/>
      <c r="X16" s="139">
        <f>8426+33</f>
        <v>8459</v>
      </c>
      <c r="Y16" s="139">
        <f>5014+68</f>
        <v>5082</v>
      </c>
      <c r="Z16" s="139"/>
      <c r="AA16" s="139">
        <f>3891+32</f>
        <v>3923</v>
      </c>
      <c r="AB16" s="139">
        <f>17153+49</f>
        <v>17202</v>
      </c>
      <c r="AC16" s="139"/>
      <c r="AD16" s="12">
        <f>15779+13</f>
        <v>15792</v>
      </c>
      <c r="AE16" s="12">
        <f>3968+8</f>
        <v>3976</v>
      </c>
      <c r="AF16" s="12"/>
      <c r="AG16" s="12">
        <v>3218</v>
      </c>
      <c r="AH16" s="12">
        <v>3007</v>
      </c>
      <c r="AI16" s="12"/>
      <c r="AJ16" s="12">
        <f>2987+5</f>
        <v>2992</v>
      </c>
      <c r="AK16" s="12">
        <f>4587+6</f>
        <v>4593</v>
      </c>
      <c r="AL16" s="16"/>
      <c r="AM16" s="16">
        <f>C16+F16+I16+L16+O16+R16+U16+X16+AA16+AD16+AG16+AJ16</f>
        <v>84351</v>
      </c>
      <c r="AN16" s="16">
        <f>D16+G16+J16+M16+P16+S16+V16+Y16+AB16+AE16+AH16+AK16</f>
        <v>90985</v>
      </c>
      <c r="AO16" s="21">
        <f t="shared" si="0"/>
        <v>175336</v>
      </c>
      <c r="AP16" s="140">
        <v>127824</v>
      </c>
      <c r="AQ16" s="17">
        <f t="shared" si="1"/>
        <v>37.169858555513834</v>
      </c>
    </row>
    <row r="17" spans="1:43" ht="19.5" x14ac:dyDescent="0.4">
      <c r="A17" s="4" t="s">
        <v>13</v>
      </c>
      <c r="B17" s="4"/>
      <c r="C17" s="139">
        <f>8496+151</f>
        <v>8647</v>
      </c>
      <c r="D17" s="139">
        <f>11558+150</f>
        <v>11708</v>
      </c>
      <c r="E17" s="139"/>
      <c r="F17" s="139">
        <f>9485+347</f>
        <v>9832</v>
      </c>
      <c r="G17" s="139">
        <f>9527+355</f>
        <v>9882</v>
      </c>
      <c r="H17" s="139"/>
      <c r="I17" s="139">
        <f>10962+288</f>
        <v>11250</v>
      </c>
      <c r="J17" s="139">
        <f>10993+280</f>
        <v>11273</v>
      </c>
      <c r="K17" s="358"/>
      <c r="L17" s="230">
        <v>12912</v>
      </c>
      <c r="M17" s="231">
        <v>12525</v>
      </c>
      <c r="N17" s="233"/>
      <c r="O17" s="230">
        <v>10946</v>
      </c>
      <c r="P17" s="231">
        <v>11682</v>
      </c>
      <c r="Q17" s="233"/>
      <c r="R17" s="230">
        <v>11909</v>
      </c>
      <c r="S17" s="231">
        <v>13860</v>
      </c>
      <c r="T17" s="231"/>
      <c r="U17" s="139">
        <v>12053</v>
      </c>
      <c r="V17" s="139">
        <v>14422</v>
      </c>
      <c r="W17" s="139"/>
      <c r="X17" s="139">
        <f>12819</f>
        <v>12819</v>
      </c>
      <c r="Y17" s="139">
        <v>15245</v>
      </c>
      <c r="Z17" s="358"/>
      <c r="AA17" s="228">
        <v>11424</v>
      </c>
      <c r="AB17" s="229">
        <v>11783</v>
      </c>
      <c r="AC17" s="229"/>
      <c r="AD17" s="13">
        <v>12600</v>
      </c>
      <c r="AE17" s="13">
        <v>11410</v>
      </c>
      <c r="AF17" s="13"/>
      <c r="AG17" s="232">
        <v>10359</v>
      </c>
      <c r="AH17" s="232">
        <v>13378</v>
      </c>
      <c r="AI17" s="232"/>
      <c r="AJ17" s="13">
        <v>10288</v>
      </c>
      <c r="AK17" s="13">
        <v>18816</v>
      </c>
      <c r="AL17" s="360"/>
      <c r="AM17" s="16">
        <f>C17+F17+I17+L17+O17+R17+U17+X17+AA17+AD17+AG17+AJ17</f>
        <v>135039</v>
      </c>
      <c r="AN17" s="16">
        <f>D17+G17+J17+M17+P17+S17+V17+Y17+AB17+AE17+AH17+AK17</f>
        <v>155984</v>
      </c>
      <c r="AO17" s="21">
        <f t="shared" si="0"/>
        <v>291023</v>
      </c>
      <c r="AP17" s="140">
        <v>225915</v>
      </c>
      <c r="AQ17" s="17">
        <f t="shared" si="1"/>
        <v>28.819688821016754</v>
      </c>
    </row>
    <row r="18" spans="1:43" ht="19.5" x14ac:dyDescent="0.4">
      <c r="A18" s="4" t="s">
        <v>14</v>
      </c>
      <c r="B18" s="4" t="str">
        <f t="shared" si="2"/>
        <v>T'L</v>
      </c>
      <c r="C18" s="139">
        <v>1545</v>
      </c>
      <c r="D18" s="139">
        <v>1631</v>
      </c>
      <c r="E18" s="139"/>
      <c r="F18" s="139">
        <f>864</f>
        <v>864</v>
      </c>
      <c r="G18" s="139">
        <v>1135</v>
      </c>
      <c r="H18" s="139"/>
      <c r="I18" s="139">
        <f>1738</f>
        <v>1738</v>
      </c>
      <c r="J18" s="139">
        <v>1999</v>
      </c>
      <c r="K18" s="358"/>
      <c r="L18" s="233">
        <v>1268</v>
      </c>
      <c r="M18" s="231">
        <v>1272</v>
      </c>
      <c r="N18" s="233"/>
      <c r="O18" s="233">
        <v>1587</v>
      </c>
      <c r="P18" s="231">
        <v>922</v>
      </c>
      <c r="Q18" s="231"/>
      <c r="R18" s="231">
        <v>2375</v>
      </c>
      <c r="S18" s="231">
        <v>0</v>
      </c>
      <c r="T18" s="231"/>
      <c r="U18" s="139">
        <v>2659</v>
      </c>
      <c r="V18" s="139">
        <v>0</v>
      </c>
      <c r="W18" s="139"/>
      <c r="X18" s="139">
        <v>2969</v>
      </c>
      <c r="Y18" s="139">
        <v>0</v>
      </c>
      <c r="Z18" s="358"/>
      <c r="AA18" s="228">
        <v>2860</v>
      </c>
      <c r="AB18" s="229">
        <v>3013</v>
      </c>
      <c r="AC18" s="229"/>
      <c r="AD18" s="13">
        <v>2878</v>
      </c>
      <c r="AE18" s="13">
        <v>3145</v>
      </c>
      <c r="AF18" s="13"/>
      <c r="AG18" s="232">
        <v>3186</v>
      </c>
      <c r="AH18" s="232">
        <v>2781</v>
      </c>
      <c r="AI18" s="232"/>
      <c r="AJ18" s="13">
        <v>4339</v>
      </c>
      <c r="AK18" s="13">
        <v>2341</v>
      </c>
      <c r="AL18" s="360"/>
      <c r="AM18" s="16">
        <f>C18+F18+I18+L18+O18+R18+U18+X18+AA18+AD18+AG18+AJ18</f>
        <v>28268</v>
      </c>
      <c r="AN18" s="16">
        <f>D18+G18+J18+M18+P18+S18+V18+Y18+AB18+AE18+AH18+AK18</f>
        <v>18239</v>
      </c>
      <c r="AO18" s="21">
        <f t="shared" si="0"/>
        <v>46507</v>
      </c>
      <c r="AP18" s="140">
        <v>13741</v>
      </c>
      <c r="AQ18" s="17">
        <f t="shared" si="1"/>
        <v>238.45426097081727</v>
      </c>
    </row>
    <row r="19" spans="1:43" ht="18.75" x14ac:dyDescent="0.4">
      <c r="A19" s="4" t="s">
        <v>15</v>
      </c>
      <c r="B19" s="4"/>
      <c r="C19" s="139">
        <f>7669+75</f>
        <v>7744</v>
      </c>
      <c r="D19" s="139">
        <f>7915+74</f>
        <v>7989</v>
      </c>
      <c r="E19" s="139"/>
      <c r="F19" s="139">
        <f>9848+99</f>
        <v>9947</v>
      </c>
      <c r="G19" s="139">
        <f>9433+84</f>
        <v>9517</v>
      </c>
      <c r="H19" s="139"/>
      <c r="I19" s="139">
        <f>10260+111</f>
        <v>10371</v>
      </c>
      <c r="J19" s="139">
        <f>10828+112</f>
        <v>10940</v>
      </c>
      <c r="K19" s="139"/>
      <c r="L19" s="139">
        <f>10630+108</f>
        <v>10738</v>
      </c>
      <c r="M19" s="139">
        <f>10724+105</f>
        <v>10829</v>
      </c>
      <c r="N19" s="139"/>
      <c r="O19" s="139">
        <f>10122+177</f>
        <v>10299</v>
      </c>
      <c r="P19" s="139">
        <f>10152+155</f>
        <v>10307</v>
      </c>
      <c r="Q19" s="139"/>
      <c r="R19" s="139">
        <f>9190+85</f>
        <v>9275</v>
      </c>
      <c r="S19" s="139">
        <f>9357+81</f>
        <v>9438</v>
      </c>
      <c r="T19" s="139"/>
      <c r="U19" s="139">
        <f>7802+152</f>
        <v>7954</v>
      </c>
      <c r="V19" s="139">
        <f>8026+149</f>
        <v>8175</v>
      </c>
      <c r="W19" s="139"/>
      <c r="X19" s="139">
        <f>7059+153</f>
        <v>7212</v>
      </c>
      <c r="Y19" s="139">
        <f>7256+126</f>
        <v>7382</v>
      </c>
      <c r="Z19" s="139"/>
      <c r="AA19" s="139">
        <f>8040+333</f>
        <v>8373</v>
      </c>
      <c r="AB19" s="139">
        <f>8006+362</f>
        <v>8368</v>
      </c>
      <c r="AC19" s="139"/>
      <c r="AD19" s="12">
        <f>7744+432</f>
        <v>8176</v>
      </c>
      <c r="AE19" s="12">
        <f>7938+406</f>
        <v>8344</v>
      </c>
      <c r="AF19" s="12"/>
      <c r="AG19" s="12">
        <f>8743+352</f>
        <v>9095</v>
      </c>
      <c r="AH19" s="12">
        <f>8975+350</f>
        <v>9325</v>
      </c>
      <c r="AI19" s="12"/>
      <c r="AJ19" s="12">
        <f>10420+450</f>
        <v>10870</v>
      </c>
      <c r="AK19" s="12">
        <f>10125+457</f>
        <v>10582</v>
      </c>
      <c r="AL19" s="16"/>
      <c r="AM19" s="16">
        <f>C19+F19+I19+L19+O19+R19+U19+X19+AA19+AD19+AG19+AJ19</f>
        <v>110054</v>
      </c>
      <c r="AN19" s="16">
        <f>D19+G19+J19+M19+P19+S19+V19+Y19+AB19+AE19+AH19+AK19</f>
        <v>111196</v>
      </c>
      <c r="AO19" s="21">
        <f t="shared" si="0"/>
        <v>221250</v>
      </c>
      <c r="AP19" s="140">
        <v>246560</v>
      </c>
      <c r="AQ19" s="17">
        <f t="shared" si="1"/>
        <v>-10.265249837767684</v>
      </c>
    </row>
    <row r="20" spans="1:43" ht="18.75" x14ac:dyDescent="0.4">
      <c r="A20" s="4" t="s">
        <v>16</v>
      </c>
      <c r="B20" s="4" t="str">
        <f t="shared" si="2"/>
        <v>DOM</v>
      </c>
      <c r="C20" s="139">
        <f>5081+143</f>
        <v>5224</v>
      </c>
      <c r="D20" s="139">
        <f>5100+124</f>
        <v>5224</v>
      </c>
      <c r="E20" s="139"/>
      <c r="F20" s="139">
        <f>5278+264</f>
        <v>5542</v>
      </c>
      <c r="G20" s="139">
        <f>5266+231</f>
        <v>5497</v>
      </c>
      <c r="H20" s="139"/>
      <c r="I20" s="139">
        <f>5717+156</f>
        <v>5873</v>
      </c>
      <c r="J20" s="139">
        <f>5774+187</f>
        <v>5961</v>
      </c>
      <c r="K20" s="139"/>
      <c r="L20" s="139">
        <v>6566</v>
      </c>
      <c r="M20" s="139">
        <v>6540</v>
      </c>
      <c r="N20" s="139"/>
      <c r="O20" s="139">
        <v>6344</v>
      </c>
      <c r="P20" s="139">
        <v>5995</v>
      </c>
      <c r="Q20" s="139"/>
      <c r="R20" s="139">
        <v>6882</v>
      </c>
      <c r="S20" s="139">
        <v>7158</v>
      </c>
      <c r="T20" s="139"/>
      <c r="U20" s="139">
        <f>8262+643</f>
        <v>8905</v>
      </c>
      <c r="V20" s="139">
        <f>7677+56</f>
        <v>7733</v>
      </c>
      <c r="W20" s="139"/>
      <c r="X20" s="139">
        <v>8319</v>
      </c>
      <c r="Y20" s="139">
        <v>8720</v>
      </c>
      <c r="Z20" s="139"/>
      <c r="AA20" s="139">
        <f>8377+108</f>
        <v>8485</v>
      </c>
      <c r="AB20" s="139">
        <f>8625+125</f>
        <v>8750</v>
      </c>
      <c r="AC20" s="139"/>
      <c r="AD20" s="12">
        <f>7724+117</f>
        <v>7841</v>
      </c>
      <c r="AE20" s="12">
        <f>8065+121</f>
        <v>8186</v>
      </c>
      <c r="AF20" s="12"/>
      <c r="AG20" s="12">
        <f>7934+1226</f>
        <v>9160</v>
      </c>
      <c r="AH20" s="12">
        <f>8002+222</f>
        <v>8224</v>
      </c>
      <c r="AI20" s="12"/>
      <c r="AJ20" s="12">
        <f>8319+306</f>
        <v>8625</v>
      </c>
      <c r="AK20" s="12">
        <f>8171+291</f>
        <v>8462</v>
      </c>
      <c r="AL20" s="16"/>
      <c r="AM20" s="16">
        <f>C20+F20+I20+L20+O20+R20+U20+X20+AA20+AD20+AG20+AJ20</f>
        <v>87766</v>
      </c>
      <c r="AN20" s="16">
        <f>D20+G20+J20+M20+P20+S20+V20+Y20+AB20+AE20+AH20+AK20</f>
        <v>86450</v>
      </c>
      <c r="AO20" s="21">
        <f t="shared" si="0"/>
        <v>174216</v>
      </c>
      <c r="AP20" s="140">
        <v>144583</v>
      </c>
      <c r="AQ20" s="17">
        <f t="shared" si="1"/>
        <v>20.495493937738186</v>
      </c>
    </row>
    <row r="21" spans="1:43" ht="18.75" x14ac:dyDescent="0.4">
      <c r="A21" s="4" t="s">
        <v>17</v>
      </c>
      <c r="B21" s="4" t="str">
        <f t="shared" si="2"/>
        <v>T'L</v>
      </c>
      <c r="C21" s="139">
        <v>0</v>
      </c>
      <c r="D21" s="139">
        <v>0</v>
      </c>
      <c r="E21" s="139"/>
      <c r="F21" s="139">
        <v>0</v>
      </c>
      <c r="G21" s="139">
        <v>0</v>
      </c>
      <c r="H21" s="139"/>
      <c r="I21" s="139">
        <v>0</v>
      </c>
      <c r="J21" s="139">
        <v>0</v>
      </c>
      <c r="K21" s="139"/>
      <c r="L21" s="139">
        <v>0</v>
      </c>
      <c r="M21" s="139">
        <v>0</v>
      </c>
      <c r="N21" s="139"/>
      <c r="O21" s="139">
        <v>0</v>
      </c>
      <c r="P21" s="139">
        <v>0</v>
      </c>
      <c r="Q21" s="139"/>
      <c r="R21" s="139">
        <v>0</v>
      </c>
      <c r="S21" s="139">
        <v>0</v>
      </c>
      <c r="T21" s="139"/>
      <c r="U21" s="139">
        <v>0</v>
      </c>
      <c r="V21" s="139">
        <v>0</v>
      </c>
      <c r="W21" s="139"/>
      <c r="X21" s="139">
        <v>0</v>
      </c>
      <c r="Y21" s="139">
        <v>0</v>
      </c>
      <c r="Z21" s="139"/>
      <c r="AA21" s="139">
        <v>0</v>
      </c>
      <c r="AB21" s="139">
        <v>7809</v>
      </c>
      <c r="AC21" s="139"/>
      <c r="AD21" s="12">
        <v>7170</v>
      </c>
      <c r="AE21" s="12">
        <v>17</v>
      </c>
      <c r="AF21" s="12"/>
      <c r="AG21" s="12">
        <f>135</f>
        <v>135</v>
      </c>
      <c r="AH21" s="12">
        <v>518</v>
      </c>
      <c r="AI21" s="12"/>
      <c r="AJ21" s="12">
        <v>900</v>
      </c>
      <c r="AK21" s="12">
        <v>505</v>
      </c>
      <c r="AL21" s="16"/>
      <c r="AM21" s="16">
        <f>C21+F21+I21+L21+O21+R21+U21+X21+AA21+AD21+AG21+AJ21</f>
        <v>8205</v>
      </c>
      <c r="AN21" s="16">
        <f>D21+G21+J21+M21+P21+S21+V21+Y21+AB21+AE21+AH21+AK21</f>
        <v>8849</v>
      </c>
      <c r="AO21" s="21">
        <f t="shared" si="0"/>
        <v>17054</v>
      </c>
      <c r="AP21" s="140">
        <v>22785</v>
      </c>
      <c r="AQ21" s="17">
        <f t="shared" si="1"/>
        <v>-25.152512617950407</v>
      </c>
    </row>
    <row r="22" spans="1:43" ht="18.75" x14ac:dyDescent="0.4">
      <c r="A22" s="4" t="s">
        <v>92</v>
      </c>
      <c r="B22" s="4" t="str">
        <f t="shared" si="2"/>
        <v>DOM</v>
      </c>
      <c r="C22" s="139">
        <v>6923</v>
      </c>
      <c r="D22" s="139">
        <v>8572</v>
      </c>
      <c r="E22" s="139"/>
      <c r="F22" s="139">
        <v>7500</v>
      </c>
      <c r="G22" s="139">
        <v>7739</v>
      </c>
      <c r="H22" s="139"/>
      <c r="I22" s="139">
        <v>7470</v>
      </c>
      <c r="J22" s="139">
        <v>7938</v>
      </c>
      <c r="K22" s="139"/>
      <c r="L22" s="139">
        <v>6938</v>
      </c>
      <c r="M22" s="139">
        <v>7038</v>
      </c>
      <c r="N22" s="139"/>
      <c r="O22" s="139">
        <v>8196</v>
      </c>
      <c r="P22" s="139">
        <v>7692</v>
      </c>
      <c r="Q22" s="139"/>
      <c r="R22" s="139">
        <v>8095</v>
      </c>
      <c r="S22" s="139">
        <v>7326</v>
      </c>
      <c r="T22" s="139"/>
      <c r="U22" s="139">
        <v>7620</v>
      </c>
      <c r="V22" s="139">
        <v>7613</v>
      </c>
      <c r="W22" s="139"/>
      <c r="X22" s="139">
        <v>7615</v>
      </c>
      <c r="Y22" s="139">
        <v>7977</v>
      </c>
      <c r="Z22" s="358"/>
      <c r="AA22" s="228">
        <v>8120</v>
      </c>
      <c r="AB22" s="229">
        <v>8533</v>
      </c>
      <c r="AC22" s="229"/>
      <c r="AD22" s="12">
        <v>8003</v>
      </c>
      <c r="AE22" s="12">
        <v>7760</v>
      </c>
      <c r="AF22" s="12"/>
      <c r="AG22" s="12">
        <f>10751</f>
        <v>10751</v>
      </c>
      <c r="AH22" s="12">
        <v>9919</v>
      </c>
      <c r="AI22" s="12"/>
      <c r="AJ22" s="12">
        <v>16263</v>
      </c>
      <c r="AK22" s="12">
        <v>12243</v>
      </c>
      <c r="AL22" s="16"/>
      <c r="AM22" s="16">
        <f>C22+F22+I22+L22+O22+R22+U22+X22+AA22+AD22+AG22+AJ22</f>
        <v>103494</v>
      </c>
      <c r="AN22" s="16">
        <f>D22+G22+J22+M22+P22+S22+V22+Y22+AB22+AE22+AH22+AK22</f>
        <v>100350</v>
      </c>
      <c r="AO22" s="21">
        <f t="shared" si="0"/>
        <v>203844</v>
      </c>
      <c r="AP22" s="140">
        <v>172810</v>
      </c>
      <c r="AQ22" s="17">
        <f t="shared" si="1"/>
        <v>17.958451478502401</v>
      </c>
    </row>
    <row r="23" spans="1:43" ht="18.75" x14ac:dyDescent="0.4">
      <c r="A23" s="4" t="s">
        <v>93</v>
      </c>
      <c r="B23" s="4" t="str">
        <f t="shared" si="2"/>
        <v>T'L</v>
      </c>
      <c r="C23" s="139">
        <v>0</v>
      </c>
      <c r="D23" s="139">
        <v>0</v>
      </c>
      <c r="E23" s="139"/>
      <c r="F23" s="139">
        <v>0</v>
      </c>
      <c r="G23" s="139">
        <v>0</v>
      </c>
      <c r="H23" s="139"/>
      <c r="I23" s="139">
        <v>0</v>
      </c>
      <c r="J23" s="139">
        <v>0</v>
      </c>
      <c r="K23" s="139"/>
      <c r="L23" s="139">
        <v>0</v>
      </c>
      <c r="M23" s="139">
        <v>0</v>
      </c>
      <c r="N23" s="139"/>
      <c r="O23" s="139">
        <v>0</v>
      </c>
      <c r="P23" s="139">
        <v>0</v>
      </c>
      <c r="Q23" s="139"/>
      <c r="R23" s="139">
        <v>4</v>
      </c>
      <c r="S23" s="139">
        <v>0</v>
      </c>
      <c r="T23" s="139"/>
      <c r="U23" s="139">
        <v>0</v>
      </c>
      <c r="V23" s="139">
        <v>0</v>
      </c>
      <c r="W23" s="139"/>
      <c r="X23" s="139">
        <v>0</v>
      </c>
      <c r="Y23" s="139">
        <v>0</v>
      </c>
      <c r="Z23" s="358"/>
      <c r="AA23" s="228">
        <v>95</v>
      </c>
      <c r="AB23" s="229">
        <v>93</v>
      </c>
      <c r="AC23" s="229"/>
      <c r="AD23" s="12">
        <v>0</v>
      </c>
      <c r="AE23" s="12">
        <v>0</v>
      </c>
      <c r="AF23" s="12"/>
      <c r="AG23" s="12">
        <v>0</v>
      </c>
      <c r="AH23" s="12">
        <v>0</v>
      </c>
      <c r="AI23" s="12"/>
      <c r="AJ23" s="12">
        <v>0</v>
      </c>
      <c r="AK23" s="12">
        <v>0</v>
      </c>
      <c r="AL23" s="16"/>
      <c r="AM23" s="16">
        <f>C23+F23+I23+L23+O23+R23+U23+X23+AA23+AD23+AG23+AJ23</f>
        <v>99</v>
      </c>
      <c r="AN23" s="16">
        <f>D23+G23+J23+M23+P23+S23+V23+Y23+AB23+AE23+AH23+AK23</f>
        <v>93</v>
      </c>
      <c r="AO23" s="21">
        <f t="shared" si="0"/>
        <v>192</v>
      </c>
      <c r="AP23" s="140">
        <v>234</v>
      </c>
      <c r="AQ23" s="17">
        <f t="shared" si="1"/>
        <v>-17.948717948717949</v>
      </c>
    </row>
    <row r="24" spans="1:43" ht="18.75" x14ac:dyDescent="0.4">
      <c r="A24" s="4" t="s">
        <v>94</v>
      </c>
      <c r="B24" s="4" t="str">
        <f t="shared" si="2"/>
        <v>DOM</v>
      </c>
      <c r="C24" s="139">
        <f>2917+144</f>
        <v>3061</v>
      </c>
      <c r="D24" s="139">
        <f>3191+113</f>
        <v>3304</v>
      </c>
      <c r="E24" s="139"/>
      <c r="F24" s="139">
        <f>2864+379</f>
        <v>3243</v>
      </c>
      <c r="G24" s="139">
        <f>3128+448</f>
        <v>3576</v>
      </c>
      <c r="H24" s="139"/>
      <c r="I24" s="139">
        <f>3856+121</f>
        <v>3977</v>
      </c>
      <c r="J24" s="139">
        <f>3807+99</f>
        <v>3906</v>
      </c>
      <c r="K24" s="139"/>
      <c r="L24" s="139">
        <f>3946+241</f>
        <v>4187</v>
      </c>
      <c r="M24" s="139">
        <f>4312+228</f>
        <v>4540</v>
      </c>
      <c r="N24" s="139"/>
      <c r="O24" s="139">
        <f>3808+325</f>
        <v>4133</v>
      </c>
      <c r="P24" s="139">
        <f>3429+222</f>
        <v>3651</v>
      </c>
      <c r="Q24" s="139"/>
      <c r="R24" s="139">
        <f>4110+165</f>
        <v>4275</v>
      </c>
      <c r="S24" s="139">
        <f>4342+193</f>
        <v>4535</v>
      </c>
      <c r="T24" s="139"/>
      <c r="U24" s="139">
        <f>3453+35</f>
        <v>3488</v>
      </c>
      <c r="V24" s="139">
        <f>3134+226</f>
        <v>3360</v>
      </c>
      <c r="W24" s="139"/>
      <c r="X24" s="139">
        <f>4216+514</f>
        <v>4730</v>
      </c>
      <c r="Y24" s="139">
        <f>4477+636</f>
        <v>5113</v>
      </c>
      <c r="Z24" s="139"/>
      <c r="AA24" s="139">
        <f>4295+455</f>
        <v>4750</v>
      </c>
      <c r="AB24" s="139">
        <f>4093+633</f>
        <v>4726</v>
      </c>
      <c r="AC24" s="139"/>
      <c r="AD24" s="12">
        <f>3958+485</f>
        <v>4443</v>
      </c>
      <c r="AE24" s="12">
        <f>4481+108</f>
        <v>4589</v>
      </c>
      <c r="AF24" s="12"/>
      <c r="AG24" s="12">
        <v>4513</v>
      </c>
      <c r="AH24" s="12">
        <v>4586</v>
      </c>
      <c r="AI24" s="12"/>
      <c r="AJ24" s="12">
        <f>3934+788</f>
        <v>4722</v>
      </c>
      <c r="AK24" s="12">
        <f>3901+769</f>
        <v>4670</v>
      </c>
      <c r="AL24" s="16"/>
      <c r="AM24" s="16">
        <f>C24+F24+I24+L24+O24+R24+U24+X24+AA24+AD24+AG24+AJ24</f>
        <v>49522</v>
      </c>
      <c r="AN24" s="16">
        <f>D24+G24+J24+M24+P24+S24+V24+Y24+AB24+AE24+AH24+AK24</f>
        <v>50556</v>
      </c>
      <c r="AO24" s="21">
        <f t="shared" si="0"/>
        <v>100078</v>
      </c>
      <c r="AP24" s="140">
        <v>78377</v>
      </c>
      <c r="AQ24" s="17">
        <f t="shared" si="1"/>
        <v>27.687969684984115</v>
      </c>
    </row>
    <row r="25" spans="1:43" ht="18.75" x14ac:dyDescent="0.4">
      <c r="A25" s="4" t="s">
        <v>95</v>
      </c>
      <c r="B25" s="4" t="str">
        <f t="shared" si="2"/>
        <v>T'L</v>
      </c>
      <c r="C25" s="139">
        <v>0</v>
      </c>
      <c r="D25" s="139">
        <v>0</v>
      </c>
      <c r="E25" s="139"/>
      <c r="F25" s="139">
        <v>0</v>
      </c>
      <c r="G25" s="139">
        <v>0</v>
      </c>
      <c r="H25" s="139"/>
      <c r="I25" s="139">
        <v>0</v>
      </c>
      <c r="J25" s="139">
        <v>0</v>
      </c>
      <c r="K25" s="139"/>
      <c r="L25" s="139">
        <v>0</v>
      </c>
      <c r="M25" s="139">
        <v>0</v>
      </c>
      <c r="N25" s="139"/>
      <c r="O25" s="139">
        <v>0</v>
      </c>
      <c r="P25" s="139">
        <v>0</v>
      </c>
      <c r="Q25" s="139"/>
      <c r="R25" s="139">
        <v>0</v>
      </c>
      <c r="S25" s="139">
        <v>4</v>
      </c>
      <c r="T25" s="139"/>
      <c r="U25" s="139">
        <v>0</v>
      </c>
      <c r="V25" s="139">
        <v>0</v>
      </c>
      <c r="W25" s="139"/>
      <c r="X25" s="139">
        <v>7</v>
      </c>
      <c r="Y25" s="139">
        <v>0</v>
      </c>
      <c r="Z25" s="139"/>
      <c r="AA25" s="139">
        <v>0</v>
      </c>
      <c r="AB25" s="139">
        <v>9163</v>
      </c>
      <c r="AC25" s="139"/>
      <c r="AD25" s="12">
        <f>13+8821</f>
        <v>8834</v>
      </c>
      <c r="AE25" s="12">
        <f>13</f>
        <v>13</v>
      </c>
      <c r="AF25" s="12"/>
      <c r="AG25" s="12">
        <v>0</v>
      </c>
      <c r="AH25" s="12">
        <v>0</v>
      </c>
      <c r="AI25" s="12"/>
      <c r="AJ25" s="12">
        <v>13</v>
      </c>
      <c r="AK25" s="12">
        <v>13</v>
      </c>
      <c r="AL25" s="16"/>
      <c r="AM25" s="16">
        <f>C25+F25+I25+L25+O25+R25+U25+X25+AA25+AD25+AG25+AJ25</f>
        <v>8854</v>
      </c>
      <c r="AN25" s="16">
        <f>D25+G25+J25+M25+P25+S25+V25+Y25+AB25+AE25+AH25+AK25</f>
        <v>9193</v>
      </c>
      <c r="AO25" s="21">
        <f t="shared" si="0"/>
        <v>18047</v>
      </c>
      <c r="AP25" s="140">
        <v>32088</v>
      </c>
      <c r="AQ25" s="17">
        <f t="shared" si="1"/>
        <v>-43.757791074545004</v>
      </c>
    </row>
    <row r="26" spans="1:43" ht="18.75" x14ac:dyDescent="0.4">
      <c r="A26" s="4" t="s">
        <v>22</v>
      </c>
      <c r="B26" s="4"/>
      <c r="C26" s="139">
        <f>8151+188</f>
        <v>8339</v>
      </c>
      <c r="D26" s="139">
        <f>8464+202</f>
        <v>8666</v>
      </c>
      <c r="E26" s="139"/>
      <c r="F26" s="139">
        <f>7665+197</f>
        <v>7862</v>
      </c>
      <c r="G26" s="139">
        <f>7620+163</f>
        <v>7783</v>
      </c>
      <c r="H26" s="139"/>
      <c r="I26" s="139">
        <f>8981+119</f>
        <v>9100</v>
      </c>
      <c r="J26" s="139">
        <f>9469+101</f>
        <v>9570</v>
      </c>
      <c r="K26" s="139"/>
      <c r="L26" s="139">
        <f>7973+240</f>
        <v>8213</v>
      </c>
      <c r="M26" s="139">
        <f>9234+246</f>
        <v>9480</v>
      </c>
      <c r="N26" s="139"/>
      <c r="O26" s="139">
        <f>8542+116</f>
        <v>8658</v>
      </c>
      <c r="P26" s="139">
        <f>8493+138</f>
        <v>8631</v>
      </c>
      <c r="Q26" s="139"/>
      <c r="R26" s="139">
        <f>8987+607</f>
        <v>9594</v>
      </c>
      <c r="S26" s="139">
        <f>8943+102</f>
        <v>9045</v>
      </c>
      <c r="T26" s="139"/>
      <c r="U26" s="139">
        <v>11243</v>
      </c>
      <c r="V26" s="139">
        <v>9678</v>
      </c>
      <c r="W26" s="139"/>
      <c r="X26" s="139">
        <f>9593+146</f>
        <v>9739</v>
      </c>
      <c r="Y26" s="139">
        <f>10080+121</f>
        <v>10201</v>
      </c>
      <c r="Z26" s="139"/>
      <c r="AA26" s="139">
        <f>9260+340</f>
        <v>9600</v>
      </c>
      <c r="AB26" s="139">
        <f>8971+267</f>
        <v>9238</v>
      </c>
      <c r="AC26" s="139"/>
      <c r="AD26" s="12">
        <f>9255+228</f>
        <v>9483</v>
      </c>
      <c r="AE26" s="12">
        <f>9227+190</f>
        <v>9417</v>
      </c>
      <c r="AF26" s="12"/>
      <c r="AG26" s="12">
        <f>10084+454</f>
        <v>10538</v>
      </c>
      <c r="AH26" s="12">
        <f>10113+508</f>
        <v>10621</v>
      </c>
      <c r="AI26" s="12"/>
      <c r="AJ26" s="12">
        <f>11981+228</f>
        <v>12209</v>
      </c>
      <c r="AK26" s="12">
        <f>10755+233</f>
        <v>10988</v>
      </c>
      <c r="AL26" s="16"/>
      <c r="AM26" s="16">
        <f>C26+F26+I26+L26+O26+R26+U26+X26+AA26+AD26+AG26+AJ26</f>
        <v>114578</v>
      </c>
      <c r="AN26" s="16">
        <f>D26+G26+J26+M26+P26+S26+V26+Y26+AB26+AE26+AH26+AK26</f>
        <v>113318</v>
      </c>
      <c r="AO26" s="21">
        <f t="shared" si="0"/>
        <v>227896</v>
      </c>
      <c r="AP26" s="140">
        <v>217254</v>
      </c>
      <c r="AQ26" s="17">
        <f t="shared" si="1"/>
        <v>4.8984138381801943</v>
      </c>
    </row>
    <row r="27" spans="1:43" ht="18.75" x14ac:dyDescent="0.4">
      <c r="A27" s="4" t="s">
        <v>96</v>
      </c>
      <c r="B27" s="4" t="str">
        <f t="shared" si="2"/>
        <v>DOM</v>
      </c>
      <c r="C27" s="139">
        <v>192</v>
      </c>
      <c r="D27" s="139">
        <v>237</v>
      </c>
      <c r="E27" s="139"/>
      <c r="F27" s="139">
        <v>782</v>
      </c>
      <c r="G27" s="139">
        <v>782</v>
      </c>
      <c r="H27" s="139"/>
      <c r="I27" s="139">
        <v>475</v>
      </c>
      <c r="J27" s="139">
        <v>557</v>
      </c>
      <c r="K27" s="139"/>
      <c r="L27" s="139">
        <f>888</f>
        <v>888</v>
      </c>
      <c r="M27" s="139">
        <v>621</v>
      </c>
      <c r="N27" s="139"/>
      <c r="O27" s="139">
        <v>523</v>
      </c>
      <c r="P27" s="139">
        <v>604</v>
      </c>
      <c r="Q27" s="139"/>
      <c r="R27" s="139">
        <v>418</v>
      </c>
      <c r="S27" s="139">
        <v>453</v>
      </c>
      <c r="T27" s="139"/>
      <c r="U27" s="139">
        <v>910</v>
      </c>
      <c r="V27" s="139">
        <v>245</v>
      </c>
      <c r="W27" s="139"/>
      <c r="X27" s="139">
        <v>367</v>
      </c>
      <c r="Y27" s="139">
        <v>596</v>
      </c>
      <c r="Z27" s="358"/>
      <c r="AA27" s="228">
        <v>808</v>
      </c>
      <c r="AB27" s="229">
        <v>633</v>
      </c>
      <c r="AC27" s="229"/>
      <c r="AD27" s="12">
        <v>140</v>
      </c>
      <c r="AE27" s="12">
        <v>131</v>
      </c>
      <c r="AF27" s="12"/>
      <c r="AG27" s="12">
        <v>97</v>
      </c>
      <c r="AH27" s="12">
        <v>204</v>
      </c>
      <c r="AI27" s="12"/>
      <c r="AJ27" s="12">
        <v>180</v>
      </c>
      <c r="AK27" s="12">
        <v>260</v>
      </c>
      <c r="AL27" s="16"/>
      <c r="AM27" s="16">
        <f>C27+F27+I27+L27+O27+R27+U27+X27+AA27+AD27+AG27+AJ27</f>
        <v>5780</v>
      </c>
      <c r="AN27" s="16">
        <f>D27+G27+J27+M27+P27+S27+V27+Y27+AB27+AE27+AH27+AK27</f>
        <v>5323</v>
      </c>
      <c r="AO27" s="21">
        <f t="shared" si="0"/>
        <v>11103</v>
      </c>
      <c r="AP27" s="140">
        <v>72301</v>
      </c>
      <c r="AQ27" s="17">
        <f t="shared" si="1"/>
        <v>-84.643365928548704</v>
      </c>
    </row>
    <row r="28" spans="1:43" ht="18.75" x14ac:dyDescent="0.4">
      <c r="A28" s="4" t="s">
        <v>97</v>
      </c>
      <c r="B28" s="4" t="str">
        <f t="shared" si="2"/>
        <v>T'L</v>
      </c>
      <c r="C28" s="139">
        <v>0</v>
      </c>
      <c r="D28" s="139">
        <v>0</v>
      </c>
      <c r="E28" s="139"/>
      <c r="F28" s="139">
        <v>0</v>
      </c>
      <c r="G28" s="139">
        <v>0</v>
      </c>
      <c r="H28" s="139"/>
      <c r="I28" s="139">
        <v>0</v>
      </c>
      <c r="J28" s="139">
        <v>0</v>
      </c>
      <c r="K28" s="139"/>
      <c r="L28" s="139">
        <v>0</v>
      </c>
      <c r="M28" s="139">
        <v>0</v>
      </c>
      <c r="N28" s="139"/>
      <c r="O28" s="139">
        <v>0</v>
      </c>
      <c r="P28" s="139">
        <v>0</v>
      </c>
      <c r="Q28" s="139"/>
      <c r="R28" s="139">
        <v>0</v>
      </c>
      <c r="S28" s="139">
        <v>0</v>
      </c>
      <c r="T28" s="139"/>
      <c r="U28" s="139">
        <v>0</v>
      </c>
      <c r="V28" s="139">
        <v>0</v>
      </c>
      <c r="W28" s="139"/>
      <c r="X28" s="139">
        <v>0</v>
      </c>
      <c r="Y28" s="139">
        <v>0</v>
      </c>
      <c r="Z28" s="358"/>
      <c r="AA28" s="228">
        <v>0</v>
      </c>
      <c r="AB28" s="229">
        <v>0</v>
      </c>
      <c r="AC28" s="229"/>
      <c r="AD28" s="12">
        <v>0</v>
      </c>
      <c r="AE28" s="12">
        <v>0</v>
      </c>
      <c r="AF28" s="12"/>
      <c r="AG28" s="12">
        <v>0</v>
      </c>
      <c r="AH28" s="12">
        <v>0</v>
      </c>
      <c r="AI28" s="12"/>
      <c r="AJ28" s="12">
        <v>0</v>
      </c>
      <c r="AK28" s="12">
        <v>0</v>
      </c>
      <c r="AL28" s="16"/>
      <c r="AM28" s="16">
        <f>C28+F28+I28+L28+O28+R28+U28+X28+AA28+AD28+AG28+AJ28</f>
        <v>0</v>
      </c>
      <c r="AN28" s="16">
        <f>D28+G28+J28+M28+P28+S28+V28+Y28+AB28+AE28+AH28+AK28</f>
        <v>0</v>
      </c>
      <c r="AO28" s="21">
        <f t="shared" si="0"/>
        <v>0</v>
      </c>
      <c r="AP28" s="140">
        <v>11935</v>
      </c>
      <c r="AQ28" s="17">
        <f t="shared" si="1"/>
        <v>-100</v>
      </c>
    </row>
    <row r="29" spans="1:43" ht="18.75" x14ac:dyDescent="0.4">
      <c r="A29" s="4" t="s">
        <v>25</v>
      </c>
      <c r="B29" s="4"/>
      <c r="C29" s="139">
        <v>2139</v>
      </c>
      <c r="D29" s="139">
        <v>2250</v>
      </c>
      <c r="E29" s="139"/>
      <c r="F29" s="139">
        <v>1804</v>
      </c>
      <c r="G29" s="139">
        <v>1645</v>
      </c>
      <c r="H29" s="139"/>
      <c r="I29" s="139">
        <v>2292</v>
      </c>
      <c r="J29" s="139">
        <v>2096</v>
      </c>
      <c r="K29" s="139"/>
      <c r="L29" s="139">
        <v>2350</v>
      </c>
      <c r="M29" s="139">
        <v>2314</v>
      </c>
      <c r="N29" s="139"/>
      <c r="O29" s="139">
        <v>2709</v>
      </c>
      <c r="P29" s="139">
        <v>2401</v>
      </c>
      <c r="Q29" s="139"/>
      <c r="R29" s="139">
        <v>2071</v>
      </c>
      <c r="S29" s="139">
        <v>1911</v>
      </c>
      <c r="T29" s="139"/>
      <c r="U29" s="139">
        <v>2022</v>
      </c>
      <c r="V29" s="139">
        <v>1991</v>
      </c>
      <c r="W29" s="139"/>
      <c r="X29" s="139">
        <v>1785</v>
      </c>
      <c r="Y29" s="139">
        <v>1643</v>
      </c>
      <c r="Z29" s="139"/>
      <c r="AA29" s="139">
        <v>1764</v>
      </c>
      <c r="AB29" s="139">
        <v>1596</v>
      </c>
      <c r="AC29" s="139"/>
      <c r="AD29" s="12">
        <v>1648</v>
      </c>
      <c r="AE29" s="12">
        <v>1809</v>
      </c>
      <c r="AF29" s="12"/>
      <c r="AG29" s="12">
        <v>2128</v>
      </c>
      <c r="AH29" s="12">
        <v>1917</v>
      </c>
      <c r="AI29" s="12"/>
      <c r="AJ29" s="12">
        <v>2466</v>
      </c>
      <c r="AK29" s="12">
        <v>2187</v>
      </c>
      <c r="AL29" s="16"/>
      <c r="AM29" s="16">
        <f>C29+F29+I29+L29+O29+R29+U29+X29+AA29+AD29+AG29+AJ29</f>
        <v>25178</v>
      </c>
      <c r="AN29" s="16">
        <f>D29+G29+J29+M29+P29+S29+V29+Y29+AB29+AE29+AH29+AK29</f>
        <v>23760</v>
      </c>
      <c r="AO29" s="21">
        <f t="shared" si="0"/>
        <v>48938</v>
      </c>
      <c r="AP29" s="140">
        <v>47910</v>
      </c>
      <c r="AQ29" s="17">
        <f t="shared" si="1"/>
        <v>2.1456898351074933</v>
      </c>
    </row>
    <row r="30" spans="1:43" ht="18.75" x14ac:dyDescent="0.4">
      <c r="A30" s="4" t="s">
        <v>26</v>
      </c>
      <c r="B30" s="4"/>
      <c r="C30" s="139">
        <f>9931+151</f>
        <v>10082</v>
      </c>
      <c r="D30" s="139">
        <f>14588+210</f>
        <v>14798</v>
      </c>
      <c r="E30" s="139"/>
      <c r="F30" s="139">
        <f>10884+480</f>
        <v>11364</v>
      </c>
      <c r="G30" s="139">
        <f>10944+904</f>
        <v>11848</v>
      </c>
      <c r="H30" s="139"/>
      <c r="I30" s="139">
        <f>13007+266</f>
        <v>13273</v>
      </c>
      <c r="J30" s="139">
        <f>13769+242</f>
        <v>14011</v>
      </c>
      <c r="K30" s="139"/>
      <c r="L30" s="139">
        <f>15421+243</f>
        <v>15664</v>
      </c>
      <c r="M30" s="139">
        <f>14865+224</f>
        <v>15089</v>
      </c>
      <c r="N30" s="139"/>
      <c r="O30" s="139">
        <f>12674+286</f>
        <v>12960</v>
      </c>
      <c r="P30" s="139">
        <f>13269+242</f>
        <v>13511</v>
      </c>
      <c r="Q30" s="139"/>
      <c r="R30" s="139">
        <v>12762</v>
      </c>
      <c r="S30" s="139">
        <v>13155</v>
      </c>
      <c r="T30" s="139"/>
      <c r="U30" s="139">
        <v>11956</v>
      </c>
      <c r="V30" s="139">
        <v>11896</v>
      </c>
      <c r="W30" s="139"/>
      <c r="X30" s="139">
        <v>13456</v>
      </c>
      <c r="Y30" s="139">
        <v>13664</v>
      </c>
      <c r="Z30" s="139"/>
      <c r="AA30" s="139">
        <f>12529+290</f>
        <v>12819</v>
      </c>
      <c r="AB30" s="139">
        <f>12281+275</f>
        <v>12556</v>
      </c>
      <c r="AC30" s="139"/>
      <c r="AD30" s="12">
        <f>13313+483</f>
        <v>13796</v>
      </c>
      <c r="AE30" s="12">
        <f>12727+437</f>
        <v>13164</v>
      </c>
      <c r="AF30" s="12"/>
      <c r="AG30" s="12">
        <f>15723+427</f>
        <v>16150</v>
      </c>
      <c r="AH30" s="12">
        <f>16063+437</f>
        <v>16500</v>
      </c>
      <c r="AI30" s="12"/>
      <c r="AJ30" s="12">
        <v>27585</v>
      </c>
      <c r="AK30" s="12">
        <v>16884</v>
      </c>
      <c r="AL30" s="16"/>
      <c r="AM30" s="16">
        <f>C30+F30+I30+L30+O30+R30+U30+X30+AA30+AD30+AG30+AJ30</f>
        <v>171867</v>
      </c>
      <c r="AN30" s="16">
        <f>D30+G30+J30+M30+P30+S30+V30+Y30+AB30+AE30+AH30+AK30</f>
        <v>167076</v>
      </c>
      <c r="AO30" s="21">
        <f t="shared" si="0"/>
        <v>338943</v>
      </c>
      <c r="AP30" s="140">
        <v>279609</v>
      </c>
      <c r="AQ30" s="17">
        <f t="shared" si="1"/>
        <v>21.220346984539123</v>
      </c>
    </row>
    <row r="31" spans="1:43" ht="18.75" x14ac:dyDescent="0.4">
      <c r="A31" s="4" t="s">
        <v>27</v>
      </c>
      <c r="B31" s="4" t="str">
        <f t="shared" si="2"/>
        <v>DOM</v>
      </c>
      <c r="C31" s="139">
        <f>5157+313</f>
        <v>5470</v>
      </c>
      <c r="D31" s="139">
        <f>6093+282</f>
        <v>6375</v>
      </c>
      <c r="E31" s="139"/>
      <c r="F31" s="139">
        <f>4463+275</f>
        <v>4738</v>
      </c>
      <c r="G31" s="139">
        <f>4437+194</f>
        <v>4631</v>
      </c>
      <c r="H31" s="139"/>
      <c r="I31" s="139">
        <f>5621+363</f>
        <v>5984</v>
      </c>
      <c r="J31" s="139">
        <f>5377+276</f>
        <v>5653</v>
      </c>
      <c r="K31" s="139"/>
      <c r="L31" s="139">
        <f>6101+298</f>
        <v>6399</v>
      </c>
      <c r="M31" s="139">
        <f>6174+281</f>
        <v>6455</v>
      </c>
      <c r="N31" s="139"/>
      <c r="O31" s="139">
        <f>5949+293</f>
        <v>6242</v>
      </c>
      <c r="P31" s="139">
        <f>5823+385</f>
        <v>6208</v>
      </c>
      <c r="Q31" s="139"/>
      <c r="R31" s="139">
        <v>5490</v>
      </c>
      <c r="S31" s="139">
        <v>5466</v>
      </c>
      <c r="T31" s="139"/>
      <c r="U31" s="139">
        <f>4848+474</f>
        <v>5322</v>
      </c>
      <c r="V31" s="139">
        <f>4555+454</f>
        <v>5009</v>
      </c>
      <c r="W31" s="139"/>
      <c r="X31" s="139">
        <f>6263+288</f>
        <v>6551</v>
      </c>
      <c r="Y31" s="139">
        <f>5987+265</f>
        <v>6252</v>
      </c>
      <c r="Z31" s="139"/>
      <c r="AA31" s="139">
        <f>5618+395</f>
        <v>6013</v>
      </c>
      <c r="AB31" s="139">
        <f>5611+233</f>
        <v>5844</v>
      </c>
      <c r="AC31" s="139"/>
      <c r="AD31" s="12">
        <f>5652+120</f>
        <v>5772</v>
      </c>
      <c r="AE31" s="12">
        <f>5167+114</f>
        <v>5281</v>
      </c>
      <c r="AF31" s="12"/>
      <c r="AG31" s="12">
        <f>5458+86</f>
        <v>5544</v>
      </c>
      <c r="AH31" s="12">
        <f>7541+89</f>
        <v>7630</v>
      </c>
      <c r="AI31" s="12"/>
      <c r="AJ31" s="12">
        <f>7523+332</f>
        <v>7855</v>
      </c>
      <c r="AK31" s="12">
        <f>6336+3068</f>
        <v>9404</v>
      </c>
      <c r="AL31" s="16"/>
      <c r="AM31" s="16">
        <f>C31+F31+I31+L31+O31+R31+U31+X31+AA31+AD31+AG31+AJ31</f>
        <v>71380</v>
      </c>
      <c r="AN31" s="16">
        <f>D31+G31+J31+M31+P31+S31+V31+Y31+AB31+AE31+AH31+AK31</f>
        <v>74208</v>
      </c>
      <c r="AO31" s="21">
        <f t="shared" si="0"/>
        <v>145588</v>
      </c>
      <c r="AP31" s="140">
        <v>123421</v>
      </c>
      <c r="AQ31" s="17">
        <f t="shared" si="1"/>
        <v>17.960476742207565</v>
      </c>
    </row>
    <row r="32" spans="1:43" ht="18.75" x14ac:dyDescent="0.4">
      <c r="A32" s="4" t="s">
        <v>28</v>
      </c>
      <c r="B32" s="4" t="str">
        <f t="shared" si="2"/>
        <v>T'L</v>
      </c>
      <c r="C32" s="139">
        <v>265</v>
      </c>
      <c r="D32" s="139">
        <v>0</v>
      </c>
      <c r="E32" s="139"/>
      <c r="F32" s="139">
        <v>0</v>
      </c>
      <c r="G32" s="139">
        <v>0</v>
      </c>
      <c r="H32" s="139"/>
      <c r="I32" s="139">
        <v>389</v>
      </c>
      <c r="J32" s="139">
        <v>393</v>
      </c>
      <c r="K32" s="139"/>
      <c r="L32" s="139">
        <v>0</v>
      </c>
      <c r="M32" s="139">
        <v>0</v>
      </c>
      <c r="N32" s="139"/>
      <c r="O32" s="139">
        <v>0</v>
      </c>
      <c r="P32" s="139">
        <v>0</v>
      </c>
      <c r="Q32" s="139"/>
      <c r="R32" s="139">
        <v>0</v>
      </c>
      <c r="S32" s="139">
        <v>0</v>
      </c>
      <c r="T32" s="139"/>
      <c r="U32" s="139">
        <v>0</v>
      </c>
      <c r="V32" s="139">
        <v>0</v>
      </c>
      <c r="W32" s="139"/>
      <c r="X32" s="139">
        <v>0</v>
      </c>
      <c r="Y32" s="139">
        <v>0</v>
      </c>
      <c r="Z32" s="139"/>
      <c r="AA32" s="139">
        <v>0</v>
      </c>
      <c r="AB32" s="139">
        <v>3327</v>
      </c>
      <c r="AC32" s="139"/>
      <c r="AD32" s="12">
        <v>2569</v>
      </c>
      <c r="AE32" s="12">
        <v>0</v>
      </c>
      <c r="AF32" s="12"/>
      <c r="AG32" s="12">
        <v>1393</v>
      </c>
      <c r="AH32" s="12">
        <v>1020</v>
      </c>
      <c r="AI32" s="12"/>
      <c r="AJ32" s="12">
        <f>1250</f>
        <v>1250</v>
      </c>
      <c r="AK32" s="12">
        <v>417</v>
      </c>
      <c r="AL32" s="16"/>
      <c r="AM32" s="16">
        <f>C32+F32+I32+L32+O32+R32+U32+X32+AA32+AD32+AG32+AJ32</f>
        <v>5866</v>
      </c>
      <c r="AN32" s="16">
        <f>D32+G32+J32+M32+P32+S32+V32+Y32+AB32+AE32+AH32+AK32</f>
        <v>5157</v>
      </c>
      <c r="AO32" s="21">
        <f t="shared" si="0"/>
        <v>11023</v>
      </c>
      <c r="AP32" s="140">
        <v>8260</v>
      </c>
      <c r="AQ32" s="17">
        <f t="shared" si="1"/>
        <v>33.450363196125906</v>
      </c>
    </row>
    <row r="33" spans="1:43" ht="18.75" x14ac:dyDescent="0.4">
      <c r="A33" s="4" t="s">
        <v>29</v>
      </c>
      <c r="B33" s="4" t="str">
        <f t="shared" si="2"/>
        <v>DOM</v>
      </c>
      <c r="C33" s="139">
        <f>2194+46</f>
        <v>2240</v>
      </c>
      <c r="D33" s="139">
        <f>1989+51</f>
        <v>2040</v>
      </c>
      <c r="E33" s="139"/>
      <c r="F33" s="139">
        <v>2681</v>
      </c>
      <c r="G33" s="139">
        <v>2710</v>
      </c>
      <c r="H33" s="139"/>
      <c r="I33" s="139">
        <f>2117+105</f>
        <v>2222</v>
      </c>
      <c r="J33" s="139">
        <f>2387+80</f>
        <v>2467</v>
      </c>
      <c r="K33" s="139"/>
      <c r="L33" s="139">
        <f>2355+135</f>
        <v>2490</v>
      </c>
      <c r="M33" s="139">
        <f>2235+120</f>
        <v>2355</v>
      </c>
      <c r="N33" s="358"/>
      <c r="O33" s="228">
        <f>2242+76</f>
        <v>2318</v>
      </c>
      <c r="P33" s="229">
        <f>2251+72</f>
        <v>2323</v>
      </c>
      <c r="Q33" s="229"/>
      <c r="R33" s="229">
        <v>3483</v>
      </c>
      <c r="S33" s="234">
        <v>3520</v>
      </c>
      <c r="T33" s="359"/>
      <c r="U33" s="139">
        <f>2298+39</f>
        <v>2337</v>
      </c>
      <c r="V33" s="139">
        <f>2391+106</f>
        <v>2497</v>
      </c>
      <c r="W33" s="139"/>
      <c r="X33" s="139">
        <f>2519+159</f>
        <v>2678</v>
      </c>
      <c r="Y33" s="139">
        <f>2707+157</f>
        <v>2864</v>
      </c>
      <c r="Z33" s="139"/>
      <c r="AA33" s="139">
        <f>2335+170</f>
        <v>2505</v>
      </c>
      <c r="AB33" s="139">
        <f>2460+155</f>
        <v>2615</v>
      </c>
      <c r="AC33" s="139"/>
      <c r="AD33" s="12">
        <v>3207</v>
      </c>
      <c r="AE33" s="12">
        <v>3144</v>
      </c>
      <c r="AF33" s="12"/>
      <c r="AG33" s="12">
        <f>3190+208</f>
        <v>3398</v>
      </c>
      <c r="AH33" s="12">
        <f>3133+214</f>
        <v>3347</v>
      </c>
      <c r="AI33" s="12"/>
      <c r="AJ33" s="12">
        <f>3130+217</f>
        <v>3347</v>
      </c>
      <c r="AK33" s="12">
        <f>3252+165</f>
        <v>3417</v>
      </c>
      <c r="AL33" s="16"/>
      <c r="AM33" s="16">
        <f>C33+F33+I33+L33+O33+R33+U33+X33+AA33+AD33+AG33+AJ33</f>
        <v>32906</v>
      </c>
      <c r="AN33" s="16">
        <f>D33+G33+J33+M33+P33+S33+V33+Y33+AB33+AE33+AH33+AK33</f>
        <v>33299</v>
      </c>
      <c r="AO33" s="21">
        <f t="shared" si="0"/>
        <v>66205</v>
      </c>
      <c r="AP33" s="140">
        <v>52938</v>
      </c>
      <c r="AQ33" s="17">
        <f t="shared" si="1"/>
        <v>25.061392572443236</v>
      </c>
    </row>
    <row r="34" spans="1:43" ht="18.75" x14ac:dyDescent="0.4">
      <c r="A34" s="4" t="s">
        <v>30</v>
      </c>
      <c r="B34" s="4" t="str">
        <f t="shared" si="2"/>
        <v>T'L</v>
      </c>
      <c r="C34" s="139">
        <v>0</v>
      </c>
      <c r="D34" s="139">
        <v>0</v>
      </c>
      <c r="E34" s="139"/>
      <c r="F34" s="139">
        <v>0</v>
      </c>
      <c r="G34" s="139">
        <v>0</v>
      </c>
      <c r="H34" s="139"/>
      <c r="I34" s="139">
        <v>0</v>
      </c>
      <c r="J34" s="139">
        <v>0</v>
      </c>
      <c r="K34" s="139"/>
      <c r="L34" s="139">
        <v>0</v>
      </c>
      <c r="M34" s="139">
        <v>0</v>
      </c>
      <c r="N34" s="358"/>
      <c r="O34" s="228">
        <v>0</v>
      </c>
      <c r="P34" s="229">
        <v>0</v>
      </c>
      <c r="Q34" s="229"/>
      <c r="R34" s="229">
        <v>0</v>
      </c>
      <c r="S34" s="234">
        <v>0</v>
      </c>
      <c r="T34" s="359"/>
      <c r="U34" s="139">
        <v>268</v>
      </c>
      <c r="V34" s="139">
        <v>271</v>
      </c>
      <c r="W34" s="139"/>
      <c r="X34" s="139">
        <v>0</v>
      </c>
      <c r="Y34" s="139">
        <v>0</v>
      </c>
      <c r="Z34" s="139"/>
      <c r="AA34" s="139">
        <v>0</v>
      </c>
      <c r="AB34" s="139">
        <v>0</v>
      </c>
      <c r="AC34" s="139"/>
      <c r="AD34" s="12">
        <v>2967</v>
      </c>
      <c r="AE34" s="12">
        <v>390</v>
      </c>
      <c r="AF34" s="12"/>
      <c r="AG34" s="12">
        <v>0</v>
      </c>
      <c r="AH34" s="12">
        <v>0</v>
      </c>
      <c r="AI34" s="12"/>
      <c r="AJ34" s="12">
        <v>0</v>
      </c>
      <c r="AK34" s="12">
        <v>0</v>
      </c>
      <c r="AL34" s="16"/>
      <c r="AM34" s="16">
        <f>C34+F34+I34+L34+O34+R34+U34+X34+AA34+AD34+AG34+AJ34</f>
        <v>3235</v>
      </c>
      <c r="AN34" s="16">
        <f>D34+G34+J34+M34+P34+S34+V34+Y34+AB34+AE34+AH34+AK34</f>
        <v>661</v>
      </c>
      <c r="AO34" s="21">
        <f t="shared" si="0"/>
        <v>3896</v>
      </c>
      <c r="AP34" s="140">
        <v>2</v>
      </c>
      <c r="AQ34" s="17">
        <f t="shared" si="1"/>
        <v>194700</v>
      </c>
    </row>
    <row r="35" spans="1:43" ht="18.75" x14ac:dyDescent="0.4">
      <c r="A35" s="4" t="s">
        <v>31</v>
      </c>
      <c r="B35" s="4"/>
      <c r="C35" s="139">
        <f>2072+48</f>
        <v>2120</v>
      </c>
      <c r="D35" s="139">
        <f>2181+49</f>
        <v>2230</v>
      </c>
      <c r="E35" s="139"/>
      <c r="F35" s="139">
        <f>2196+85</f>
        <v>2281</v>
      </c>
      <c r="G35" s="139">
        <f>2264+130</f>
        <v>2394</v>
      </c>
      <c r="H35" s="139"/>
      <c r="I35" s="139">
        <f>2654+91</f>
        <v>2745</v>
      </c>
      <c r="J35" s="139">
        <f>2644+111</f>
        <v>2755</v>
      </c>
      <c r="K35" s="139"/>
      <c r="L35" s="139">
        <f>2599+171</f>
        <v>2770</v>
      </c>
      <c r="M35" s="139">
        <f>2561+144</f>
        <v>2705</v>
      </c>
      <c r="N35" s="358"/>
      <c r="O35" s="228">
        <f>2316+88</f>
        <v>2404</v>
      </c>
      <c r="P35" s="229">
        <f>2316+85</f>
        <v>2401</v>
      </c>
      <c r="Q35" s="229"/>
      <c r="R35" s="231">
        <f>2388+160</f>
        <v>2548</v>
      </c>
      <c r="S35" s="234">
        <f>2588+167</f>
        <v>2755</v>
      </c>
      <c r="T35" s="359"/>
      <c r="U35" s="139">
        <f>2141+110</f>
        <v>2251</v>
      </c>
      <c r="V35" s="139">
        <f>2070+69</f>
        <v>2139</v>
      </c>
      <c r="W35" s="139"/>
      <c r="X35" s="139">
        <f>2363+171</f>
        <v>2534</v>
      </c>
      <c r="Y35" s="139">
        <f>2444+180</f>
        <v>2624</v>
      </c>
      <c r="Z35" s="358"/>
      <c r="AA35" s="228">
        <v>3044</v>
      </c>
      <c r="AB35" s="229">
        <v>3234</v>
      </c>
      <c r="AC35" s="229"/>
      <c r="AD35" s="12">
        <f>3057+111</f>
        <v>3168</v>
      </c>
      <c r="AE35" s="12">
        <f>2867+86</f>
        <v>2953</v>
      </c>
      <c r="AF35" s="12"/>
      <c r="AG35" s="12">
        <f>2998+179</f>
        <v>3177</v>
      </c>
      <c r="AH35" s="12">
        <f>3249+130</f>
        <v>3379</v>
      </c>
      <c r="AI35" s="12"/>
      <c r="AJ35" s="12">
        <f>2955+114</f>
        <v>3069</v>
      </c>
      <c r="AK35" s="12">
        <f>2963+100</f>
        <v>3063</v>
      </c>
      <c r="AL35" s="16"/>
      <c r="AM35" s="16">
        <f>C35+F35+I35+L35+O35+R35+U35+X35+AA35+AD35+AG35+AJ35</f>
        <v>32111</v>
      </c>
      <c r="AN35" s="16">
        <f>D35+G35+J35+M35+P35+S35+V35+Y35+AB35+AE35+AH35+AK35</f>
        <v>32632</v>
      </c>
      <c r="AO35" s="21">
        <f t="shared" si="0"/>
        <v>64743</v>
      </c>
      <c r="AP35" s="140">
        <v>56959</v>
      </c>
      <c r="AQ35" s="17">
        <f t="shared" si="1"/>
        <v>13.665970259309328</v>
      </c>
    </row>
    <row r="36" spans="1:43" ht="18.75" x14ac:dyDescent="0.4">
      <c r="A36" s="4" t="s">
        <v>98</v>
      </c>
      <c r="B36" s="4" t="str">
        <f t="shared" si="2"/>
        <v>DOM</v>
      </c>
      <c r="C36" s="139">
        <f>75+57</f>
        <v>132</v>
      </c>
      <c r="D36" s="139">
        <f>150+53</f>
        <v>203</v>
      </c>
      <c r="E36" s="139"/>
      <c r="F36" s="139">
        <v>573</v>
      </c>
      <c r="G36" s="139">
        <v>613</v>
      </c>
      <c r="H36" s="139"/>
      <c r="I36" s="139">
        <v>829</v>
      </c>
      <c r="J36" s="139">
        <v>781</v>
      </c>
      <c r="K36" s="139"/>
      <c r="L36" s="139">
        <f>785</f>
        <v>785</v>
      </c>
      <c r="M36" s="139">
        <v>900</v>
      </c>
      <c r="N36" s="358"/>
      <c r="O36" s="228">
        <v>655</v>
      </c>
      <c r="P36" s="229">
        <v>683</v>
      </c>
      <c r="Q36" s="229"/>
      <c r="R36" s="229">
        <v>737</v>
      </c>
      <c r="S36" s="234">
        <v>742</v>
      </c>
      <c r="T36" s="359"/>
      <c r="U36" s="139">
        <v>679</v>
      </c>
      <c r="V36" s="139">
        <v>662</v>
      </c>
      <c r="W36" s="139"/>
      <c r="X36" s="139">
        <v>418</v>
      </c>
      <c r="Y36" s="139">
        <v>437</v>
      </c>
      <c r="Z36" s="358"/>
      <c r="AA36" s="228">
        <v>477</v>
      </c>
      <c r="AB36" s="229">
        <v>456</v>
      </c>
      <c r="AC36" s="229"/>
      <c r="AD36" s="12">
        <v>13</v>
      </c>
      <c r="AE36" s="12">
        <v>12</v>
      </c>
      <c r="AF36" s="12"/>
      <c r="AG36" s="12">
        <f>84+204</f>
        <v>288</v>
      </c>
      <c r="AH36" s="12">
        <f>70+180</f>
        <v>250</v>
      </c>
      <c r="AI36" s="12"/>
      <c r="AJ36" s="12">
        <v>275</v>
      </c>
      <c r="AK36" s="12">
        <v>273</v>
      </c>
      <c r="AL36" s="16"/>
      <c r="AM36" s="16">
        <f>C36+F36+I36+L36+O36+R36+U36+X36+AA36+AD36+AG36+AJ36</f>
        <v>5861</v>
      </c>
      <c r="AN36" s="16">
        <f>D36+G36+J36+M36+P36+S36+V36+Y36+AB36+AE36+AH36+AK36</f>
        <v>6012</v>
      </c>
      <c r="AO36" s="21">
        <f t="shared" si="0"/>
        <v>11873</v>
      </c>
      <c r="AP36" s="140">
        <v>8900</v>
      </c>
      <c r="AQ36" s="17">
        <f t="shared" si="1"/>
        <v>33.40449438202247</v>
      </c>
    </row>
    <row r="37" spans="1:43" ht="18.75" x14ac:dyDescent="0.4">
      <c r="A37" s="4" t="s">
        <v>33</v>
      </c>
      <c r="B37" s="4" t="str">
        <f t="shared" si="2"/>
        <v>T'L</v>
      </c>
      <c r="C37" s="139">
        <v>0</v>
      </c>
      <c r="D37" s="139">
        <v>0</v>
      </c>
      <c r="E37" s="139"/>
      <c r="F37" s="139">
        <v>0</v>
      </c>
      <c r="G37" s="139">
        <v>0</v>
      </c>
      <c r="H37" s="139"/>
      <c r="I37" s="139">
        <v>0</v>
      </c>
      <c r="J37" s="139">
        <v>0</v>
      </c>
      <c r="K37" s="139"/>
      <c r="L37" s="139">
        <v>0</v>
      </c>
      <c r="M37" s="139">
        <v>0</v>
      </c>
      <c r="N37" s="358"/>
      <c r="O37" s="230">
        <v>0</v>
      </c>
      <c r="P37" s="231">
        <v>0</v>
      </c>
      <c r="Q37" s="231"/>
      <c r="R37" s="229">
        <v>0</v>
      </c>
      <c r="S37" s="234">
        <v>0</v>
      </c>
      <c r="T37" s="359"/>
      <c r="U37" s="139">
        <v>0</v>
      </c>
      <c r="V37" s="139">
        <v>0</v>
      </c>
      <c r="W37" s="139"/>
      <c r="X37" s="139">
        <v>0</v>
      </c>
      <c r="Y37" s="139">
        <v>0</v>
      </c>
      <c r="Z37" s="358"/>
      <c r="AA37" s="228">
        <v>0</v>
      </c>
      <c r="AB37" s="229">
        <v>0</v>
      </c>
      <c r="AC37" s="229"/>
      <c r="AD37" s="12">
        <v>0</v>
      </c>
      <c r="AE37" s="12">
        <v>0</v>
      </c>
      <c r="AF37" s="12"/>
      <c r="AG37" s="12">
        <v>0</v>
      </c>
      <c r="AH37" s="12">
        <v>0</v>
      </c>
      <c r="AI37" s="12"/>
      <c r="AJ37" s="12">
        <v>0</v>
      </c>
      <c r="AK37" s="12">
        <v>0</v>
      </c>
      <c r="AL37" s="16"/>
      <c r="AM37" s="16">
        <f>C37+F37+I37+L37+O37+R37+U37+X37+AA37+AD37+AG37+AJ37</f>
        <v>0</v>
      </c>
      <c r="AN37" s="16">
        <f>D37+G37+J37+M37+P37+S37+V37+Y37+AB37+AE37+AH37+AK37</f>
        <v>0</v>
      </c>
      <c r="AO37" s="21">
        <f t="shared" si="0"/>
        <v>0</v>
      </c>
      <c r="AP37" s="140">
        <v>0</v>
      </c>
      <c r="AQ37" s="17" t="e">
        <f t="shared" si="1"/>
        <v>#DIV/0!</v>
      </c>
    </row>
    <row r="38" spans="1:43" ht="18.75" x14ac:dyDescent="0.4">
      <c r="A38" s="4" t="s">
        <v>34</v>
      </c>
      <c r="B38" s="4"/>
      <c r="C38" s="139">
        <v>222</v>
      </c>
      <c r="D38" s="139">
        <v>221</v>
      </c>
      <c r="E38" s="139"/>
      <c r="F38" s="139">
        <v>258</v>
      </c>
      <c r="G38" s="139">
        <v>229</v>
      </c>
      <c r="H38" s="139"/>
      <c r="I38" s="139">
        <v>339</v>
      </c>
      <c r="J38" s="139">
        <v>269</v>
      </c>
      <c r="K38" s="139"/>
      <c r="L38" s="139">
        <f>95+148</f>
        <v>243</v>
      </c>
      <c r="M38" s="139">
        <f>86+140</f>
        <v>226</v>
      </c>
      <c r="N38" s="358"/>
      <c r="O38" s="228">
        <v>379</v>
      </c>
      <c r="P38" s="229">
        <v>371</v>
      </c>
      <c r="Q38" s="229"/>
      <c r="R38" s="229">
        <f>76+316</f>
        <v>392</v>
      </c>
      <c r="S38" s="234">
        <f>42+215</f>
        <v>257</v>
      </c>
      <c r="T38" s="359"/>
      <c r="U38" s="139">
        <f>87+68</f>
        <v>155</v>
      </c>
      <c r="V38" s="139">
        <f>82+64</f>
        <v>146</v>
      </c>
      <c r="W38" s="139"/>
      <c r="X38" s="139">
        <f>78+82</f>
        <v>160</v>
      </c>
      <c r="Y38" s="139">
        <f>54+86</f>
        <v>140</v>
      </c>
      <c r="Z38" s="139"/>
      <c r="AA38" s="139">
        <f>43+74</f>
        <v>117</v>
      </c>
      <c r="AB38" s="139">
        <f>31+98</f>
        <v>129</v>
      </c>
      <c r="AC38" s="139"/>
      <c r="AD38" s="12">
        <v>309</v>
      </c>
      <c r="AE38" s="12">
        <v>279</v>
      </c>
      <c r="AF38" s="12"/>
      <c r="AG38" s="12">
        <f>90+141</f>
        <v>231</v>
      </c>
      <c r="AH38" s="12">
        <f>70+181</f>
        <v>251</v>
      </c>
      <c r="AI38" s="12"/>
      <c r="AJ38" s="12">
        <v>216</v>
      </c>
      <c r="AK38" s="12">
        <v>192</v>
      </c>
      <c r="AL38" s="16"/>
      <c r="AM38" s="16">
        <f>C38+F38+I38+L38+O38+R38+U38+X38+AA38+AD38+AG38+AJ38</f>
        <v>3021</v>
      </c>
      <c r="AN38" s="16">
        <f>D38+G38+J38+M38+P38+S38+V38+Y38+AB38+AE38+AH38+AK38</f>
        <v>2710</v>
      </c>
      <c r="AO38" s="21">
        <f t="shared" si="0"/>
        <v>5731</v>
      </c>
      <c r="AP38" s="140">
        <v>8789</v>
      </c>
      <c r="AQ38" s="17">
        <f t="shared" si="1"/>
        <v>-34.79349186483104</v>
      </c>
    </row>
    <row r="39" spans="1:43" ht="18.75" x14ac:dyDescent="0.4">
      <c r="A39" s="4" t="s">
        <v>99</v>
      </c>
      <c r="B39" s="4" t="str">
        <f t="shared" si="2"/>
        <v>DOM</v>
      </c>
      <c r="C39" s="3">
        <v>90</v>
      </c>
      <c r="D39" s="3">
        <v>75</v>
      </c>
      <c r="E39" s="3"/>
      <c r="F39" s="139">
        <v>34</v>
      </c>
      <c r="G39" s="139">
        <v>23</v>
      </c>
      <c r="H39" s="139"/>
      <c r="I39" s="139">
        <v>148</v>
      </c>
      <c r="J39" s="139">
        <v>125</v>
      </c>
      <c r="K39" s="139"/>
      <c r="L39" s="139">
        <v>21</v>
      </c>
      <c r="M39" s="139">
        <v>36</v>
      </c>
      <c r="N39" s="358"/>
      <c r="O39" s="228">
        <v>35</v>
      </c>
      <c r="P39" s="229">
        <v>25</v>
      </c>
      <c r="Q39" s="229"/>
      <c r="R39" s="229">
        <v>34</v>
      </c>
      <c r="S39" s="234">
        <v>58</v>
      </c>
      <c r="T39" s="359"/>
      <c r="U39" s="139">
        <v>14</v>
      </c>
      <c r="V39" s="139">
        <v>26</v>
      </c>
      <c r="W39" s="139"/>
      <c r="X39" s="139">
        <v>100</v>
      </c>
      <c r="Y39" s="139">
        <v>128</v>
      </c>
      <c r="Z39" s="358"/>
      <c r="AA39" s="228">
        <v>194</v>
      </c>
      <c r="AB39" s="229">
        <v>194</v>
      </c>
      <c r="AC39" s="229"/>
      <c r="AD39" s="12">
        <v>79</v>
      </c>
      <c r="AE39" s="12">
        <v>102</v>
      </c>
      <c r="AF39" s="12"/>
      <c r="AG39" s="12">
        <v>79</v>
      </c>
      <c r="AH39" s="12">
        <v>86</v>
      </c>
      <c r="AI39" s="12"/>
      <c r="AJ39" s="12">
        <v>61</v>
      </c>
      <c r="AK39" s="12">
        <v>61</v>
      </c>
      <c r="AL39" s="16"/>
      <c r="AM39" s="16">
        <f>C39+F39+I39+L39+O39+R39+U39+X39+AA39+AD39+AG39+AJ39</f>
        <v>889</v>
      </c>
      <c r="AN39" s="16">
        <f>D39+G39+J39+M39+P39+S39+V39+Y39+AB39+AE39+AH39+AK39</f>
        <v>939</v>
      </c>
      <c r="AO39" s="21">
        <f t="shared" si="0"/>
        <v>1828</v>
      </c>
      <c r="AP39" s="140">
        <v>2456</v>
      </c>
      <c r="AQ39" s="17">
        <f t="shared" si="1"/>
        <v>-25.570032573289904</v>
      </c>
    </row>
    <row r="40" spans="1:43" ht="18.75" x14ac:dyDescent="0.4">
      <c r="A40" s="4" t="s">
        <v>36</v>
      </c>
      <c r="B40" s="4" t="str">
        <f t="shared" si="2"/>
        <v>T'L</v>
      </c>
      <c r="C40" s="3">
        <v>0</v>
      </c>
      <c r="D40" s="3">
        <v>0</v>
      </c>
      <c r="E40" s="3"/>
      <c r="F40" s="139">
        <v>0</v>
      </c>
      <c r="G40" s="139">
        <v>0</v>
      </c>
      <c r="H40" s="139"/>
      <c r="I40" s="139">
        <v>0</v>
      </c>
      <c r="J40" s="139">
        <v>12</v>
      </c>
      <c r="K40" s="139"/>
      <c r="L40" s="139">
        <v>0</v>
      </c>
      <c r="M40" s="139">
        <v>0</v>
      </c>
      <c r="N40" s="358"/>
      <c r="O40" s="228">
        <v>13</v>
      </c>
      <c r="P40" s="229">
        <v>0</v>
      </c>
      <c r="Q40" s="229"/>
      <c r="R40" s="229">
        <v>0</v>
      </c>
      <c r="S40" s="234">
        <v>0</v>
      </c>
      <c r="T40" s="359"/>
      <c r="U40" s="139">
        <v>0</v>
      </c>
      <c r="V40" s="139">
        <v>0</v>
      </c>
      <c r="W40" s="139"/>
      <c r="X40" s="139">
        <v>13</v>
      </c>
      <c r="Y40" s="139">
        <v>11</v>
      </c>
      <c r="Z40" s="358"/>
      <c r="AA40" s="228">
        <v>78</v>
      </c>
      <c r="AB40" s="229">
        <v>4457</v>
      </c>
      <c r="AC40" s="229"/>
      <c r="AD40" s="12">
        <v>4503</v>
      </c>
      <c r="AE40" s="12">
        <v>0</v>
      </c>
      <c r="AF40" s="12"/>
      <c r="AG40" s="12">
        <v>0</v>
      </c>
      <c r="AH40" s="12">
        <v>0</v>
      </c>
      <c r="AI40" s="12"/>
      <c r="AJ40" s="12">
        <v>0</v>
      </c>
      <c r="AK40" s="12">
        <v>0</v>
      </c>
      <c r="AL40" s="16"/>
      <c r="AM40" s="16">
        <f>C40+F40+I40+L40+O40+R40+U40+X40+AA40+AD40+AG40+AJ40</f>
        <v>4607</v>
      </c>
      <c r="AN40" s="16">
        <f>D40+G40+J40+M40+P40+S40+V40+Y40+AB40+AE40+AH40+AK40</f>
        <v>4480</v>
      </c>
      <c r="AO40" s="21">
        <f t="shared" si="0"/>
        <v>9087</v>
      </c>
      <c r="AP40" s="140">
        <v>4652</v>
      </c>
      <c r="AQ40" s="17">
        <f t="shared" si="1"/>
        <v>95.335339638865008</v>
      </c>
    </row>
    <row r="41" spans="1:43" ht="18.75" x14ac:dyDescent="0.4">
      <c r="A41" s="4" t="s">
        <v>37</v>
      </c>
      <c r="B41" s="4"/>
      <c r="C41" s="139">
        <v>52</v>
      </c>
      <c r="D41" s="139">
        <v>43</v>
      </c>
      <c r="E41" s="139"/>
      <c r="F41" s="139">
        <v>154</v>
      </c>
      <c r="G41" s="139">
        <v>104</v>
      </c>
      <c r="H41" s="139"/>
      <c r="I41" s="139">
        <v>103</v>
      </c>
      <c r="J41" s="139">
        <v>201</v>
      </c>
      <c r="K41" s="139"/>
      <c r="L41" s="139">
        <v>72</v>
      </c>
      <c r="M41" s="139">
        <v>53</v>
      </c>
      <c r="N41" s="139"/>
      <c r="O41" s="139">
        <v>60</v>
      </c>
      <c r="P41" s="139">
        <v>56</v>
      </c>
      <c r="Q41" s="139"/>
      <c r="R41" s="139">
        <v>36</v>
      </c>
      <c r="S41" s="139">
        <v>36</v>
      </c>
      <c r="T41" s="139"/>
      <c r="U41" s="139">
        <v>83</v>
      </c>
      <c r="V41" s="139">
        <v>96</v>
      </c>
      <c r="W41" s="139"/>
      <c r="X41" s="139">
        <v>14</v>
      </c>
      <c r="Y41" s="139">
        <v>4</v>
      </c>
      <c r="Z41" s="358"/>
      <c r="AA41" s="235">
        <v>14</v>
      </c>
      <c r="AB41" s="236">
        <v>42</v>
      </c>
      <c r="AC41" s="236"/>
      <c r="AD41" s="12">
        <v>66</v>
      </c>
      <c r="AE41" s="12">
        <v>37</v>
      </c>
      <c r="AF41" s="12"/>
      <c r="AG41" s="12">
        <v>166</v>
      </c>
      <c r="AH41" s="12">
        <v>155</v>
      </c>
      <c r="AI41" s="12"/>
      <c r="AJ41" s="12">
        <v>78</v>
      </c>
      <c r="AK41" s="12">
        <v>32</v>
      </c>
      <c r="AL41" s="16"/>
      <c r="AM41" s="16">
        <f>C41+F41+I41+L41+O41+R41+U41+X41+AA41+AD41+AG41+AJ41</f>
        <v>898</v>
      </c>
      <c r="AN41" s="16">
        <f>D41+G41+J41+M41+P41+S41+V41+Y41+AB41+AE41+AH41+AK41</f>
        <v>859</v>
      </c>
      <c r="AO41" s="21">
        <f t="shared" si="0"/>
        <v>1757</v>
      </c>
      <c r="AP41" s="140">
        <v>1117</v>
      </c>
      <c r="AQ41" s="17">
        <f t="shared" si="1"/>
        <v>57.296329453894359</v>
      </c>
    </row>
    <row r="42" spans="1:43" ht="18.75" x14ac:dyDescent="0.4">
      <c r="A42" s="351" t="s">
        <v>53</v>
      </c>
      <c r="B42" s="352" t="str">
        <f t="shared" ref="B42:B43" si="3">RIGHT(A42,3)</f>
        <v>DOM</v>
      </c>
      <c r="C42" s="353">
        <f>C9+C11+C13+C15+C17+C19+C20+C22+C24+C26+C27+C29+C30+C31+C33+C35+C36+C38+C39+C41</f>
        <v>369988</v>
      </c>
      <c r="D42" s="353">
        <f t="shared" ref="D42:AP42" si="4">D9+D11+D13+D15+D17+D19+D20+D22+D24+D26+D27+D29+D30+D31+D33+D35+D36+D38+D39+D41</f>
        <v>366064</v>
      </c>
      <c r="E42" s="362">
        <f>C42+D42</f>
        <v>736052</v>
      </c>
      <c r="F42" s="353">
        <f t="shared" si="4"/>
        <v>379780</v>
      </c>
      <c r="G42" s="353">
        <f t="shared" si="4"/>
        <v>387679</v>
      </c>
      <c r="H42" s="362">
        <f>F42+G42</f>
        <v>767459</v>
      </c>
      <c r="I42" s="353">
        <f t="shared" si="4"/>
        <v>425104</v>
      </c>
      <c r="J42" s="353">
        <f t="shared" si="4"/>
        <v>423227</v>
      </c>
      <c r="K42" s="362">
        <f>I42+J42</f>
        <v>848331</v>
      </c>
      <c r="L42" s="353">
        <f t="shared" si="4"/>
        <v>458574</v>
      </c>
      <c r="M42" s="353">
        <f t="shared" si="4"/>
        <v>460441</v>
      </c>
      <c r="N42" s="362">
        <f>L42+M42</f>
        <v>919015</v>
      </c>
      <c r="O42" s="353">
        <f t="shared" si="4"/>
        <v>439094</v>
      </c>
      <c r="P42" s="353">
        <f t="shared" si="4"/>
        <v>438666</v>
      </c>
      <c r="Q42" s="362">
        <f>O42+P42</f>
        <v>877760</v>
      </c>
      <c r="R42" s="353">
        <f t="shared" si="4"/>
        <v>463592</v>
      </c>
      <c r="S42" s="353">
        <f t="shared" si="4"/>
        <v>450020</v>
      </c>
      <c r="T42" s="362">
        <f>R42+S42</f>
        <v>913612</v>
      </c>
      <c r="U42" s="353">
        <f t="shared" si="4"/>
        <v>428198</v>
      </c>
      <c r="V42" s="353">
        <f t="shared" si="4"/>
        <v>431252</v>
      </c>
      <c r="W42" s="362">
        <f>U42+V42</f>
        <v>859450</v>
      </c>
      <c r="X42" s="353">
        <f t="shared" si="4"/>
        <v>438424</v>
      </c>
      <c r="Y42" s="353">
        <f t="shared" si="4"/>
        <v>448058</v>
      </c>
      <c r="Z42" s="362">
        <f>X42+Y42</f>
        <v>886482</v>
      </c>
      <c r="AA42" s="353">
        <f t="shared" si="4"/>
        <v>455153</v>
      </c>
      <c r="AB42" s="353">
        <f t="shared" si="4"/>
        <v>448111</v>
      </c>
      <c r="AC42" s="362">
        <f>AA42+AB42</f>
        <v>903264</v>
      </c>
      <c r="AD42" s="353">
        <f t="shared" si="4"/>
        <v>455322</v>
      </c>
      <c r="AE42" s="353">
        <f t="shared" si="4"/>
        <v>454774</v>
      </c>
      <c r="AF42" s="362">
        <f>AD42+AE42</f>
        <v>910096</v>
      </c>
      <c r="AG42" s="353">
        <f t="shared" si="4"/>
        <v>494228</v>
      </c>
      <c r="AH42" s="353">
        <f t="shared" si="4"/>
        <v>489143</v>
      </c>
      <c r="AI42" s="362">
        <f>AG42+AH42</f>
        <v>983371</v>
      </c>
      <c r="AJ42" s="353">
        <f t="shared" si="4"/>
        <v>529892</v>
      </c>
      <c r="AK42" s="353">
        <f t="shared" si="4"/>
        <v>546020</v>
      </c>
      <c r="AL42" s="362">
        <f>AJ42+AK42</f>
        <v>1075912</v>
      </c>
      <c r="AM42" s="353">
        <f t="shared" si="4"/>
        <v>5337349</v>
      </c>
      <c r="AN42" s="353">
        <f t="shared" si="4"/>
        <v>5343455</v>
      </c>
      <c r="AO42" s="353">
        <f t="shared" si="4"/>
        <v>10680804</v>
      </c>
      <c r="AP42" s="353">
        <f t="shared" si="4"/>
        <v>9526069</v>
      </c>
      <c r="AQ42" s="353"/>
    </row>
    <row r="43" spans="1:43" ht="18.75" x14ac:dyDescent="0.4">
      <c r="A43" s="357" t="s">
        <v>54</v>
      </c>
      <c r="B43" s="352" t="str">
        <f t="shared" si="3"/>
        <v>T'L</v>
      </c>
      <c r="C43" s="353">
        <f>C10+C12+C14+C16+C18+C21+C23+C25+C28+C32+C34+C37+C40</f>
        <v>193384</v>
      </c>
      <c r="D43" s="353">
        <f t="shared" ref="D43:AP43" si="5">D10+D12+D14+D16+D18+D21+D23+D25+D28+D32+D34+D37+D40</f>
        <v>198372</v>
      </c>
      <c r="E43" s="362">
        <f>C43+D43</f>
        <v>391756</v>
      </c>
      <c r="F43" s="353">
        <f t="shared" si="5"/>
        <v>149197</v>
      </c>
      <c r="G43" s="353">
        <f t="shared" si="5"/>
        <v>162462</v>
      </c>
      <c r="H43" s="362">
        <f>F43+G43</f>
        <v>311659</v>
      </c>
      <c r="I43" s="353">
        <f t="shared" si="5"/>
        <v>173926</v>
      </c>
      <c r="J43" s="353">
        <f t="shared" si="5"/>
        <v>187424</v>
      </c>
      <c r="K43" s="362">
        <f>I43+J43</f>
        <v>361350</v>
      </c>
      <c r="L43" s="353">
        <f t="shared" si="5"/>
        <v>187069</v>
      </c>
      <c r="M43" s="353">
        <f t="shared" si="5"/>
        <v>186785</v>
      </c>
      <c r="N43" s="362">
        <f>L43+M43</f>
        <v>373854</v>
      </c>
      <c r="O43" s="353">
        <f t="shared" si="5"/>
        <v>183193</v>
      </c>
      <c r="P43" s="353">
        <f t="shared" si="5"/>
        <v>192979</v>
      </c>
      <c r="Q43" s="362">
        <f>O43+P43</f>
        <v>376172</v>
      </c>
      <c r="R43" s="353">
        <f t="shared" si="5"/>
        <v>187004</v>
      </c>
      <c r="S43" s="353">
        <f t="shared" si="5"/>
        <v>185060</v>
      </c>
      <c r="T43" s="362">
        <f>R43+S43</f>
        <v>372064</v>
      </c>
      <c r="U43" s="353">
        <f t="shared" si="5"/>
        <v>193272</v>
      </c>
      <c r="V43" s="353">
        <f t="shared" si="5"/>
        <v>217732</v>
      </c>
      <c r="W43" s="362">
        <f>U43+V43</f>
        <v>411004</v>
      </c>
      <c r="X43" s="353">
        <f t="shared" si="5"/>
        <v>196096</v>
      </c>
      <c r="Y43" s="353">
        <f t="shared" si="5"/>
        <v>223109</v>
      </c>
      <c r="Z43" s="362">
        <f>X43+Y43</f>
        <v>419205</v>
      </c>
      <c r="AA43" s="353">
        <f t="shared" si="5"/>
        <v>188126</v>
      </c>
      <c r="AB43" s="353">
        <f t="shared" si="5"/>
        <v>259061</v>
      </c>
      <c r="AC43" s="362">
        <f>AA43+AB43</f>
        <v>447187</v>
      </c>
      <c r="AD43" s="353">
        <f t="shared" si="5"/>
        <v>240143</v>
      </c>
      <c r="AE43" s="353">
        <f t="shared" si="5"/>
        <v>205458</v>
      </c>
      <c r="AF43" s="362">
        <f>AD43+AE43</f>
        <v>445601</v>
      </c>
      <c r="AG43" s="353">
        <f t="shared" si="5"/>
        <v>172271</v>
      </c>
      <c r="AH43" s="353">
        <f t="shared" si="5"/>
        <v>160251</v>
      </c>
      <c r="AI43" s="362">
        <f>AG43+AH43</f>
        <v>332522</v>
      </c>
      <c r="AJ43" s="353">
        <f t="shared" si="5"/>
        <v>217082</v>
      </c>
      <c r="AK43" s="353">
        <f t="shared" si="5"/>
        <v>195485</v>
      </c>
      <c r="AL43" s="362">
        <f>AJ43+AK43</f>
        <v>412567</v>
      </c>
      <c r="AM43" s="353">
        <f t="shared" si="5"/>
        <v>2280763</v>
      </c>
      <c r="AN43" s="353">
        <f t="shared" si="5"/>
        <v>2374178</v>
      </c>
      <c r="AO43" s="353">
        <f t="shared" si="5"/>
        <v>4654941</v>
      </c>
      <c r="AP43" s="353">
        <f t="shared" si="5"/>
        <v>4600698</v>
      </c>
      <c r="AQ43" s="353"/>
    </row>
    <row r="44" spans="1:43" ht="19.5" x14ac:dyDescent="0.4">
      <c r="A44" s="4" t="s">
        <v>100</v>
      </c>
      <c r="B44" s="4"/>
      <c r="C44" s="139">
        <f>SUM(C9:C41)</f>
        <v>563372</v>
      </c>
      <c r="D44" s="139">
        <f>SUM(D9:D41)</f>
        <v>564436</v>
      </c>
      <c r="E44" s="139"/>
      <c r="F44" s="139">
        <f>SUM(F9:F41)</f>
        <v>528977</v>
      </c>
      <c r="G44" s="139">
        <f>SUM(G9:G41)</f>
        <v>550141</v>
      </c>
      <c r="H44" s="139"/>
      <c r="I44" s="139">
        <f>SUM(I9:I41)</f>
        <v>599030</v>
      </c>
      <c r="J44" s="139">
        <f>SUM(J9:J41)</f>
        <v>610651</v>
      </c>
      <c r="K44" s="139"/>
      <c r="L44" s="139">
        <f>SUM(L9:L41)</f>
        <v>645643</v>
      </c>
      <c r="M44" s="139">
        <f>SUM(M9:M41)</f>
        <v>647226</v>
      </c>
      <c r="N44" s="139"/>
      <c r="O44" s="139">
        <f>SUM(O9:O41)</f>
        <v>622287</v>
      </c>
      <c r="P44" s="139">
        <f>SUM(P9:P41)</f>
        <v>631645</v>
      </c>
      <c r="Q44" s="139"/>
      <c r="R44" s="139">
        <f>SUM(R9:R41)</f>
        <v>650596</v>
      </c>
      <c r="S44" s="139">
        <f>SUM(S9:S41)</f>
        <v>635080</v>
      </c>
      <c r="T44" s="139"/>
      <c r="U44" s="237">
        <f>SUM(U9:U41)</f>
        <v>621470</v>
      </c>
      <c r="V44" s="237">
        <f>SUM(V9:V41)</f>
        <v>648984</v>
      </c>
      <c r="W44" s="237"/>
      <c r="X44" s="237">
        <f>SUM(X9:X41)</f>
        <v>634520</v>
      </c>
      <c r="Y44" s="237">
        <f>SUM(Y9:Y41)</f>
        <v>671167</v>
      </c>
      <c r="Z44" s="237"/>
      <c r="AA44" s="237">
        <f>SUM(AA9:AA41)</f>
        <v>643279</v>
      </c>
      <c r="AB44" s="237">
        <f>SUM(AB9:AB41)</f>
        <v>707172</v>
      </c>
      <c r="AC44" s="237"/>
      <c r="AD44" s="14">
        <f>SUM(AD9:AD41)</f>
        <v>695465</v>
      </c>
      <c r="AE44" s="14">
        <f>SUM(AE9:AE41)</f>
        <v>660232</v>
      </c>
      <c r="AF44" s="14"/>
      <c r="AG44" s="14">
        <f>SUM(AG9:AG41)</f>
        <v>666499</v>
      </c>
      <c r="AH44" s="14">
        <f>SUM(AH9:AH41)</f>
        <v>649394</v>
      </c>
      <c r="AI44" s="14"/>
      <c r="AJ44" s="14">
        <f>SUM(AJ9:AJ41)</f>
        <v>746974</v>
      </c>
      <c r="AK44" s="14">
        <f>SUM(AK9:AK41)</f>
        <v>741505</v>
      </c>
      <c r="AL44" s="361"/>
      <c r="AM44" s="16">
        <f>SUM(AM9:AM41)</f>
        <v>7618112</v>
      </c>
      <c r="AN44" s="14">
        <f>SUM(AN9:AN41)</f>
        <v>7717633</v>
      </c>
      <c r="AO44" s="21">
        <f t="shared" si="0"/>
        <v>15335745</v>
      </c>
      <c r="AP44" s="140">
        <v>14126767</v>
      </c>
      <c r="AQ44" s="17">
        <f t="shared" si="1"/>
        <v>8.5580656918883147</v>
      </c>
    </row>
    <row r="45" spans="1:43" x14ac:dyDescent="0.25">
      <c r="C45" s="26">
        <f>SUM(C8:C40)-C41</f>
        <v>563268</v>
      </c>
      <c r="D45" s="26">
        <f t="shared" ref="D45:V45" si="6">SUM(D8:D40)-D41</f>
        <v>564350</v>
      </c>
      <c r="E45" s="26"/>
      <c r="F45" s="26">
        <f t="shared" si="6"/>
        <v>528669</v>
      </c>
      <c r="G45" s="26">
        <f t="shared" si="6"/>
        <v>549933</v>
      </c>
      <c r="H45" s="26"/>
      <c r="I45" s="26">
        <f t="shared" si="6"/>
        <v>598824</v>
      </c>
      <c r="J45" s="26">
        <f t="shared" si="6"/>
        <v>610249</v>
      </c>
      <c r="K45" s="26"/>
      <c r="L45" s="26">
        <f t="shared" si="6"/>
        <v>645499</v>
      </c>
      <c r="M45" s="26">
        <f t="shared" si="6"/>
        <v>647120</v>
      </c>
      <c r="N45" s="26"/>
      <c r="O45" s="26">
        <f t="shared" si="6"/>
        <v>622167</v>
      </c>
      <c r="P45" s="26">
        <f t="shared" si="6"/>
        <v>631533</v>
      </c>
      <c r="Q45" s="26"/>
      <c r="R45" s="26">
        <f t="shared" si="6"/>
        <v>650524</v>
      </c>
      <c r="S45" s="26">
        <f t="shared" si="6"/>
        <v>635008</v>
      </c>
      <c r="T45" s="26"/>
      <c r="U45" s="26">
        <f t="shared" si="6"/>
        <v>621304</v>
      </c>
      <c r="V45" s="26">
        <f t="shared" si="6"/>
        <v>648792</v>
      </c>
      <c r="W45" s="26"/>
      <c r="X45" s="26"/>
    </row>
  </sheetData>
  <mergeCells count="16">
    <mergeCell ref="AG7:AH7"/>
    <mergeCell ref="AJ7:AK7"/>
    <mergeCell ref="A1:V1"/>
    <mergeCell ref="A2:V2"/>
    <mergeCell ref="A3:V3"/>
    <mergeCell ref="A4:V4"/>
    <mergeCell ref="R7:S7"/>
    <mergeCell ref="U7:V7"/>
    <mergeCell ref="X7:Y7"/>
    <mergeCell ref="AA7:AB7"/>
    <mergeCell ref="AD7:AE7"/>
    <mergeCell ref="C7:D7"/>
    <mergeCell ref="F7:G7"/>
    <mergeCell ref="I7:J7"/>
    <mergeCell ref="L7:M7"/>
    <mergeCell ref="O7:P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47"/>
  <sheetViews>
    <sheetView topLeftCell="AA37" zoomScale="90" zoomScaleNormal="90" workbookViewId="0">
      <selection activeCell="AC42" sqref="AC42"/>
    </sheetView>
  </sheetViews>
  <sheetFormatPr defaultRowHeight="15" x14ac:dyDescent="0.25"/>
  <cols>
    <col min="1" max="1" width="20.42578125" customWidth="1"/>
    <col min="2" max="2" width="20.42578125" style="2" customWidth="1"/>
    <col min="3" max="4" width="11.85546875" customWidth="1"/>
    <col min="5" max="5" width="11.85546875" style="2" customWidth="1"/>
    <col min="6" max="7" width="11.85546875" customWidth="1"/>
    <col min="8" max="8" width="11.85546875" style="2" customWidth="1"/>
    <col min="9" max="10" width="11.85546875" customWidth="1"/>
    <col min="11" max="11" width="11.85546875" style="2" customWidth="1"/>
    <col min="12" max="13" width="11.85546875" customWidth="1"/>
    <col min="14" max="14" width="11.85546875" style="2" customWidth="1"/>
    <col min="15" max="16" width="11.85546875" customWidth="1"/>
    <col min="17" max="17" width="11.85546875" style="2" customWidth="1"/>
    <col min="18" max="19" width="11.85546875" customWidth="1"/>
    <col min="20" max="20" width="11.85546875" style="2" customWidth="1"/>
    <col min="21" max="22" width="11.85546875" customWidth="1"/>
    <col min="23" max="23" width="11.85546875" style="2" customWidth="1"/>
    <col min="24" max="25" width="11.85546875" customWidth="1"/>
    <col min="26" max="26" width="11.85546875" style="2" customWidth="1"/>
    <col min="27" max="28" width="11.85546875" customWidth="1"/>
    <col min="29" max="29" width="11.85546875" style="2" customWidth="1"/>
    <col min="30" max="31" width="11.85546875" customWidth="1"/>
    <col min="32" max="32" width="11.85546875" style="2" customWidth="1"/>
    <col min="33" max="34" width="11.85546875" customWidth="1"/>
    <col min="35" max="35" width="11.85546875" style="2" customWidth="1"/>
    <col min="36" max="37" width="11.85546875" customWidth="1"/>
    <col min="38" max="38" width="11.85546875" style="2" customWidth="1"/>
    <col min="39" max="42" width="14.140625" customWidth="1"/>
    <col min="45" max="45" width="12.28515625" customWidth="1"/>
  </cols>
  <sheetData>
    <row r="1" spans="1:46" s="2" customFormat="1" ht="20.25" x14ac:dyDescent="0.3">
      <c r="A1" s="320"/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06"/>
    </row>
    <row r="2" spans="1:46" s="2" customFormat="1" ht="20.25" x14ac:dyDescent="0.3">
      <c r="A2" s="320"/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06"/>
    </row>
    <row r="3" spans="1:46" s="2" customFormat="1" ht="20.25" x14ac:dyDescent="0.3">
      <c r="A3" s="320" t="s">
        <v>107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  <c r="Q3" s="320"/>
      <c r="R3" s="320"/>
      <c r="S3" s="320"/>
      <c r="T3" s="306"/>
    </row>
    <row r="4" spans="1:46" s="2" customFormat="1" x14ac:dyDescent="0.25">
      <c r="A4" s="246"/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</row>
    <row r="5" spans="1:46" ht="18" x14ac:dyDescent="0.25">
      <c r="A5" s="321" t="s">
        <v>108</v>
      </c>
      <c r="B5" s="321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321"/>
      <c r="O5" s="321"/>
      <c r="P5" s="321"/>
      <c r="Q5" s="321"/>
      <c r="R5" s="321"/>
      <c r="S5" s="321"/>
      <c r="T5" s="307"/>
    </row>
    <row r="6" spans="1:46" ht="15.75" thickBot="1" x14ac:dyDescent="0.3"/>
    <row r="7" spans="1:46" ht="15.75" x14ac:dyDescent="0.25">
      <c r="A7" s="27"/>
      <c r="B7" s="349"/>
      <c r="C7" s="317" t="s">
        <v>1</v>
      </c>
      <c r="D7" s="318"/>
      <c r="E7" s="363"/>
      <c r="F7" s="317" t="s">
        <v>39</v>
      </c>
      <c r="G7" s="318"/>
      <c r="H7" s="363"/>
      <c r="I7" s="317" t="s">
        <v>2</v>
      </c>
      <c r="J7" s="318"/>
      <c r="K7" s="363"/>
      <c r="L7" s="317" t="s">
        <v>40</v>
      </c>
      <c r="M7" s="318"/>
      <c r="N7" s="363"/>
      <c r="O7" s="317" t="s">
        <v>3</v>
      </c>
      <c r="P7" s="318"/>
      <c r="Q7" s="363"/>
      <c r="R7" s="317" t="s">
        <v>4</v>
      </c>
      <c r="S7" s="318"/>
      <c r="T7" s="365"/>
      <c r="U7" s="322" t="s">
        <v>5</v>
      </c>
      <c r="V7" s="323"/>
      <c r="W7" s="308"/>
      <c r="X7" s="322" t="s">
        <v>41</v>
      </c>
      <c r="Y7" s="323"/>
      <c r="Z7" s="308"/>
      <c r="AA7" s="322" t="s">
        <v>42</v>
      </c>
      <c r="AB7" s="323"/>
      <c r="AC7" s="308"/>
      <c r="AD7" s="322" t="s">
        <v>43</v>
      </c>
      <c r="AE7" s="324"/>
      <c r="AF7" s="308"/>
      <c r="AG7" s="322" t="s">
        <v>44</v>
      </c>
      <c r="AH7" s="324"/>
      <c r="AI7" s="308"/>
      <c r="AJ7" s="322" t="s">
        <v>45</v>
      </c>
      <c r="AK7" s="323"/>
      <c r="AL7" s="308"/>
      <c r="AM7" s="319" t="s">
        <v>46</v>
      </c>
      <c r="AN7" s="319"/>
      <c r="AO7" s="319"/>
      <c r="AP7" s="28" t="s">
        <v>47</v>
      </c>
      <c r="AQ7" s="28" t="s">
        <v>48</v>
      </c>
    </row>
    <row r="8" spans="1:46" ht="15.75" x14ac:dyDescent="0.25">
      <c r="A8" s="27" t="s">
        <v>0</v>
      </c>
      <c r="B8" s="350"/>
      <c r="C8" s="29" t="s">
        <v>49</v>
      </c>
      <c r="D8" s="30" t="s">
        <v>50</v>
      </c>
      <c r="E8" s="350"/>
      <c r="F8" s="29" t="s">
        <v>49</v>
      </c>
      <c r="G8" s="30" t="s">
        <v>50</v>
      </c>
      <c r="H8" s="350"/>
      <c r="I8" s="29" t="s">
        <v>49</v>
      </c>
      <c r="J8" s="30" t="s">
        <v>50</v>
      </c>
      <c r="K8" s="350"/>
      <c r="L8" s="29" t="s">
        <v>49</v>
      </c>
      <c r="M8" s="30" t="s">
        <v>50</v>
      </c>
      <c r="N8" s="350"/>
      <c r="O8" s="31" t="s">
        <v>49</v>
      </c>
      <c r="P8" s="30" t="s">
        <v>50</v>
      </c>
      <c r="Q8" s="350"/>
      <c r="R8" s="29" t="s">
        <v>49</v>
      </c>
      <c r="S8" s="32" t="s">
        <v>50</v>
      </c>
      <c r="T8" s="309"/>
      <c r="U8" s="33" t="s">
        <v>49</v>
      </c>
      <c r="V8" s="33" t="s">
        <v>50</v>
      </c>
      <c r="W8" s="33"/>
      <c r="X8" s="33" t="s">
        <v>49</v>
      </c>
      <c r="Y8" s="33" t="s">
        <v>50</v>
      </c>
      <c r="Z8" s="33"/>
      <c r="AA8" s="33" t="s">
        <v>49</v>
      </c>
      <c r="AB8" s="33" t="s">
        <v>50</v>
      </c>
      <c r="AC8" s="33"/>
      <c r="AD8" s="33" t="s">
        <v>49</v>
      </c>
      <c r="AE8" s="33" t="s">
        <v>50</v>
      </c>
      <c r="AF8" s="33"/>
      <c r="AG8" s="33" t="s">
        <v>49</v>
      </c>
      <c r="AH8" s="33" t="s">
        <v>50</v>
      </c>
      <c r="AI8" s="33"/>
      <c r="AJ8" s="33" t="s">
        <v>49</v>
      </c>
      <c r="AK8" s="34" t="s">
        <v>50</v>
      </c>
      <c r="AL8" s="34"/>
      <c r="AM8" s="28" t="s">
        <v>49</v>
      </c>
      <c r="AN8" s="28" t="s">
        <v>50</v>
      </c>
      <c r="AO8" s="28" t="s">
        <v>38</v>
      </c>
      <c r="AP8" s="28">
        <v>2014</v>
      </c>
      <c r="AQ8" s="28">
        <v>2015</v>
      </c>
    </row>
    <row r="9" spans="1:46" ht="18.75" x14ac:dyDescent="0.4">
      <c r="A9" s="27" t="s">
        <v>7</v>
      </c>
      <c r="B9" s="4" t="str">
        <f t="shared" ref="B9:B43" si="0">RIGHT(A9,3)</f>
        <v>DOM</v>
      </c>
      <c r="C9" s="35">
        <v>157308</v>
      </c>
      <c r="D9" s="35">
        <v>149238</v>
      </c>
      <c r="E9" s="35"/>
      <c r="F9" s="35">
        <v>139952</v>
      </c>
      <c r="G9" s="35">
        <v>135262</v>
      </c>
      <c r="H9" s="35"/>
      <c r="I9" s="35">
        <v>158692</v>
      </c>
      <c r="J9" s="35">
        <v>156072</v>
      </c>
      <c r="K9" s="35"/>
      <c r="L9" s="35">
        <v>162422</v>
      </c>
      <c r="M9" s="35">
        <v>169636</v>
      </c>
      <c r="N9" s="35"/>
      <c r="O9" s="35">
        <v>146224</v>
      </c>
      <c r="P9" s="35">
        <v>155192</v>
      </c>
      <c r="Q9" s="35"/>
      <c r="R9" s="35">
        <v>149999</v>
      </c>
      <c r="S9" s="36">
        <v>152556</v>
      </c>
      <c r="T9" s="36"/>
      <c r="U9" s="35">
        <v>157103</v>
      </c>
      <c r="V9" s="35">
        <v>154493</v>
      </c>
      <c r="W9" s="35"/>
      <c r="X9" s="35">
        <v>166577</v>
      </c>
      <c r="Y9" s="35">
        <v>166836</v>
      </c>
      <c r="Z9" s="35"/>
      <c r="AA9" s="35">
        <v>164424</v>
      </c>
      <c r="AB9" s="35">
        <v>152256</v>
      </c>
      <c r="AC9" s="35"/>
      <c r="AD9" s="37">
        <v>159455</v>
      </c>
      <c r="AE9" s="37">
        <v>159048</v>
      </c>
      <c r="AF9" s="37"/>
      <c r="AG9" s="37">
        <v>164815</v>
      </c>
      <c r="AH9" s="37">
        <v>163837</v>
      </c>
      <c r="AI9" s="37"/>
      <c r="AJ9" s="37">
        <v>160350</v>
      </c>
      <c r="AK9" s="38">
        <v>176398</v>
      </c>
      <c r="AL9" s="38"/>
      <c r="AM9" s="39">
        <f>C9+F9+I9+L9+O9+R9+U9+X9+AA9+AD9+AG9+AJ9</f>
        <v>1887321</v>
      </c>
      <c r="AN9" s="39">
        <f>D9+G9+J9+M9+P9+S9+V9+Y9+AB9+AE9+AH9+AK9</f>
        <v>1890824</v>
      </c>
      <c r="AO9" s="39">
        <f t="shared" ref="AO9:AO41" si="1">SUM(AM9:AN9)</f>
        <v>3778145</v>
      </c>
      <c r="AP9" s="35">
        <v>4007740</v>
      </c>
      <c r="AQ9" s="40">
        <f>(AO9-AP9)*100/AP9</f>
        <v>-5.7287897917529582</v>
      </c>
      <c r="AS9" s="60"/>
      <c r="AT9" s="60"/>
    </row>
    <row r="10" spans="1:46" ht="18.75" x14ac:dyDescent="0.4">
      <c r="A10" s="27" t="s">
        <v>51</v>
      </c>
      <c r="B10" s="4" t="str">
        <f t="shared" si="0"/>
        <v>T'L</v>
      </c>
      <c r="C10" s="35">
        <v>133908</v>
      </c>
      <c r="D10" s="35">
        <v>138292</v>
      </c>
      <c r="E10" s="35"/>
      <c r="F10" s="35">
        <v>86173</v>
      </c>
      <c r="G10" s="35">
        <v>103602</v>
      </c>
      <c r="H10" s="35"/>
      <c r="I10" s="35">
        <v>113433</v>
      </c>
      <c r="J10" s="35">
        <v>123321</v>
      </c>
      <c r="K10" s="35"/>
      <c r="L10" s="35">
        <v>123535</v>
      </c>
      <c r="M10" s="35">
        <v>121853</v>
      </c>
      <c r="N10" s="35"/>
      <c r="O10" s="35">
        <v>119349</v>
      </c>
      <c r="P10" s="35">
        <v>124028</v>
      </c>
      <c r="Q10" s="35"/>
      <c r="R10" s="35">
        <v>119498</v>
      </c>
      <c r="S10" s="36">
        <v>119801</v>
      </c>
      <c r="T10" s="36"/>
      <c r="U10" s="35">
        <v>127699</v>
      </c>
      <c r="V10" s="35">
        <v>140372</v>
      </c>
      <c r="W10" s="35"/>
      <c r="X10" s="35">
        <v>136117</v>
      </c>
      <c r="Y10" s="35">
        <v>153380</v>
      </c>
      <c r="Z10" s="35"/>
      <c r="AA10" s="35">
        <v>135916</v>
      </c>
      <c r="AB10" s="35">
        <v>130467</v>
      </c>
      <c r="AC10" s="35"/>
      <c r="AD10" s="37">
        <v>128499</v>
      </c>
      <c r="AE10" s="37">
        <v>120643</v>
      </c>
      <c r="AF10" s="37"/>
      <c r="AG10" s="37">
        <v>123314</v>
      </c>
      <c r="AH10" s="37">
        <v>118093</v>
      </c>
      <c r="AI10" s="37"/>
      <c r="AJ10" s="37">
        <v>152236</v>
      </c>
      <c r="AK10" s="38">
        <v>129949</v>
      </c>
      <c r="AL10" s="38"/>
      <c r="AM10" s="39">
        <f>C10+F10+L10+O10+R10+U10+X10+AA10+AD10+AG10+AJ10</f>
        <v>1386244</v>
      </c>
      <c r="AN10" s="39">
        <f t="shared" ref="AN10:AN41" si="2">D10+G10+J10+M10+P10+S10+V10+Y10+AB10+AE10+AH10+AK10</f>
        <v>1523801</v>
      </c>
      <c r="AO10" s="39">
        <f t="shared" si="1"/>
        <v>2910045</v>
      </c>
      <c r="AP10" s="35">
        <v>3366767</v>
      </c>
      <c r="AQ10" s="40">
        <f t="shared" ref="AQ10:AQ44" si="3">(AO10-AP10)*100/AP10</f>
        <v>-13.565595718385026</v>
      </c>
      <c r="AS10" s="60"/>
      <c r="AT10" s="60"/>
    </row>
    <row r="11" spans="1:46" ht="18.75" x14ac:dyDescent="0.4">
      <c r="A11" s="27" t="s">
        <v>8</v>
      </c>
      <c r="B11" s="4" t="str">
        <f t="shared" si="0"/>
        <v>DOM</v>
      </c>
      <c r="C11" s="35">
        <v>126324</v>
      </c>
      <c r="D11" s="35">
        <v>127057</v>
      </c>
      <c r="E11" s="35"/>
      <c r="F11" s="35">
        <v>116483</v>
      </c>
      <c r="G11" s="35">
        <v>118555</v>
      </c>
      <c r="H11" s="35"/>
      <c r="I11" s="35">
        <v>134270</v>
      </c>
      <c r="J11" s="35">
        <v>141680</v>
      </c>
      <c r="K11" s="35"/>
      <c r="L11" s="35">
        <v>133080</v>
      </c>
      <c r="M11" s="35">
        <v>127178</v>
      </c>
      <c r="N11" s="35"/>
      <c r="O11" s="35">
        <v>127468</v>
      </c>
      <c r="P11" s="35">
        <v>132384</v>
      </c>
      <c r="Q11" s="35"/>
      <c r="R11" s="35">
        <v>136131</v>
      </c>
      <c r="S11" s="36">
        <v>130826</v>
      </c>
      <c r="T11" s="36"/>
      <c r="U11" s="35">
        <v>143167</v>
      </c>
      <c r="V11" s="35">
        <v>138002</v>
      </c>
      <c r="W11" s="35"/>
      <c r="X11" s="35">
        <v>166228</v>
      </c>
      <c r="Y11" s="35">
        <v>157956</v>
      </c>
      <c r="Z11" s="35"/>
      <c r="AA11" s="35">
        <v>147290</v>
      </c>
      <c r="AB11" s="35">
        <v>151329</v>
      </c>
      <c r="AC11" s="35"/>
      <c r="AD11" s="37">
        <v>153534</v>
      </c>
      <c r="AE11" s="37">
        <v>148669</v>
      </c>
      <c r="AF11" s="37"/>
      <c r="AG11" s="37">
        <v>151405</v>
      </c>
      <c r="AH11" s="37">
        <v>147640</v>
      </c>
      <c r="AI11" s="37"/>
      <c r="AJ11" s="37">
        <v>157416</v>
      </c>
      <c r="AK11" s="38">
        <v>161751</v>
      </c>
      <c r="AL11" s="38"/>
      <c r="AM11" s="39">
        <f t="shared" ref="AM11:AM41" si="4">C11+F11+I11+L11+O11+R11+U11+X11+AA11+AD11+AG11+AJ11</f>
        <v>1692796</v>
      </c>
      <c r="AN11" s="39">
        <f t="shared" si="2"/>
        <v>1683027</v>
      </c>
      <c r="AO11" s="39">
        <f t="shared" si="1"/>
        <v>3375823</v>
      </c>
      <c r="AP11" s="35">
        <v>3274986</v>
      </c>
      <c r="AQ11" s="40">
        <f t="shared" si="3"/>
        <v>3.0790055285732518</v>
      </c>
      <c r="AS11" s="60"/>
      <c r="AT11" s="60"/>
    </row>
    <row r="12" spans="1:46" ht="18.75" x14ac:dyDescent="0.4">
      <c r="A12" s="27" t="s">
        <v>9</v>
      </c>
      <c r="B12" s="4" t="str">
        <f t="shared" si="0"/>
        <v>T'L</v>
      </c>
      <c r="C12" s="35">
        <v>44470</v>
      </c>
      <c r="D12" s="35">
        <v>37896</v>
      </c>
      <c r="E12" s="35"/>
      <c r="F12" s="35">
        <v>24496</v>
      </c>
      <c r="G12" s="35">
        <v>27234</v>
      </c>
      <c r="H12" s="35"/>
      <c r="I12" s="35">
        <v>35805</v>
      </c>
      <c r="J12" s="35">
        <v>37634</v>
      </c>
      <c r="K12" s="35"/>
      <c r="L12" s="35">
        <v>37690</v>
      </c>
      <c r="M12" s="35">
        <v>71802</v>
      </c>
      <c r="N12" s="35"/>
      <c r="O12" s="35">
        <v>37431</v>
      </c>
      <c r="P12" s="35">
        <v>33755</v>
      </c>
      <c r="Q12" s="35"/>
      <c r="R12" s="35">
        <v>38497</v>
      </c>
      <c r="S12" s="36">
        <v>33865</v>
      </c>
      <c r="T12" s="36"/>
      <c r="U12" s="35">
        <v>47184</v>
      </c>
      <c r="V12" s="35">
        <v>44563</v>
      </c>
      <c r="W12" s="35"/>
      <c r="X12" s="35">
        <v>47106</v>
      </c>
      <c r="Y12" s="35">
        <v>50044</v>
      </c>
      <c r="Z12" s="35"/>
      <c r="AA12" s="35">
        <v>47840</v>
      </c>
      <c r="AB12" s="35">
        <v>45291</v>
      </c>
      <c r="AC12" s="35"/>
      <c r="AD12" s="37">
        <v>32922</v>
      </c>
      <c r="AE12" s="37">
        <v>32442</v>
      </c>
      <c r="AF12" s="37"/>
      <c r="AG12" s="37">
        <v>38040</v>
      </c>
      <c r="AH12" s="37">
        <v>36349</v>
      </c>
      <c r="AI12" s="37"/>
      <c r="AJ12" s="37">
        <v>42702</v>
      </c>
      <c r="AK12" s="38">
        <v>40756</v>
      </c>
      <c r="AL12" s="38"/>
      <c r="AM12" s="39">
        <f t="shared" si="4"/>
        <v>474183</v>
      </c>
      <c r="AN12" s="39">
        <f t="shared" si="2"/>
        <v>491631</v>
      </c>
      <c r="AO12" s="39">
        <f t="shared" si="1"/>
        <v>965814</v>
      </c>
      <c r="AP12" s="35">
        <v>894690</v>
      </c>
      <c r="AQ12" s="40">
        <f t="shared" si="3"/>
        <v>7.9495691245012239</v>
      </c>
      <c r="AS12" s="60"/>
      <c r="AT12" s="60"/>
    </row>
    <row r="13" spans="1:46" ht="18.75" x14ac:dyDescent="0.4">
      <c r="A13" s="27" t="s">
        <v>52</v>
      </c>
      <c r="B13" s="4" t="str">
        <f t="shared" si="0"/>
        <v>DOM</v>
      </c>
      <c r="C13" s="35">
        <v>43443</v>
      </c>
      <c r="D13" s="35">
        <v>45618</v>
      </c>
      <c r="E13" s="35"/>
      <c r="F13" s="35">
        <v>41010</v>
      </c>
      <c r="G13" s="35">
        <v>41260</v>
      </c>
      <c r="H13" s="35"/>
      <c r="I13" s="35">
        <v>46983</v>
      </c>
      <c r="J13" s="35">
        <v>46779</v>
      </c>
      <c r="K13" s="35"/>
      <c r="L13" s="35">
        <v>44534</v>
      </c>
      <c r="M13" s="35">
        <v>43730</v>
      </c>
      <c r="N13" s="35"/>
      <c r="O13" s="35">
        <v>46061</v>
      </c>
      <c r="P13" s="35">
        <v>44140</v>
      </c>
      <c r="Q13" s="35"/>
      <c r="R13" s="35">
        <v>45477</v>
      </c>
      <c r="S13" s="36">
        <v>44878</v>
      </c>
      <c r="T13" s="36"/>
      <c r="U13" s="35">
        <v>47269</v>
      </c>
      <c r="V13" s="35">
        <v>48167</v>
      </c>
      <c r="W13" s="35"/>
      <c r="X13" s="35">
        <v>51735</v>
      </c>
      <c r="Y13" s="35">
        <v>53328</v>
      </c>
      <c r="Z13" s="35"/>
      <c r="AA13" s="35">
        <v>47912</v>
      </c>
      <c r="AB13" s="35">
        <v>46609</v>
      </c>
      <c r="AC13" s="35"/>
      <c r="AD13" s="37">
        <v>47014</v>
      </c>
      <c r="AE13" s="37">
        <v>46885</v>
      </c>
      <c r="AF13" s="37"/>
      <c r="AG13" s="37">
        <v>47729</v>
      </c>
      <c r="AH13" s="37">
        <v>47142</v>
      </c>
      <c r="AI13" s="37"/>
      <c r="AJ13" s="37">
        <v>51842</v>
      </c>
      <c r="AK13" s="38">
        <v>47340</v>
      </c>
      <c r="AL13" s="38"/>
      <c r="AM13" s="39">
        <f t="shared" si="4"/>
        <v>561009</v>
      </c>
      <c r="AN13" s="39">
        <f t="shared" si="2"/>
        <v>555876</v>
      </c>
      <c r="AO13" s="39">
        <f t="shared" si="1"/>
        <v>1116885</v>
      </c>
      <c r="AP13" s="35">
        <v>1225135</v>
      </c>
      <c r="AQ13" s="40">
        <f t="shared" si="3"/>
        <v>-8.8357609569557649</v>
      </c>
      <c r="AS13" s="60"/>
      <c r="AT13" s="60"/>
    </row>
    <row r="14" spans="1:46" ht="18.75" x14ac:dyDescent="0.4">
      <c r="A14" s="27" t="s">
        <v>10</v>
      </c>
      <c r="B14" s="4" t="str">
        <f t="shared" si="0"/>
        <v>T'L</v>
      </c>
      <c r="C14" s="35">
        <v>4443</v>
      </c>
      <c r="D14" s="35">
        <v>5968</v>
      </c>
      <c r="E14" s="35"/>
      <c r="F14" s="35">
        <v>2765</v>
      </c>
      <c r="G14" s="35">
        <v>3311</v>
      </c>
      <c r="H14" s="35"/>
      <c r="I14" s="35">
        <v>3851</v>
      </c>
      <c r="J14" s="35">
        <v>4119</v>
      </c>
      <c r="K14" s="35"/>
      <c r="L14" s="35">
        <v>3929</v>
      </c>
      <c r="M14" s="35">
        <v>4193</v>
      </c>
      <c r="N14" s="35"/>
      <c r="O14" s="35">
        <v>4273</v>
      </c>
      <c r="P14" s="35">
        <v>3957</v>
      </c>
      <c r="Q14" s="35"/>
      <c r="R14" s="35">
        <v>3787</v>
      </c>
      <c r="S14" s="36">
        <v>3545</v>
      </c>
      <c r="T14" s="36"/>
      <c r="U14" s="35">
        <v>4217</v>
      </c>
      <c r="V14" s="35">
        <v>5214</v>
      </c>
      <c r="W14" s="35"/>
      <c r="X14" s="35">
        <v>5259</v>
      </c>
      <c r="Y14" s="35">
        <v>5774</v>
      </c>
      <c r="Z14" s="35"/>
      <c r="AA14" s="35">
        <v>4725</v>
      </c>
      <c r="AB14" s="35">
        <v>5259</v>
      </c>
      <c r="AC14" s="35"/>
      <c r="AD14" s="37">
        <v>4721</v>
      </c>
      <c r="AE14" s="37">
        <v>4056</v>
      </c>
      <c r="AF14" s="37"/>
      <c r="AG14" s="37">
        <v>4165</v>
      </c>
      <c r="AH14" s="37">
        <v>3917</v>
      </c>
      <c r="AI14" s="37"/>
      <c r="AJ14" s="37">
        <v>6663</v>
      </c>
      <c r="AK14" s="38">
        <v>4811</v>
      </c>
      <c r="AL14" s="38"/>
      <c r="AM14" s="39">
        <f t="shared" si="4"/>
        <v>52798</v>
      </c>
      <c r="AN14" s="39">
        <f t="shared" si="2"/>
        <v>54124</v>
      </c>
      <c r="AO14" s="39">
        <f t="shared" si="1"/>
        <v>106922</v>
      </c>
      <c r="AP14" s="35">
        <v>112342</v>
      </c>
      <c r="AQ14" s="40">
        <f t="shared" si="3"/>
        <v>-4.8245535952715812</v>
      </c>
      <c r="AS14" s="60"/>
      <c r="AT14" s="60"/>
    </row>
    <row r="15" spans="1:46" ht="18.75" x14ac:dyDescent="0.4">
      <c r="A15" s="27" t="s">
        <v>11</v>
      </c>
      <c r="B15" s="4" t="str">
        <f t="shared" si="0"/>
        <v>DOM</v>
      </c>
      <c r="C15" s="35">
        <v>8588</v>
      </c>
      <c r="D15" s="35">
        <v>8813</v>
      </c>
      <c r="E15" s="35"/>
      <c r="F15" s="35">
        <v>9165</v>
      </c>
      <c r="G15" s="35">
        <v>9826</v>
      </c>
      <c r="H15" s="35"/>
      <c r="I15" s="35">
        <v>10612</v>
      </c>
      <c r="J15" s="35">
        <v>10750</v>
      </c>
      <c r="K15" s="35"/>
      <c r="L15" s="35">
        <v>9416</v>
      </c>
      <c r="M15" s="35">
        <v>9487</v>
      </c>
      <c r="N15" s="364"/>
      <c r="O15" s="41">
        <v>9983</v>
      </c>
      <c r="P15" s="42">
        <v>9679</v>
      </c>
      <c r="Q15" s="42"/>
      <c r="R15" s="35">
        <v>9268</v>
      </c>
      <c r="S15" s="36">
        <v>9796</v>
      </c>
      <c r="T15" s="36"/>
      <c r="U15" s="35">
        <v>10620</v>
      </c>
      <c r="V15" s="35">
        <v>9106</v>
      </c>
      <c r="W15" s="35"/>
      <c r="X15" s="35">
        <v>6322</v>
      </c>
      <c r="Y15" s="35">
        <v>6131</v>
      </c>
      <c r="Z15" s="35"/>
      <c r="AA15" s="35">
        <v>9361</v>
      </c>
      <c r="AB15" s="35">
        <v>9254</v>
      </c>
      <c r="AC15" s="35"/>
      <c r="AD15" s="37">
        <v>9610</v>
      </c>
      <c r="AE15" s="37">
        <v>10848</v>
      </c>
      <c r="AF15" s="37"/>
      <c r="AG15" s="37">
        <v>10742</v>
      </c>
      <c r="AH15" s="37">
        <v>10863</v>
      </c>
      <c r="AI15" s="37"/>
      <c r="AJ15" s="37">
        <v>10001</v>
      </c>
      <c r="AK15" s="38">
        <v>8797</v>
      </c>
      <c r="AL15" s="38"/>
      <c r="AM15" s="39">
        <f t="shared" si="4"/>
        <v>113688</v>
      </c>
      <c r="AN15" s="39">
        <f t="shared" si="2"/>
        <v>113350</v>
      </c>
      <c r="AO15" s="39">
        <f t="shared" si="1"/>
        <v>227038</v>
      </c>
      <c r="AP15" s="35">
        <v>257927</v>
      </c>
      <c r="AQ15" s="40">
        <f t="shared" si="3"/>
        <v>-11.975869141268653</v>
      </c>
      <c r="AS15" s="60"/>
      <c r="AT15" s="60"/>
    </row>
    <row r="16" spans="1:46" ht="18.75" x14ac:dyDescent="0.4">
      <c r="A16" s="27" t="s">
        <v>12</v>
      </c>
      <c r="B16" s="4" t="str">
        <f t="shared" si="0"/>
        <v>T'L</v>
      </c>
      <c r="C16" s="35">
        <v>7046</v>
      </c>
      <c r="D16" s="35">
        <v>7895</v>
      </c>
      <c r="E16" s="35"/>
      <c r="F16" s="35">
        <v>5768</v>
      </c>
      <c r="G16" s="35">
        <v>7369</v>
      </c>
      <c r="H16" s="35"/>
      <c r="I16" s="35">
        <v>6356</v>
      </c>
      <c r="J16" s="35">
        <v>7887</v>
      </c>
      <c r="K16" s="35"/>
      <c r="L16" s="35">
        <v>5593</v>
      </c>
      <c r="M16" s="35">
        <v>6780</v>
      </c>
      <c r="N16" s="364"/>
      <c r="O16" s="41">
        <v>8001</v>
      </c>
      <c r="P16" s="42">
        <v>6769</v>
      </c>
      <c r="Q16" s="42"/>
      <c r="R16" s="35">
        <v>7304</v>
      </c>
      <c r="S16" s="36">
        <v>6135</v>
      </c>
      <c r="T16" s="36"/>
      <c r="U16" s="35">
        <v>8118</v>
      </c>
      <c r="V16" s="35">
        <v>9474</v>
      </c>
      <c r="W16" s="35"/>
      <c r="X16" s="35">
        <v>5201</v>
      </c>
      <c r="Y16" s="35">
        <v>4544</v>
      </c>
      <c r="Z16" s="35"/>
      <c r="AA16" s="35">
        <v>483</v>
      </c>
      <c r="AB16" s="35">
        <v>15861</v>
      </c>
      <c r="AC16" s="35"/>
      <c r="AD16" s="37">
        <v>12101</v>
      </c>
      <c r="AE16" s="37">
        <v>4646</v>
      </c>
      <c r="AF16" s="37"/>
      <c r="AG16" s="37">
        <v>3230</v>
      </c>
      <c r="AH16" s="37">
        <v>3294</v>
      </c>
      <c r="AI16" s="37"/>
      <c r="AJ16" s="37">
        <v>5189</v>
      </c>
      <c r="AK16" s="38">
        <v>7448</v>
      </c>
      <c r="AL16" s="38"/>
      <c r="AM16" s="39">
        <f t="shared" si="4"/>
        <v>74390</v>
      </c>
      <c r="AN16" s="39">
        <f t="shared" si="2"/>
        <v>88102</v>
      </c>
      <c r="AO16" s="39">
        <f t="shared" si="1"/>
        <v>162492</v>
      </c>
      <c r="AP16" s="35">
        <v>175336</v>
      </c>
      <c r="AQ16" s="40">
        <f t="shared" si="3"/>
        <v>-7.325363872792809</v>
      </c>
      <c r="AS16" s="60"/>
      <c r="AT16" s="60"/>
    </row>
    <row r="17" spans="1:46" ht="18.75" x14ac:dyDescent="0.4">
      <c r="A17" s="27" t="s">
        <v>13</v>
      </c>
      <c r="B17" s="4"/>
      <c r="C17" s="35">
        <v>11083</v>
      </c>
      <c r="D17" s="35">
        <v>14320</v>
      </c>
      <c r="E17" s="35"/>
      <c r="F17" s="35">
        <v>10242</v>
      </c>
      <c r="G17" s="35">
        <v>7697</v>
      </c>
      <c r="H17" s="35"/>
      <c r="I17" s="35">
        <v>14048</v>
      </c>
      <c r="J17" s="35">
        <v>15014</v>
      </c>
      <c r="K17" s="364"/>
      <c r="L17" s="43">
        <v>11957</v>
      </c>
      <c r="M17" s="44">
        <v>12502</v>
      </c>
      <c r="N17" s="51"/>
      <c r="O17" s="43">
        <v>12797</v>
      </c>
      <c r="P17" s="44">
        <v>12254</v>
      </c>
      <c r="Q17" s="51"/>
      <c r="R17" s="43">
        <v>13213</v>
      </c>
      <c r="S17" s="45">
        <v>12887</v>
      </c>
      <c r="T17" s="45"/>
      <c r="U17" s="35">
        <v>14688</v>
      </c>
      <c r="V17" s="35">
        <v>14319</v>
      </c>
      <c r="W17" s="35"/>
      <c r="X17" s="35"/>
      <c r="Y17" s="35"/>
      <c r="Z17" s="364"/>
      <c r="AA17" s="46">
        <v>11127</v>
      </c>
      <c r="AB17" s="47">
        <v>10850</v>
      </c>
      <c r="AC17" s="47"/>
      <c r="AD17" s="48">
        <v>13221</v>
      </c>
      <c r="AE17" s="48">
        <v>14606</v>
      </c>
      <c r="AF17" s="48"/>
      <c r="AG17" s="49">
        <v>10092</v>
      </c>
      <c r="AH17" s="49">
        <v>10619</v>
      </c>
      <c r="AI17" s="49"/>
      <c r="AJ17" s="48">
        <v>19751</v>
      </c>
      <c r="AK17" s="50">
        <v>12217</v>
      </c>
      <c r="AL17" s="50"/>
      <c r="AM17" s="39">
        <f>C17+F17+I17+L17+O17+R17+U17+X17+AA17+AD17+AG17+AJ17</f>
        <v>142219</v>
      </c>
      <c r="AN17" s="39">
        <f t="shared" si="2"/>
        <v>137285</v>
      </c>
      <c r="AO17" s="39">
        <f t="shared" si="1"/>
        <v>279504</v>
      </c>
      <c r="AP17" s="35">
        <v>291023</v>
      </c>
      <c r="AQ17" s="40">
        <f t="shared" si="3"/>
        <v>-3.9581064039611991</v>
      </c>
      <c r="AS17" s="60"/>
      <c r="AT17" s="60"/>
    </row>
    <row r="18" spans="1:46" ht="18.75" x14ac:dyDescent="0.4">
      <c r="A18" s="27" t="s">
        <v>14</v>
      </c>
      <c r="B18" s="4" t="str">
        <f t="shared" si="0"/>
        <v>T'L</v>
      </c>
      <c r="C18" s="35">
        <v>1758</v>
      </c>
      <c r="D18" s="35">
        <v>2584</v>
      </c>
      <c r="E18" s="35"/>
      <c r="F18" s="35">
        <v>1375</v>
      </c>
      <c r="G18" s="35">
        <v>1512</v>
      </c>
      <c r="H18" s="35"/>
      <c r="I18" s="35">
        <v>3105</v>
      </c>
      <c r="J18" s="35">
        <v>2890</v>
      </c>
      <c r="K18" s="364"/>
      <c r="L18" s="51">
        <v>1649</v>
      </c>
      <c r="M18" s="44">
        <v>1567</v>
      </c>
      <c r="N18" s="51"/>
      <c r="O18" s="51">
        <v>1281</v>
      </c>
      <c r="P18" s="44">
        <v>1263</v>
      </c>
      <c r="Q18" s="44"/>
      <c r="R18" s="44">
        <v>1161</v>
      </c>
      <c r="S18" s="45">
        <v>1286</v>
      </c>
      <c r="T18" s="45"/>
      <c r="U18" s="35">
        <v>1251</v>
      </c>
      <c r="V18" s="35">
        <v>1415</v>
      </c>
      <c r="W18" s="35"/>
      <c r="X18" s="35"/>
      <c r="Y18" s="35"/>
      <c r="Z18" s="364"/>
      <c r="AA18" s="46">
        <v>1894</v>
      </c>
      <c r="AB18" s="47">
        <v>1947</v>
      </c>
      <c r="AC18" s="47"/>
      <c r="AD18" s="48">
        <v>1431</v>
      </c>
      <c r="AE18" s="48">
        <v>1756</v>
      </c>
      <c r="AF18" s="48"/>
      <c r="AG18" s="49">
        <v>1314</v>
      </c>
      <c r="AH18" s="49">
        <v>1399</v>
      </c>
      <c r="AI18" s="49"/>
      <c r="AJ18" s="48">
        <v>2988</v>
      </c>
      <c r="AK18" s="50">
        <v>1618</v>
      </c>
      <c r="AL18" s="50"/>
      <c r="AM18" s="39">
        <f t="shared" si="4"/>
        <v>19207</v>
      </c>
      <c r="AN18" s="39">
        <f t="shared" si="2"/>
        <v>19237</v>
      </c>
      <c r="AO18" s="39">
        <f t="shared" si="1"/>
        <v>38444</v>
      </c>
      <c r="AP18" s="35">
        <v>46507</v>
      </c>
      <c r="AQ18" s="40">
        <f t="shared" si="3"/>
        <v>-17.337175048917366</v>
      </c>
      <c r="AS18" s="60"/>
      <c r="AT18" s="60"/>
    </row>
    <row r="19" spans="1:46" ht="18.75" x14ac:dyDescent="0.4">
      <c r="A19" s="27" t="s">
        <v>15</v>
      </c>
      <c r="B19" s="4"/>
      <c r="C19" s="35">
        <v>6808</v>
      </c>
      <c r="D19" s="35">
        <v>6937</v>
      </c>
      <c r="E19" s="35"/>
      <c r="F19" s="35">
        <v>7615</v>
      </c>
      <c r="G19" s="35">
        <v>7789</v>
      </c>
      <c r="H19" s="35"/>
      <c r="I19" s="35">
        <v>8281</v>
      </c>
      <c r="J19" s="35">
        <v>7972</v>
      </c>
      <c r="K19" s="35"/>
      <c r="L19" s="35">
        <v>8321</v>
      </c>
      <c r="M19" s="35">
        <v>8560</v>
      </c>
      <c r="N19" s="35"/>
      <c r="O19" s="35">
        <v>7309</v>
      </c>
      <c r="P19" s="35">
        <v>7296</v>
      </c>
      <c r="Q19" s="35"/>
      <c r="R19" s="35"/>
      <c r="S19" s="36"/>
      <c r="T19" s="36"/>
      <c r="U19" s="35">
        <v>10781</v>
      </c>
      <c r="V19" s="35">
        <v>10505</v>
      </c>
      <c r="W19" s="35"/>
      <c r="X19" s="35">
        <v>10037</v>
      </c>
      <c r="Y19" s="35">
        <v>10538</v>
      </c>
      <c r="Z19" s="35"/>
      <c r="AA19" s="35">
        <v>8516</v>
      </c>
      <c r="AB19" s="35">
        <v>8146</v>
      </c>
      <c r="AC19" s="35"/>
      <c r="AD19" s="37">
        <v>7918</v>
      </c>
      <c r="AE19" s="37">
        <v>8063</v>
      </c>
      <c r="AF19" s="37"/>
      <c r="AG19" s="37">
        <v>7908</v>
      </c>
      <c r="AH19" s="37">
        <v>8204</v>
      </c>
      <c r="AI19" s="37"/>
      <c r="AJ19" s="37"/>
      <c r="AK19" s="38"/>
      <c r="AL19" s="38"/>
      <c r="AM19" s="39">
        <f t="shared" si="4"/>
        <v>83494</v>
      </c>
      <c r="AN19" s="39">
        <f t="shared" si="2"/>
        <v>84010</v>
      </c>
      <c r="AO19" s="39">
        <f t="shared" si="1"/>
        <v>167504</v>
      </c>
      <c r="AP19" s="35">
        <v>221250</v>
      </c>
      <c r="AQ19" s="40">
        <f t="shared" si="3"/>
        <v>-24.291977401129945</v>
      </c>
      <c r="AS19" s="60"/>
      <c r="AT19" s="60"/>
    </row>
    <row r="20" spans="1:46" ht="18.75" x14ac:dyDescent="0.4">
      <c r="A20" s="27" t="s">
        <v>16</v>
      </c>
      <c r="B20" s="4" t="str">
        <f t="shared" si="0"/>
        <v>DOM</v>
      </c>
      <c r="C20" s="35">
        <v>6388</v>
      </c>
      <c r="D20" s="35">
        <v>6894</v>
      </c>
      <c r="E20" s="35"/>
      <c r="F20" s="35">
        <v>6309</v>
      </c>
      <c r="G20" s="35">
        <v>6152</v>
      </c>
      <c r="H20" s="35"/>
      <c r="I20" s="35">
        <v>7041</v>
      </c>
      <c r="J20" s="35">
        <v>7378</v>
      </c>
      <c r="K20" s="35"/>
      <c r="L20" s="35">
        <v>4655</v>
      </c>
      <c r="M20" s="35">
        <v>3968</v>
      </c>
      <c r="N20" s="35"/>
      <c r="O20" s="35">
        <v>4702</v>
      </c>
      <c r="P20" s="35">
        <v>4436</v>
      </c>
      <c r="Q20" s="35"/>
      <c r="R20" s="35">
        <f>5647+65</f>
        <v>5712</v>
      </c>
      <c r="S20" s="36">
        <f>5287+73</f>
        <v>5360</v>
      </c>
      <c r="T20" s="36"/>
      <c r="U20" s="35">
        <v>6219</v>
      </c>
      <c r="V20" s="35">
        <v>6275</v>
      </c>
      <c r="W20" s="35"/>
      <c r="X20" s="35">
        <v>6322</v>
      </c>
      <c r="Y20" s="35">
        <v>6131</v>
      </c>
      <c r="Z20" s="35"/>
      <c r="AA20" s="35">
        <f>5269+98</f>
        <v>5367</v>
      </c>
      <c r="AB20" s="35">
        <f>4854+47</f>
        <v>4901</v>
      </c>
      <c r="AC20" s="35"/>
      <c r="AD20" s="37">
        <f>4007+65</f>
        <v>4072</v>
      </c>
      <c r="AE20" s="37">
        <f>4181+58</f>
        <v>4239</v>
      </c>
      <c r="AF20" s="37"/>
      <c r="AG20" s="37">
        <v>4007</v>
      </c>
      <c r="AH20" s="37">
        <v>4169</v>
      </c>
      <c r="AI20" s="37"/>
      <c r="AJ20" s="37">
        <v>1463</v>
      </c>
      <c r="AK20" s="38">
        <v>1561</v>
      </c>
      <c r="AL20" s="38"/>
      <c r="AM20" s="39">
        <f t="shared" si="4"/>
        <v>62257</v>
      </c>
      <c r="AN20" s="39">
        <f t="shared" si="2"/>
        <v>61464</v>
      </c>
      <c r="AO20" s="39">
        <f t="shared" si="1"/>
        <v>123721</v>
      </c>
      <c r="AP20" s="35">
        <v>174216</v>
      </c>
      <c r="AQ20" s="40">
        <f t="shared" si="3"/>
        <v>-28.984134637461541</v>
      </c>
      <c r="AS20" s="60"/>
      <c r="AT20" s="60"/>
    </row>
    <row r="21" spans="1:46" ht="18.75" x14ac:dyDescent="0.4">
      <c r="A21" s="27" t="s">
        <v>17</v>
      </c>
      <c r="B21" s="4" t="str">
        <f t="shared" si="0"/>
        <v>T'L</v>
      </c>
      <c r="C21" s="35">
        <v>0</v>
      </c>
      <c r="D21" s="35">
        <v>5</v>
      </c>
      <c r="E21" s="35"/>
      <c r="F21" s="35">
        <v>0</v>
      </c>
      <c r="G21" s="35">
        <v>0</v>
      </c>
      <c r="H21" s="35"/>
      <c r="I21" s="35">
        <v>0</v>
      </c>
      <c r="J21" s="35">
        <v>2</v>
      </c>
      <c r="K21" s="35"/>
      <c r="L21" s="35">
        <v>0</v>
      </c>
      <c r="M21" s="35">
        <v>0</v>
      </c>
      <c r="N21" s="35"/>
      <c r="O21" s="35">
        <v>0</v>
      </c>
      <c r="P21" s="35">
        <v>0</v>
      </c>
      <c r="Q21" s="35"/>
      <c r="R21" s="35">
        <v>2</v>
      </c>
      <c r="S21" s="36">
        <v>2</v>
      </c>
      <c r="T21" s="36"/>
      <c r="U21" s="35">
        <v>0</v>
      </c>
      <c r="V21" s="35">
        <v>0</v>
      </c>
      <c r="W21" s="35"/>
      <c r="X21" s="35">
        <v>0</v>
      </c>
      <c r="Y21" s="35">
        <v>5784</v>
      </c>
      <c r="Z21" s="35"/>
      <c r="AA21" s="35">
        <v>847</v>
      </c>
      <c r="AB21" s="35">
        <v>1088</v>
      </c>
      <c r="AC21" s="35"/>
      <c r="AD21" s="37">
        <v>6145</v>
      </c>
      <c r="AE21" s="37">
        <v>16</v>
      </c>
      <c r="AF21" s="37"/>
      <c r="AG21" s="37">
        <v>1</v>
      </c>
      <c r="AH21" s="37">
        <v>31</v>
      </c>
      <c r="AI21" s="37"/>
      <c r="AJ21" s="37">
        <v>0</v>
      </c>
      <c r="AK21" s="38">
        <v>0</v>
      </c>
      <c r="AL21" s="38"/>
      <c r="AM21" s="39">
        <f t="shared" si="4"/>
        <v>6995</v>
      </c>
      <c r="AN21" s="39">
        <f t="shared" si="2"/>
        <v>6928</v>
      </c>
      <c r="AO21" s="39">
        <f t="shared" si="1"/>
        <v>13923</v>
      </c>
      <c r="AP21" s="35">
        <v>17054</v>
      </c>
      <c r="AQ21" s="40">
        <f t="shared" si="3"/>
        <v>-18.35932918963293</v>
      </c>
      <c r="AS21" s="60"/>
      <c r="AT21" s="60"/>
    </row>
    <row r="22" spans="1:46" ht="18.75" x14ac:dyDescent="0.4">
      <c r="A22" s="27" t="s">
        <v>18</v>
      </c>
      <c r="B22" s="4" t="str">
        <f t="shared" si="0"/>
        <v>DOM</v>
      </c>
      <c r="C22" s="35">
        <v>8934</v>
      </c>
      <c r="D22" s="35">
        <v>9347</v>
      </c>
      <c r="E22" s="35"/>
      <c r="F22" s="35">
        <v>6682</v>
      </c>
      <c r="G22" s="35">
        <v>6375</v>
      </c>
      <c r="H22" s="35"/>
      <c r="I22" s="35">
        <v>7538</v>
      </c>
      <c r="J22" s="35">
        <v>7098</v>
      </c>
      <c r="K22" s="35"/>
      <c r="L22" s="35">
        <v>7104</v>
      </c>
      <c r="M22" s="35">
        <v>6878</v>
      </c>
      <c r="N22" s="35"/>
      <c r="O22" s="35">
        <v>6685</v>
      </c>
      <c r="P22" s="35">
        <v>6534</v>
      </c>
      <c r="Q22" s="35"/>
      <c r="R22" s="35">
        <v>7165</v>
      </c>
      <c r="S22" s="36">
        <v>7500</v>
      </c>
      <c r="T22" s="36"/>
      <c r="U22" s="35">
        <v>7100</v>
      </c>
      <c r="V22" s="35">
        <v>7486</v>
      </c>
      <c r="W22" s="35"/>
      <c r="X22" s="35">
        <v>8272</v>
      </c>
      <c r="Y22" s="35">
        <v>8973</v>
      </c>
      <c r="Z22" s="364"/>
      <c r="AA22" s="46">
        <v>7805</v>
      </c>
      <c r="AB22" s="47">
        <v>8188</v>
      </c>
      <c r="AC22" s="47"/>
      <c r="AD22" s="37">
        <v>8689</v>
      </c>
      <c r="AE22" s="37">
        <v>8510</v>
      </c>
      <c r="AF22" s="37"/>
      <c r="AG22" s="37">
        <v>8849</v>
      </c>
      <c r="AH22" s="37">
        <v>9287</v>
      </c>
      <c r="AI22" s="37"/>
      <c r="AJ22" s="37">
        <v>8689</v>
      </c>
      <c r="AK22" s="38">
        <v>8510</v>
      </c>
      <c r="AL22" s="38"/>
      <c r="AM22" s="39">
        <f t="shared" si="4"/>
        <v>93512</v>
      </c>
      <c r="AN22" s="39">
        <f t="shared" si="2"/>
        <v>94686</v>
      </c>
      <c r="AO22" s="39">
        <f t="shared" si="1"/>
        <v>188198</v>
      </c>
      <c r="AP22" s="35">
        <v>203844</v>
      </c>
      <c r="AQ22" s="40">
        <f t="shared" si="3"/>
        <v>-7.675477325798159</v>
      </c>
      <c r="AS22" s="60"/>
      <c r="AT22" s="60"/>
    </row>
    <row r="23" spans="1:46" ht="18.75" x14ac:dyDescent="0.4">
      <c r="A23" s="27" t="s">
        <v>19</v>
      </c>
      <c r="B23" s="4" t="str">
        <f t="shared" si="0"/>
        <v>T'L</v>
      </c>
      <c r="C23" s="35">
        <v>0</v>
      </c>
      <c r="D23" s="35">
        <v>0</v>
      </c>
      <c r="E23" s="35"/>
      <c r="F23" s="35">
        <v>0</v>
      </c>
      <c r="G23" s="35">
        <v>0</v>
      </c>
      <c r="H23" s="35"/>
      <c r="I23" s="35">
        <v>0</v>
      </c>
      <c r="J23" s="35">
        <v>0</v>
      </c>
      <c r="K23" s="35"/>
      <c r="L23" s="35">
        <v>0</v>
      </c>
      <c r="M23" s="35">
        <v>0</v>
      </c>
      <c r="N23" s="35"/>
      <c r="O23" s="35">
        <v>0</v>
      </c>
      <c r="P23" s="35">
        <v>0</v>
      </c>
      <c r="Q23" s="35"/>
      <c r="R23" s="35">
        <v>0</v>
      </c>
      <c r="S23" s="36">
        <v>0</v>
      </c>
      <c r="T23" s="36"/>
      <c r="U23" s="35">
        <v>0</v>
      </c>
      <c r="V23" s="35">
        <v>0</v>
      </c>
      <c r="W23" s="35"/>
      <c r="X23" s="35">
        <v>0</v>
      </c>
      <c r="Y23" s="35">
        <v>0</v>
      </c>
      <c r="Z23" s="364"/>
      <c r="AA23" s="46">
        <v>0</v>
      </c>
      <c r="AB23" s="47">
        <v>0</v>
      </c>
      <c r="AC23" s="47"/>
      <c r="AD23" s="37">
        <v>0</v>
      </c>
      <c r="AE23" s="37">
        <v>0</v>
      </c>
      <c r="AF23" s="37"/>
      <c r="AG23" s="37">
        <v>0</v>
      </c>
      <c r="AH23" s="37">
        <v>1</v>
      </c>
      <c r="AI23" s="37"/>
      <c r="AJ23" s="37">
        <v>0</v>
      </c>
      <c r="AK23" s="38">
        <v>0</v>
      </c>
      <c r="AL23" s="38"/>
      <c r="AM23" s="39">
        <f t="shared" si="4"/>
        <v>0</v>
      </c>
      <c r="AN23" s="39">
        <f t="shared" si="2"/>
        <v>1</v>
      </c>
      <c r="AO23" s="39">
        <f t="shared" si="1"/>
        <v>1</v>
      </c>
      <c r="AP23" s="35">
        <v>192</v>
      </c>
      <c r="AQ23" s="40">
        <f t="shared" si="3"/>
        <v>-99.479166666666671</v>
      </c>
      <c r="AS23" s="60"/>
      <c r="AT23" s="60"/>
    </row>
    <row r="24" spans="1:46" ht="18.75" x14ac:dyDescent="0.4">
      <c r="A24" s="27" t="s">
        <v>20</v>
      </c>
      <c r="B24" s="4" t="str">
        <f t="shared" si="0"/>
        <v>DOM</v>
      </c>
      <c r="C24" s="35">
        <v>3367</v>
      </c>
      <c r="D24" s="35">
        <v>3538</v>
      </c>
      <c r="E24" s="35"/>
      <c r="F24" s="35">
        <v>3016</v>
      </c>
      <c r="G24" s="35">
        <v>3150</v>
      </c>
      <c r="H24" s="35"/>
      <c r="I24" s="35">
        <v>3654</v>
      </c>
      <c r="J24" s="35">
        <v>3538</v>
      </c>
      <c r="K24" s="35"/>
      <c r="L24" s="35"/>
      <c r="M24" s="35"/>
      <c r="N24" s="35"/>
      <c r="O24" s="35">
        <v>3028</v>
      </c>
      <c r="P24" s="35">
        <v>3134</v>
      </c>
      <c r="Q24" s="35"/>
      <c r="R24" s="35">
        <v>3832</v>
      </c>
      <c r="S24" s="36">
        <v>3577</v>
      </c>
      <c r="T24" s="36"/>
      <c r="U24" s="35">
        <v>3884</v>
      </c>
      <c r="V24" s="35">
        <v>3375</v>
      </c>
      <c r="W24" s="35"/>
      <c r="X24" s="35">
        <v>3747</v>
      </c>
      <c r="Y24" s="35">
        <v>4131</v>
      </c>
      <c r="Z24" s="35"/>
      <c r="AA24" s="35">
        <v>3684</v>
      </c>
      <c r="AB24" s="35">
        <v>3404</v>
      </c>
      <c r="AC24" s="35"/>
      <c r="AD24" s="37"/>
      <c r="AE24" s="37"/>
      <c r="AF24" s="37"/>
      <c r="AG24" s="37">
        <v>3553</v>
      </c>
      <c r="AH24" s="37">
        <v>3883</v>
      </c>
      <c r="AI24" s="37"/>
      <c r="AJ24" s="37">
        <v>3189</v>
      </c>
      <c r="AK24" s="38">
        <v>3168</v>
      </c>
      <c r="AL24" s="38"/>
      <c r="AM24" s="39">
        <f t="shared" si="4"/>
        <v>34954</v>
      </c>
      <c r="AN24" s="39">
        <f t="shared" si="2"/>
        <v>34898</v>
      </c>
      <c r="AO24" s="39">
        <f t="shared" si="1"/>
        <v>69852</v>
      </c>
      <c r="AP24" s="35">
        <v>100078</v>
      </c>
      <c r="AQ24" s="40">
        <f t="shared" si="3"/>
        <v>-30.202442095165772</v>
      </c>
      <c r="AS24" s="60"/>
      <c r="AT24" s="60"/>
    </row>
    <row r="25" spans="1:46" ht="18.75" x14ac:dyDescent="0.4">
      <c r="A25" s="27" t="s">
        <v>21</v>
      </c>
      <c r="B25" s="4" t="str">
        <f t="shared" si="0"/>
        <v>T'L</v>
      </c>
      <c r="C25" s="35">
        <v>0</v>
      </c>
      <c r="D25" s="35">
        <v>0</v>
      </c>
      <c r="E25" s="35"/>
      <c r="F25" s="35">
        <v>0</v>
      </c>
      <c r="G25" s="35">
        <v>0</v>
      </c>
      <c r="H25" s="35"/>
      <c r="I25" s="35">
        <v>0</v>
      </c>
      <c r="J25" s="35">
        <v>0</v>
      </c>
      <c r="K25" s="35"/>
      <c r="L25" s="35"/>
      <c r="M25" s="35"/>
      <c r="N25" s="35"/>
      <c r="O25" s="35">
        <v>0</v>
      </c>
      <c r="P25" s="35">
        <v>12</v>
      </c>
      <c r="Q25" s="35"/>
      <c r="R25" s="35">
        <v>0</v>
      </c>
      <c r="S25" s="36">
        <v>0</v>
      </c>
      <c r="T25" s="36"/>
      <c r="U25" s="35">
        <v>12</v>
      </c>
      <c r="V25" s="35">
        <v>0</v>
      </c>
      <c r="W25" s="35"/>
      <c r="X25" s="35">
        <v>0</v>
      </c>
      <c r="Y25" s="35">
        <v>3741</v>
      </c>
      <c r="Z25" s="35"/>
      <c r="AA25" s="35">
        <v>2129</v>
      </c>
      <c r="AB25" s="35">
        <v>5997</v>
      </c>
      <c r="AC25" s="35"/>
      <c r="AD25" s="37"/>
      <c r="AE25" s="37"/>
      <c r="AF25" s="37"/>
      <c r="AG25" s="37">
        <v>0</v>
      </c>
      <c r="AH25" s="37">
        <v>0</v>
      </c>
      <c r="AI25" s="37"/>
      <c r="AJ25" s="37">
        <v>0</v>
      </c>
      <c r="AK25" s="38">
        <v>0</v>
      </c>
      <c r="AL25" s="38"/>
      <c r="AM25" s="39">
        <f t="shared" si="4"/>
        <v>2141</v>
      </c>
      <c r="AN25" s="39">
        <f t="shared" si="2"/>
        <v>9750</v>
      </c>
      <c r="AO25" s="39">
        <f t="shared" si="1"/>
        <v>11891</v>
      </c>
      <c r="AP25" s="35">
        <v>18047</v>
      </c>
      <c r="AQ25" s="40">
        <f t="shared" si="3"/>
        <v>-34.110932564969247</v>
      </c>
      <c r="AS25" s="60"/>
      <c r="AT25" s="60"/>
    </row>
    <row r="26" spans="1:46" ht="18.75" x14ac:dyDescent="0.4">
      <c r="A26" s="27" t="s">
        <v>22</v>
      </c>
      <c r="B26" s="4"/>
      <c r="C26" s="35">
        <v>6816</v>
      </c>
      <c r="D26" s="35">
        <v>6658</v>
      </c>
      <c r="E26" s="35"/>
      <c r="F26" s="35">
        <v>7894</v>
      </c>
      <c r="G26" s="35">
        <v>8275</v>
      </c>
      <c r="H26" s="35"/>
      <c r="I26" s="35">
        <v>9426</v>
      </c>
      <c r="J26" s="35">
        <v>9302</v>
      </c>
      <c r="K26" s="35"/>
      <c r="L26" s="35">
        <v>8018</v>
      </c>
      <c r="M26" s="35">
        <v>8313</v>
      </c>
      <c r="N26" s="35"/>
      <c r="O26" s="35"/>
      <c r="P26" s="35"/>
      <c r="Q26" s="35"/>
      <c r="R26" s="35">
        <v>4783</v>
      </c>
      <c r="S26" s="36">
        <v>4609</v>
      </c>
      <c r="T26" s="36"/>
      <c r="U26" s="35"/>
      <c r="V26" s="35"/>
      <c r="W26" s="35"/>
      <c r="X26" s="35"/>
      <c r="Y26" s="35"/>
      <c r="Z26" s="35"/>
      <c r="AA26" s="35">
        <v>3946</v>
      </c>
      <c r="AB26" s="35">
        <v>4170</v>
      </c>
      <c r="AC26" s="35"/>
      <c r="AD26" s="37">
        <v>7240</v>
      </c>
      <c r="AE26" s="37">
        <v>7265</v>
      </c>
      <c r="AF26" s="37"/>
      <c r="AG26" s="37">
        <v>8423</v>
      </c>
      <c r="AH26" s="37">
        <v>8088</v>
      </c>
      <c r="AI26" s="37"/>
      <c r="AJ26" s="37">
        <v>7029</v>
      </c>
      <c r="AK26" s="38">
        <v>5969</v>
      </c>
      <c r="AL26" s="38"/>
      <c r="AM26" s="39">
        <f t="shared" si="4"/>
        <v>63575</v>
      </c>
      <c r="AN26" s="39">
        <f t="shared" si="2"/>
        <v>62649</v>
      </c>
      <c r="AO26" s="39">
        <f t="shared" si="1"/>
        <v>126224</v>
      </c>
      <c r="AP26" s="35">
        <v>227896</v>
      </c>
      <c r="AQ26" s="40">
        <f t="shared" si="3"/>
        <v>-44.613332397233826</v>
      </c>
      <c r="AS26" s="60"/>
      <c r="AT26" s="60"/>
    </row>
    <row r="27" spans="1:46" ht="18.75" x14ac:dyDescent="0.4">
      <c r="A27" s="27" t="s">
        <v>23</v>
      </c>
      <c r="B27" s="4" t="str">
        <f t="shared" si="0"/>
        <v>DOM</v>
      </c>
      <c r="C27" s="35">
        <v>227</v>
      </c>
      <c r="D27" s="35">
        <v>194</v>
      </c>
      <c r="E27" s="35"/>
      <c r="F27" s="35">
        <v>408</v>
      </c>
      <c r="G27" s="35">
        <v>352</v>
      </c>
      <c r="H27" s="35"/>
      <c r="I27" s="35">
        <v>515</v>
      </c>
      <c r="J27" s="35">
        <v>490</v>
      </c>
      <c r="K27" s="35"/>
      <c r="L27" s="35">
        <v>845</v>
      </c>
      <c r="M27" s="35">
        <v>416</v>
      </c>
      <c r="N27" s="35"/>
      <c r="O27" s="35">
        <v>592</v>
      </c>
      <c r="P27" s="35">
        <v>269</v>
      </c>
      <c r="Q27" s="35"/>
      <c r="R27" s="52">
        <v>250</v>
      </c>
      <c r="S27" s="53">
        <v>312</v>
      </c>
      <c r="T27" s="53"/>
      <c r="U27" s="35">
        <v>1250</v>
      </c>
      <c r="V27" s="35">
        <v>1411</v>
      </c>
      <c r="W27" s="35"/>
      <c r="X27" s="35">
        <v>4946</v>
      </c>
      <c r="Y27" s="35">
        <v>3952</v>
      </c>
      <c r="Z27" s="364"/>
      <c r="AA27" s="46"/>
      <c r="AB27" s="47"/>
      <c r="AC27" s="47"/>
      <c r="AD27" s="37">
        <v>3561</v>
      </c>
      <c r="AE27" s="37">
        <v>3804</v>
      </c>
      <c r="AF27" s="37"/>
      <c r="AG27" s="37">
        <f>2919+387</f>
        <v>3306</v>
      </c>
      <c r="AH27" s="37">
        <f>2759+522</f>
        <v>3281</v>
      </c>
      <c r="AI27" s="37"/>
      <c r="AJ27" s="37">
        <f>3078+483</f>
        <v>3561</v>
      </c>
      <c r="AK27" s="38">
        <f>2801+1486</f>
        <v>4287</v>
      </c>
      <c r="AL27" s="38"/>
      <c r="AM27" s="39">
        <f>C27+F27+I27+L27+O27+U27+X27+AA27+AD27+AG27+AJ27</f>
        <v>19211</v>
      </c>
      <c r="AN27" s="39">
        <f t="shared" si="2"/>
        <v>18768</v>
      </c>
      <c r="AO27" s="39">
        <f t="shared" si="1"/>
        <v>37979</v>
      </c>
      <c r="AP27" s="35">
        <v>11103</v>
      </c>
      <c r="AQ27" s="40">
        <f t="shared" si="3"/>
        <v>242.06070431414932</v>
      </c>
      <c r="AS27" s="60"/>
      <c r="AT27" s="60"/>
    </row>
    <row r="28" spans="1:46" ht="18.75" x14ac:dyDescent="0.4">
      <c r="A28" s="27" t="s">
        <v>24</v>
      </c>
      <c r="B28" s="4" t="str">
        <f t="shared" si="0"/>
        <v>T'L</v>
      </c>
      <c r="C28" s="35">
        <v>0</v>
      </c>
      <c r="D28" s="35">
        <v>0</v>
      </c>
      <c r="E28" s="35"/>
      <c r="F28" s="35">
        <v>0</v>
      </c>
      <c r="G28" s="35">
        <v>0</v>
      </c>
      <c r="H28" s="35"/>
      <c r="I28" s="35">
        <v>0</v>
      </c>
      <c r="J28" s="35">
        <v>0</v>
      </c>
      <c r="K28" s="35"/>
      <c r="L28" s="35">
        <v>0</v>
      </c>
      <c r="M28" s="35">
        <v>0</v>
      </c>
      <c r="N28" s="35"/>
      <c r="O28" s="35">
        <v>0</v>
      </c>
      <c r="P28" s="35">
        <v>0</v>
      </c>
      <c r="Q28" s="35"/>
      <c r="R28" s="52">
        <v>0</v>
      </c>
      <c r="S28" s="53">
        <v>0</v>
      </c>
      <c r="T28" s="53"/>
      <c r="U28" s="35">
        <v>0</v>
      </c>
      <c r="V28" s="35">
        <v>0</v>
      </c>
      <c r="W28" s="35"/>
      <c r="X28" s="35">
        <v>0</v>
      </c>
      <c r="Y28" s="35">
        <v>0</v>
      </c>
      <c r="Z28" s="364"/>
      <c r="AA28" s="46"/>
      <c r="AB28" s="47"/>
      <c r="AC28" s="47"/>
      <c r="AD28" s="37">
        <v>8</v>
      </c>
      <c r="AE28" s="37">
        <v>4651</v>
      </c>
      <c r="AF28" s="37"/>
      <c r="AG28" s="37">
        <v>0</v>
      </c>
      <c r="AH28" s="37">
        <v>0</v>
      </c>
      <c r="AI28" s="37"/>
      <c r="AJ28" s="37">
        <v>8</v>
      </c>
      <c r="AK28" s="38">
        <v>4651</v>
      </c>
      <c r="AL28" s="38"/>
      <c r="AM28" s="39">
        <f t="shared" si="4"/>
        <v>16</v>
      </c>
      <c r="AN28" s="39">
        <f t="shared" si="2"/>
        <v>9302</v>
      </c>
      <c r="AO28" s="39">
        <f t="shared" si="1"/>
        <v>9318</v>
      </c>
      <c r="AP28" s="35">
        <v>0</v>
      </c>
      <c r="AQ28" s="40">
        <v>0</v>
      </c>
      <c r="AS28" s="60"/>
      <c r="AT28" s="60"/>
    </row>
    <row r="29" spans="1:46" ht="18.75" x14ac:dyDescent="0.4">
      <c r="A29" s="27" t="s">
        <v>25</v>
      </c>
      <c r="B29" s="4"/>
      <c r="C29" s="35">
        <v>2037</v>
      </c>
      <c r="D29" s="35">
        <v>2132</v>
      </c>
      <c r="E29" s="35"/>
      <c r="F29" s="35">
        <v>1474</v>
      </c>
      <c r="G29" s="35">
        <v>1374</v>
      </c>
      <c r="H29" s="35"/>
      <c r="I29" s="35">
        <v>1882</v>
      </c>
      <c r="J29" s="35">
        <v>2010</v>
      </c>
      <c r="K29" s="35"/>
      <c r="L29" s="35">
        <v>1834</v>
      </c>
      <c r="M29" s="35">
        <v>1515</v>
      </c>
      <c r="N29" s="35"/>
      <c r="O29" s="35">
        <v>1875</v>
      </c>
      <c r="P29" s="35">
        <v>1496</v>
      </c>
      <c r="Q29" s="35"/>
      <c r="R29" s="35">
        <v>2525</v>
      </c>
      <c r="S29" s="36">
        <v>2349</v>
      </c>
      <c r="T29" s="36"/>
      <c r="U29" s="35">
        <v>1971</v>
      </c>
      <c r="V29" s="35">
        <v>1917</v>
      </c>
      <c r="W29" s="35"/>
      <c r="X29" s="35">
        <v>1977</v>
      </c>
      <c r="Y29" s="35">
        <v>1959</v>
      </c>
      <c r="Z29" s="35"/>
      <c r="AA29" s="35"/>
      <c r="AB29" s="35"/>
      <c r="AC29" s="35"/>
      <c r="AD29" s="37">
        <v>2074</v>
      </c>
      <c r="AE29" s="37">
        <v>1832</v>
      </c>
      <c r="AF29" s="37"/>
      <c r="AG29" s="37">
        <v>1935</v>
      </c>
      <c r="AH29" s="37">
        <v>1914</v>
      </c>
      <c r="AI29" s="37"/>
      <c r="AJ29" s="35">
        <v>2056</v>
      </c>
      <c r="AK29" s="36">
        <v>1794</v>
      </c>
      <c r="AL29" s="36"/>
      <c r="AM29" s="39">
        <f t="shared" si="4"/>
        <v>21640</v>
      </c>
      <c r="AN29" s="39">
        <f t="shared" si="2"/>
        <v>20292</v>
      </c>
      <c r="AO29" s="39">
        <f t="shared" si="1"/>
        <v>41932</v>
      </c>
      <c r="AP29" s="35">
        <v>48938</v>
      </c>
      <c r="AQ29" s="40">
        <f t="shared" si="3"/>
        <v>-14.316073398994646</v>
      </c>
      <c r="AS29" s="60"/>
      <c r="AT29" s="60"/>
    </row>
    <row r="30" spans="1:46" ht="18.75" x14ac:dyDescent="0.4">
      <c r="A30" s="27" t="s">
        <v>26</v>
      </c>
      <c r="B30" s="4"/>
      <c r="C30" s="35">
        <v>14630</v>
      </c>
      <c r="D30" s="35">
        <v>20378</v>
      </c>
      <c r="E30" s="35"/>
      <c r="F30" s="35">
        <v>12438</v>
      </c>
      <c r="G30" s="35">
        <v>13388</v>
      </c>
      <c r="H30" s="35"/>
      <c r="I30" s="35">
        <v>12438</v>
      </c>
      <c r="J30" s="35">
        <v>13388</v>
      </c>
      <c r="K30" s="35"/>
      <c r="L30" s="35">
        <v>17756</v>
      </c>
      <c r="M30" s="35">
        <v>19064</v>
      </c>
      <c r="N30" s="35"/>
      <c r="O30" s="35">
        <v>13971</v>
      </c>
      <c r="P30" s="35">
        <v>12724</v>
      </c>
      <c r="Q30" s="35"/>
      <c r="R30" s="35">
        <v>14801</v>
      </c>
      <c r="S30" s="36">
        <v>14068</v>
      </c>
      <c r="T30" s="36"/>
      <c r="U30" s="35"/>
      <c r="V30" s="35"/>
      <c r="W30" s="35"/>
      <c r="X30" s="35"/>
      <c r="Y30" s="35"/>
      <c r="Z30" s="35"/>
      <c r="AA30" s="35">
        <v>13430</v>
      </c>
      <c r="AB30" s="35">
        <v>13288</v>
      </c>
      <c r="AC30" s="35"/>
      <c r="AD30" s="37">
        <v>15773</v>
      </c>
      <c r="AE30" s="37">
        <v>15166</v>
      </c>
      <c r="AF30" s="37"/>
      <c r="AG30" s="37">
        <v>16456</v>
      </c>
      <c r="AH30" s="37">
        <v>15986</v>
      </c>
      <c r="AI30" s="37"/>
      <c r="AJ30" s="37">
        <v>27581</v>
      </c>
      <c r="AK30" s="38">
        <v>16619</v>
      </c>
      <c r="AL30" s="38"/>
      <c r="AM30" s="39">
        <f t="shared" si="4"/>
        <v>159274</v>
      </c>
      <c r="AN30" s="39">
        <f t="shared" si="2"/>
        <v>154069</v>
      </c>
      <c r="AO30" s="39">
        <f t="shared" si="1"/>
        <v>313343</v>
      </c>
      <c r="AP30" s="35">
        <v>338943</v>
      </c>
      <c r="AQ30" s="40">
        <f t="shared" si="3"/>
        <v>-7.5528923742340162</v>
      </c>
      <c r="AS30" s="60"/>
      <c r="AT30" s="60"/>
    </row>
    <row r="31" spans="1:46" ht="18.75" x14ac:dyDescent="0.4">
      <c r="A31" s="27" t="s">
        <v>27</v>
      </c>
      <c r="B31" s="4" t="str">
        <f t="shared" si="0"/>
        <v>DOM</v>
      </c>
      <c r="C31" s="35"/>
      <c r="D31" s="35"/>
      <c r="E31" s="35"/>
      <c r="F31" s="35">
        <v>4744</v>
      </c>
      <c r="G31" s="35">
        <v>4949</v>
      </c>
      <c r="H31" s="35"/>
      <c r="I31" s="35">
        <v>6221</v>
      </c>
      <c r="J31" s="35">
        <v>5858</v>
      </c>
      <c r="K31" s="35"/>
      <c r="L31" s="35">
        <v>6332</v>
      </c>
      <c r="M31" s="35">
        <v>6306</v>
      </c>
      <c r="N31" s="35"/>
      <c r="O31" s="35">
        <v>6763</v>
      </c>
      <c r="P31" s="35">
        <v>6438</v>
      </c>
      <c r="Q31" s="35"/>
      <c r="R31" s="35">
        <v>5697</v>
      </c>
      <c r="S31" s="36">
        <v>5845</v>
      </c>
      <c r="T31" s="36"/>
      <c r="U31" s="35">
        <v>6316</v>
      </c>
      <c r="V31" s="35">
        <v>5746</v>
      </c>
      <c r="W31" s="35"/>
      <c r="X31" s="35">
        <v>7292</v>
      </c>
      <c r="Y31" s="35">
        <v>7073</v>
      </c>
      <c r="Z31" s="35"/>
      <c r="AA31" s="35">
        <f>6167+82</f>
        <v>6249</v>
      </c>
      <c r="AB31" s="35">
        <f>5699+77</f>
        <v>5776</v>
      </c>
      <c r="AC31" s="35"/>
      <c r="AD31" s="37">
        <v>5997</v>
      </c>
      <c r="AE31" s="37">
        <v>5897</v>
      </c>
      <c r="AF31" s="37"/>
      <c r="AG31" s="37">
        <v>6378</v>
      </c>
      <c r="AH31" s="37">
        <v>6276</v>
      </c>
      <c r="AI31" s="37"/>
      <c r="AJ31" s="37">
        <v>7683</v>
      </c>
      <c r="AK31" s="38">
        <v>6593</v>
      </c>
      <c r="AL31" s="38"/>
      <c r="AM31" s="39">
        <f t="shared" si="4"/>
        <v>69672</v>
      </c>
      <c r="AN31" s="39">
        <f t="shared" si="2"/>
        <v>66757</v>
      </c>
      <c r="AO31" s="39">
        <f t="shared" si="1"/>
        <v>136429</v>
      </c>
      <c r="AP31" s="35">
        <v>145588</v>
      </c>
      <c r="AQ31" s="40">
        <f t="shared" si="3"/>
        <v>-6.2910404703684373</v>
      </c>
      <c r="AS31" s="60"/>
      <c r="AT31" s="60"/>
    </row>
    <row r="32" spans="1:46" ht="18.75" x14ac:dyDescent="0.4">
      <c r="A32" s="27" t="s">
        <v>28</v>
      </c>
      <c r="B32" s="4" t="str">
        <f t="shared" si="0"/>
        <v>T'L</v>
      </c>
      <c r="C32" s="35"/>
      <c r="D32" s="35"/>
      <c r="E32" s="35"/>
      <c r="F32" s="35">
        <v>0</v>
      </c>
      <c r="G32" s="35">
        <v>0</v>
      </c>
      <c r="H32" s="35"/>
      <c r="I32" s="35">
        <v>0</v>
      </c>
      <c r="J32" s="35">
        <v>0</v>
      </c>
      <c r="K32" s="35"/>
      <c r="L32" s="35">
        <v>0</v>
      </c>
      <c r="M32" s="35">
        <v>0</v>
      </c>
      <c r="N32" s="35"/>
      <c r="O32" s="35">
        <v>0</v>
      </c>
      <c r="P32" s="35">
        <v>0</v>
      </c>
      <c r="Q32" s="35"/>
      <c r="R32" s="35">
        <v>0</v>
      </c>
      <c r="S32" s="36">
        <v>0</v>
      </c>
      <c r="T32" s="36"/>
      <c r="U32" s="35">
        <v>0</v>
      </c>
      <c r="V32" s="35">
        <v>0</v>
      </c>
      <c r="W32" s="35"/>
      <c r="X32" s="35">
        <v>0</v>
      </c>
      <c r="Y32" s="35">
        <v>0</v>
      </c>
      <c r="Z32" s="35"/>
      <c r="AA32" s="35">
        <v>0</v>
      </c>
      <c r="AB32" s="35">
        <v>3318</v>
      </c>
      <c r="AC32" s="35"/>
      <c r="AD32" s="37">
        <v>3199</v>
      </c>
      <c r="AE32" s="37">
        <v>132</v>
      </c>
      <c r="AF32" s="37"/>
      <c r="AG32" s="37">
        <v>788</v>
      </c>
      <c r="AH32" s="37">
        <v>657</v>
      </c>
      <c r="AI32" s="37"/>
      <c r="AJ32" s="37">
        <v>334</v>
      </c>
      <c r="AK32" s="38">
        <v>334</v>
      </c>
      <c r="AL32" s="38"/>
      <c r="AM32" s="39">
        <f t="shared" si="4"/>
        <v>4321</v>
      </c>
      <c r="AN32" s="39">
        <f t="shared" si="2"/>
        <v>4441</v>
      </c>
      <c r="AO32" s="39">
        <f t="shared" si="1"/>
        <v>8762</v>
      </c>
      <c r="AP32" s="35">
        <v>11023</v>
      </c>
      <c r="AQ32" s="40">
        <f t="shared" si="3"/>
        <v>-20.51165744352717</v>
      </c>
      <c r="AS32" s="60"/>
      <c r="AT32" s="60"/>
    </row>
    <row r="33" spans="1:46" ht="18.75" x14ac:dyDescent="0.4">
      <c r="A33" s="27" t="s">
        <v>29</v>
      </c>
      <c r="B33" s="4" t="str">
        <f t="shared" si="0"/>
        <v>DOM</v>
      </c>
      <c r="C33" s="35">
        <v>2886</v>
      </c>
      <c r="D33" s="35">
        <v>2551</v>
      </c>
      <c r="E33" s="35"/>
      <c r="F33" s="35">
        <v>2195</v>
      </c>
      <c r="G33" s="35">
        <v>2304</v>
      </c>
      <c r="H33" s="35"/>
      <c r="I33" s="35">
        <v>2656</v>
      </c>
      <c r="J33" s="35">
        <v>2898</v>
      </c>
      <c r="K33" s="35"/>
      <c r="L33" s="35"/>
      <c r="M33" s="35"/>
      <c r="N33" s="364"/>
      <c r="O33" s="41">
        <v>2212</v>
      </c>
      <c r="P33" s="42">
        <v>2144</v>
      </c>
      <c r="Q33" s="42"/>
      <c r="R33" s="42">
        <v>2580</v>
      </c>
      <c r="S33" s="54">
        <v>2705</v>
      </c>
      <c r="T33" s="54"/>
      <c r="U33" s="35">
        <v>2869</v>
      </c>
      <c r="V33" s="35">
        <v>3178</v>
      </c>
      <c r="W33" s="35"/>
      <c r="X33" s="35">
        <v>2887</v>
      </c>
      <c r="Y33" s="35">
        <v>3043</v>
      </c>
      <c r="Z33" s="35"/>
      <c r="AA33" s="35">
        <v>2770</v>
      </c>
      <c r="AB33" s="35">
        <v>3023</v>
      </c>
      <c r="AC33" s="35"/>
      <c r="AD33" s="37"/>
      <c r="AE33" s="37"/>
      <c r="AF33" s="37"/>
      <c r="AG33" s="37">
        <v>3069</v>
      </c>
      <c r="AH33" s="37">
        <v>2872</v>
      </c>
      <c r="AI33" s="37"/>
      <c r="AJ33" s="37">
        <v>2454</v>
      </c>
      <c r="AK33" s="38">
        <v>4407</v>
      </c>
      <c r="AL33" s="38"/>
      <c r="AM33" s="39">
        <f t="shared" si="4"/>
        <v>26578</v>
      </c>
      <c r="AN33" s="39">
        <f t="shared" si="2"/>
        <v>29125</v>
      </c>
      <c r="AO33" s="39">
        <f t="shared" si="1"/>
        <v>55703</v>
      </c>
      <c r="AP33" s="35">
        <v>66205</v>
      </c>
      <c r="AQ33" s="40">
        <f t="shared" si="3"/>
        <v>-15.86285023789744</v>
      </c>
      <c r="AS33" s="60"/>
      <c r="AT33" s="60"/>
    </row>
    <row r="34" spans="1:46" ht="18.75" x14ac:dyDescent="0.4">
      <c r="A34" s="27" t="s">
        <v>30</v>
      </c>
      <c r="B34" s="4" t="str">
        <f t="shared" si="0"/>
        <v>T'L</v>
      </c>
      <c r="C34" s="35">
        <v>0</v>
      </c>
      <c r="D34" s="35">
        <v>0</v>
      </c>
      <c r="E34" s="35"/>
      <c r="F34" s="35">
        <v>0</v>
      </c>
      <c r="G34" s="35">
        <v>0</v>
      </c>
      <c r="H34" s="35"/>
      <c r="I34" s="35">
        <v>0</v>
      </c>
      <c r="J34" s="35">
        <v>0</v>
      </c>
      <c r="K34" s="35"/>
      <c r="L34" s="35"/>
      <c r="M34" s="35"/>
      <c r="N34" s="364"/>
      <c r="O34" s="41">
        <v>0</v>
      </c>
      <c r="P34" s="42">
        <v>0</v>
      </c>
      <c r="Q34" s="42"/>
      <c r="R34" s="42">
        <v>0</v>
      </c>
      <c r="S34" s="54">
        <v>0</v>
      </c>
      <c r="T34" s="54"/>
      <c r="U34" s="35">
        <v>0</v>
      </c>
      <c r="V34" s="35">
        <v>0</v>
      </c>
      <c r="W34" s="35"/>
      <c r="X34" s="35">
        <v>0</v>
      </c>
      <c r="Y34" s="35">
        <v>0</v>
      </c>
      <c r="Z34" s="35"/>
      <c r="AA34" s="35">
        <v>0</v>
      </c>
      <c r="AB34" s="35">
        <v>0</v>
      </c>
      <c r="AC34" s="35"/>
      <c r="AD34" s="37"/>
      <c r="AE34" s="37"/>
      <c r="AF34" s="37"/>
      <c r="AG34" s="37">
        <v>0</v>
      </c>
      <c r="AH34" s="37">
        <v>0</v>
      </c>
      <c r="AI34" s="37"/>
      <c r="AJ34" s="37">
        <v>0</v>
      </c>
      <c r="AK34" s="38">
        <v>0</v>
      </c>
      <c r="AL34" s="38"/>
      <c r="AM34" s="39">
        <f t="shared" si="4"/>
        <v>0</v>
      </c>
      <c r="AN34" s="39">
        <f t="shared" si="2"/>
        <v>0</v>
      </c>
      <c r="AO34" s="39">
        <f t="shared" si="1"/>
        <v>0</v>
      </c>
      <c r="AP34" s="35">
        <v>3896</v>
      </c>
      <c r="AQ34" s="40">
        <f t="shared" si="3"/>
        <v>-100</v>
      </c>
      <c r="AS34" s="60"/>
      <c r="AT34" s="60"/>
    </row>
    <row r="35" spans="1:46" ht="18.75" x14ac:dyDescent="0.4">
      <c r="A35" s="27" t="s">
        <v>31</v>
      </c>
      <c r="B35" s="4"/>
      <c r="C35" s="35"/>
      <c r="D35" s="35"/>
      <c r="E35" s="35"/>
      <c r="F35" s="35">
        <v>2290</v>
      </c>
      <c r="G35" s="35">
        <v>2325</v>
      </c>
      <c r="H35" s="35"/>
      <c r="I35" s="35"/>
      <c r="J35" s="35"/>
      <c r="K35" s="35"/>
      <c r="L35" s="35">
        <v>2348</v>
      </c>
      <c r="M35" s="35">
        <v>2409</v>
      </c>
      <c r="N35" s="364"/>
      <c r="O35" s="41">
        <v>2098</v>
      </c>
      <c r="P35" s="42">
        <v>2066</v>
      </c>
      <c r="Q35" s="42"/>
      <c r="R35" s="44">
        <v>2995</v>
      </c>
      <c r="S35" s="54">
        <v>2948</v>
      </c>
      <c r="T35" s="54"/>
      <c r="U35" s="35">
        <v>2944</v>
      </c>
      <c r="V35" s="35">
        <v>2792</v>
      </c>
      <c r="W35" s="35"/>
      <c r="X35" s="35">
        <v>3522</v>
      </c>
      <c r="Y35" s="35">
        <v>3450</v>
      </c>
      <c r="Z35" s="364"/>
      <c r="AA35" s="46"/>
      <c r="AB35" s="47"/>
      <c r="AC35" s="47"/>
      <c r="AD35" s="37"/>
      <c r="AE35" s="37"/>
      <c r="AF35" s="37"/>
      <c r="AG35" s="37">
        <v>3108</v>
      </c>
      <c r="AH35" s="37">
        <v>3326</v>
      </c>
      <c r="AI35" s="37"/>
      <c r="AJ35" s="37">
        <v>2617</v>
      </c>
      <c r="AK35" s="38">
        <v>2530</v>
      </c>
      <c r="AL35" s="38"/>
      <c r="AM35" s="39">
        <f t="shared" si="4"/>
        <v>21922</v>
      </c>
      <c r="AN35" s="39">
        <f t="shared" si="2"/>
        <v>21846</v>
      </c>
      <c r="AO35" s="39">
        <f t="shared" si="1"/>
        <v>43768</v>
      </c>
      <c r="AP35" s="35">
        <v>64743</v>
      </c>
      <c r="AQ35" s="40">
        <f t="shared" si="3"/>
        <v>-32.39732480731508</v>
      </c>
      <c r="AS35" s="60"/>
      <c r="AT35" s="60"/>
    </row>
    <row r="36" spans="1:46" ht="18.75" x14ac:dyDescent="0.4">
      <c r="A36" s="27" t="s">
        <v>32</v>
      </c>
      <c r="B36" s="4"/>
      <c r="C36" s="35">
        <v>170</v>
      </c>
      <c r="D36" s="35">
        <v>177</v>
      </c>
      <c r="E36" s="35"/>
      <c r="F36" s="35">
        <v>131</v>
      </c>
      <c r="G36" s="35">
        <v>100</v>
      </c>
      <c r="H36" s="35"/>
      <c r="I36" s="35">
        <v>85</v>
      </c>
      <c r="J36" s="35">
        <v>76</v>
      </c>
      <c r="K36" s="35"/>
      <c r="L36" s="35">
        <v>85</v>
      </c>
      <c r="M36" s="35">
        <v>74</v>
      </c>
      <c r="N36" s="364"/>
      <c r="O36" s="41">
        <v>135</v>
      </c>
      <c r="P36" s="42">
        <v>126</v>
      </c>
      <c r="Q36" s="42"/>
      <c r="R36" s="42">
        <v>34</v>
      </c>
      <c r="S36" s="54">
        <v>34</v>
      </c>
      <c r="T36" s="54"/>
      <c r="U36" s="35">
        <v>60</v>
      </c>
      <c r="V36" s="35">
        <v>60</v>
      </c>
      <c r="W36" s="35"/>
      <c r="X36" s="35">
        <v>12</v>
      </c>
      <c r="Y36" s="35">
        <v>7</v>
      </c>
      <c r="Z36" s="364"/>
      <c r="AA36" s="46">
        <v>16</v>
      </c>
      <c r="AB36" s="47">
        <v>88</v>
      </c>
      <c r="AC36" s="47"/>
      <c r="AD36" s="37">
        <v>3347</v>
      </c>
      <c r="AE36" s="37">
        <v>104</v>
      </c>
      <c r="AF36" s="37"/>
      <c r="AG36" s="37">
        <v>150</v>
      </c>
      <c r="AH36" s="37">
        <v>205</v>
      </c>
      <c r="AI36" s="37"/>
      <c r="AJ36" s="37">
        <v>41</v>
      </c>
      <c r="AK36" s="38">
        <v>60</v>
      </c>
      <c r="AL36" s="38"/>
      <c r="AM36" s="39">
        <f t="shared" si="4"/>
        <v>4266</v>
      </c>
      <c r="AN36" s="39">
        <f t="shared" si="2"/>
        <v>1111</v>
      </c>
      <c r="AO36" s="39">
        <f t="shared" si="1"/>
        <v>5377</v>
      </c>
      <c r="AP36" s="35">
        <v>11873</v>
      </c>
      <c r="AQ36" s="40">
        <f t="shared" si="3"/>
        <v>-54.712372610123808</v>
      </c>
      <c r="AS36" s="60"/>
      <c r="AT36" s="60"/>
    </row>
    <row r="37" spans="1:46" ht="18.75" x14ac:dyDescent="0.4">
      <c r="A37" s="27" t="s">
        <v>33</v>
      </c>
      <c r="B37" s="4" t="str">
        <f t="shared" si="0"/>
        <v>T'L</v>
      </c>
      <c r="C37" s="35">
        <v>0</v>
      </c>
      <c r="D37" s="35">
        <v>0</v>
      </c>
      <c r="E37" s="35"/>
      <c r="F37" s="35">
        <v>0</v>
      </c>
      <c r="G37" s="35">
        <v>0</v>
      </c>
      <c r="H37" s="35"/>
      <c r="I37" s="35">
        <v>0</v>
      </c>
      <c r="J37" s="35">
        <v>0</v>
      </c>
      <c r="K37" s="35"/>
      <c r="L37" s="35">
        <v>0</v>
      </c>
      <c r="M37" s="35">
        <v>0</v>
      </c>
      <c r="N37" s="364"/>
      <c r="O37" s="43">
        <v>0</v>
      </c>
      <c r="P37" s="44">
        <v>0</v>
      </c>
      <c r="Q37" s="44"/>
      <c r="R37" s="42">
        <v>0</v>
      </c>
      <c r="S37" s="54">
        <v>0</v>
      </c>
      <c r="T37" s="54"/>
      <c r="U37" s="35">
        <v>0</v>
      </c>
      <c r="V37" s="35">
        <v>0</v>
      </c>
      <c r="W37" s="35"/>
      <c r="X37" s="35">
        <v>0</v>
      </c>
      <c r="Y37" s="35">
        <v>0</v>
      </c>
      <c r="Z37" s="364"/>
      <c r="AA37" s="46">
        <v>0</v>
      </c>
      <c r="AB37" s="47">
        <v>3237</v>
      </c>
      <c r="AC37" s="47"/>
      <c r="AD37" s="37">
        <v>0</v>
      </c>
      <c r="AE37" s="37">
        <v>0</v>
      </c>
      <c r="AF37" s="37"/>
      <c r="AG37" s="37">
        <v>0</v>
      </c>
      <c r="AH37" s="37">
        <v>0</v>
      </c>
      <c r="AI37" s="37"/>
      <c r="AJ37" s="37">
        <v>0</v>
      </c>
      <c r="AK37" s="38">
        <v>0</v>
      </c>
      <c r="AL37" s="38"/>
      <c r="AM37" s="39">
        <f t="shared" si="4"/>
        <v>0</v>
      </c>
      <c r="AN37" s="39">
        <f t="shared" si="2"/>
        <v>3237</v>
      </c>
      <c r="AO37" s="39">
        <f t="shared" si="1"/>
        <v>3237</v>
      </c>
      <c r="AP37" s="35">
        <v>0</v>
      </c>
      <c r="AQ37" s="40">
        <v>0</v>
      </c>
      <c r="AS37" s="60"/>
      <c r="AT37" s="60"/>
    </row>
    <row r="38" spans="1:46" ht="18.75" x14ac:dyDescent="0.4">
      <c r="A38" s="27" t="s">
        <v>34</v>
      </c>
      <c r="B38" s="4"/>
      <c r="C38" s="35">
        <v>223</v>
      </c>
      <c r="D38" s="35">
        <v>192</v>
      </c>
      <c r="E38" s="35"/>
      <c r="F38" s="35">
        <v>203</v>
      </c>
      <c r="G38" s="35">
        <v>111</v>
      </c>
      <c r="H38" s="35"/>
      <c r="I38" s="35">
        <v>237</v>
      </c>
      <c r="J38" s="35">
        <v>246</v>
      </c>
      <c r="K38" s="35"/>
      <c r="L38" s="35">
        <v>159</v>
      </c>
      <c r="M38" s="35">
        <v>76</v>
      </c>
      <c r="N38" s="364"/>
      <c r="O38" s="41">
        <v>105</v>
      </c>
      <c r="P38" s="42">
        <v>102</v>
      </c>
      <c r="Q38" s="42"/>
      <c r="R38" s="42">
        <v>81</v>
      </c>
      <c r="S38" s="54">
        <v>84</v>
      </c>
      <c r="T38" s="54"/>
      <c r="U38" s="35">
        <v>29</v>
      </c>
      <c r="V38" s="35">
        <v>37</v>
      </c>
      <c r="W38" s="35"/>
      <c r="X38" s="35">
        <v>78</v>
      </c>
      <c r="Y38" s="35">
        <v>58</v>
      </c>
      <c r="Z38" s="35"/>
      <c r="AA38" s="35">
        <v>71</v>
      </c>
      <c r="AB38" s="35">
        <v>48</v>
      </c>
      <c r="AC38" s="35"/>
      <c r="AD38" s="37">
        <v>103</v>
      </c>
      <c r="AE38" s="37">
        <v>92</v>
      </c>
      <c r="AF38" s="37"/>
      <c r="AG38" s="37">
        <v>172</v>
      </c>
      <c r="AH38" s="37">
        <v>161</v>
      </c>
      <c r="AI38" s="37"/>
      <c r="AJ38" s="37">
        <v>62</v>
      </c>
      <c r="AK38" s="38">
        <v>56</v>
      </c>
      <c r="AL38" s="38"/>
      <c r="AM38" s="39">
        <f t="shared" si="4"/>
        <v>1523</v>
      </c>
      <c r="AN38" s="39">
        <f t="shared" si="2"/>
        <v>1263</v>
      </c>
      <c r="AO38" s="39">
        <f t="shared" si="1"/>
        <v>2786</v>
      </c>
      <c r="AP38" s="35">
        <v>5731</v>
      </c>
      <c r="AQ38" s="40">
        <f t="shared" si="3"/>
        <v>-51.38719246204851</v>
      </c>
      <c r="AS38" s="60"/>
      <c r="AT38" s="60"/>
    </row>
    <row r="39" spans="1:46" ht="18.75" x14ac:dyDescent="0.4">
      <c r="A39" s="27" t="s">
        <v>35</v>
      </c>
      <c r="B39" s="4"/>
      <c r="C39" s="28">
        <v>208</v>
      </c>
      <c r="D39" s="28">
        <v>194</v>
      </c>
      <c r="E39" s="28"/>
      <c r="F39" s="35"/>
      <c r="G39" s="35"/>
      <c r="H39" s="35"/>
      <c r="I39" s="35">
        <v>74</v>
      </c>
      <c r="J39" s="35">
        <v>73</v>
      </c>
      <c r="K39" s="35"/>
      <c r="L39" s="35">
        <v>279</v>
      </c>
      <c r="M39" s="35">
        <v>272</v>
      </c>
      <c r="N39" s="364"/>
      <c r="O39" s="41">
        <v>84</v>
      </c>
      <c r="P39" s="42">
        <v>94</v>
      </c>
      <c r="Q39" s="42"/>
      <c r="R39" s="42">
        <v>65</v>
      </c>
      <c r="S39" s="54">
        <v>83</v>
      </c>
      <c r="T39" s="54"/>
      <c r="U39" s="35">
        <v>44</v>
      </c>
      <c r="V39" s="35">
        <v>44</v>
      </c>
      <c r="W39" s="35"/>
      <c r="X39" s="35">
        <v>39</v>
      </c>
      <c r="Y39" s="35">
        <v>43</v>
      </c>
      <c r="Z39" s="364"/>
      <c r="AA39" s="46"/>
      <c r="AB39" s="47"/>
      <c r="AC39" s="47"/>
      <c r="AD39" s="37">
        <v>4103</v>
      </c>
      <c r="AE39" s="37">
        <v>33</v>
      </c>
      <c r="AF39" s="37"/>
      <c r="AG39" s="37">
        <v>51</v>
      </c>
      <c r="AH39" s="37">
        <v>35</v>
      </c>
      <c r="AI39" s="37"/>
      <c r="AJ39" s="37">
        <v>56</v>
      </c>
      <c r="AK39" s="38">
        <v>52</v>
      </c>
      <c r="AL39" s="38"/>
      <c r="AM39" s="39">
        <f t="shared" si="4"/>
        <v>5003</v>
      </c>
      <c r="AN39" s="39">
        <f>D39+G39+J39+M39+P39+S39+V39+Y39+AB39+AE39+AH39+AK39</f>
        <v>923</v>
      </c>
      <c r="AO39" s="39">
        <f t="shared" si="1"/>
        <v>5926</v>
      </c>
      <c r="AP39" s="35">
        <v>1828</v>
      </c>
      <c r="AQ39" s="40">
        <f t="shared" si="3"/>
        <v>224.17943107221006</v>
      </c>
      <c r="AS39" s="60"/>
      <c r="AT39" s="60"/>
    </row>
    <row r="40" spans="1:46" ht="18.75" x14ac:dyDescent="0.4">
      <c r="A40" s="27" t="s">
        <v>36</v>
      </c>
      <c r="B40" s="4" t="str">
        <f t="shared" si="0"/>
        <v>T'L</v>
      </c>
      <c r="C40" s="28">
        <v>0</v>
      </c>
      <c r="D40" s="28">
        <v>0</v>
      </c>
      <c r="E40" s="28"/>
      <c r="F40" s="35"/>
      <c r="G40" s="35"/>
      <c r="H40" s="35"/>
      <c r="I40" s="35">
        <v>0</v>
      </c>
      <c r="J40" s="35">
        <v>0</v>
      </c>
      <c r="K40" s="35"/>
      <c r="L40" s="35">
        <v>0</v>
      </c>
      <c r="M40" s="35">
        <v>0</v>
      </c>
      <c r="N40" s="364"/>
      <c r="O40" s="41">
        <v>0</v>
      </c>
      <c r="P40" s="42">
        <v>0</v>
      </c>
      <c r="Q40" s="42"/>
      <c r="R40" s="42">
        <v>0</v>
      </c>
      <c r="S40" s="54">
        <v>0</v>
      </c>
      <c r="T40" s="54"/>
      <c r="U40" s="35">
        <v>0</v>
      </c>
      <c r="V40" s="35">
        <v>0</v>
      </c>
      <c r="W40" s="35"/>
      <c r="X40" s="35">
        <v>0</v>
      </c>
      <c r="Y40" s="35">
        <v>2995</v>
      </c>
      <c r="Z40" s="364"/>
      <c r="AA40" s="46"/>
      <c r="AB40" s="47"/>
      <c r="AC40" s="47"/>
      <c r="AD40" s="37">
        <v>0</v>
      </c>
      <c r="AE40" s="37">
        <v>0</v>
      </c>
      <c r="AF40" s="37"/>
      <c r="AG40" s="37">
        <v>0</v>
      </c>
      <c r="AH40" s="37">
        <v>0</v>
      </c>
      <c r="AI40" s="37"/>
      <c r="AJ40" s="37">
        <v>0</v>
      </c>
      <c r="AK40" s="38">
        <v>0</v>
      </c>
      <c r="AL40" s="38"/>
      <c r="AM40" s="39">
        <f t="shared" si="4"/>
        <v>0</v>
      </c>
      <c r="AN40" s="39">
        <f t="shared" si="2"/>
        <v>2995</v>
      </c>
      <c r="AO40" s="39">
        <f t="shared" si="1"/>
        <v>2995</v>
      </c>
      <c r="AP40" s="35">
        <v>9087</v>
      </c>
      <c r="AQ40" s="40">
        <f t="shared" si="3"/>
        <v>-67.04082755584902</v>
      </c>
      <c r="AS40" s="60"/>
      <c r="AT40" s="60"/>
    </row>
    <row r="41" spans="1:46" ht="18.75" x14ac:dyDescent="0.4">
      <c r="A41" s="55" t="s">
        <v>37</v>
      </c>
      <c r="B41" s="4"/>
      <c r="C41" s="35">
        <v>227</v>
      </c>
      <c r="D41" s="35">
        <v>194</v>
      </c>
      <c r="E41" s="35"/>
      <c r="F41" s="35">
        <v>68</v>
      </c>
      <c r="G41" s="35">
        <v>63</v>
      </c>
      <c r="H41" s="35"/>
      <c r="I41" s="35">
        <v>40</v>
      </c>
      <c r="J41" s="35">
        <v>29</v>
      </c>
      <c r="K41" s="35"/>
      <c r="L41" s="35">
        <v>15</v>
      </c>
      <c r="M41" s="35">
        <v>14</v>
      </c>
      <c r="N41" s="35"/>
      <c r="O41" s="35">
        <v>31</v>
      </c>
      <c r="P41" s="35">
        <v>31</v>
      </c>
      <c r="Q41" s="35"/>
      <c r="R41" s="35">
        <v>3</v>
      </c>
      <c r="S41" s="36">
        <v>16</v>
      </c>
      <c r="T41" s="36"/>
      <c r="U41" s="35"/>
      <c r="V41" s="35"/>
      <c r="W41" s="35"/>
      <c r="X41" s="35">
        <v>3</v>
      </c>
      <c r="Y41" s="35">
        <v>15</v>
      </c>
      <c r="Z41" s="364"/>
      <c r="AA41" s="56">
        <v>14</v>
      </c>
      <c r="AB41" s="57">
        <v>14</v>
      </c>
      <c r="AC41" s="57"/>
      <c r="AD41" s="37">
        <v>6</v>
      </c>
      <c r="AE41" s="37">
        <v>7</v>
      </c>
      <c r="AF41" s="37"/>
      <c r="AG41" s="37">
        <v>18</v>
      </c>
      <c r="AH41" s="37">
        <v>18</v>
      </c>
      <c r="AI41" s="37"/>
      <c r="AJ41" s="37">
        <v>28</v>
      </c>
      <c r="AK41" s="38">
        <v>22</v>
      </c>
      <c r="AL41" s="38"/>
      <c r="AM41" s="39">
        <f t="shared" si="4"/>
        <v>453</v>
      </c>
      <c r="AN41" s="39">
        <f t="shared" si="2"/>
        <v>423</v>
      </c>
      <c r="AO41" s="39">
        <f t="shared" si="1"/>
        <v>876</v>
      </c>
      <c r="AP41" s="35">
        <v>1757</v>
      </c>
      <c r="AQ41" s="40">
        <f t="shared" si="3"/>
        <v>-50.142287990893571</v>
      </c>
      <c r="AS41" s="60"/>
      <c r="AT41" s="60"/>
    </row>
    <row r="42" spans="1:46" s="355" customFormat="1" ht="18.75" x14ac:dyDescent="0.4">
      <c r="A42" s="351" t="s">
        <v>53</v>
      </c>
      <c r="B42" s="352" t="str">
        <f t="shared" si="0"/>
        <v>DOM</v>
      </c>
      <c r="C42" s="353">
        <f>C9+C11+C13+C15+C17+C19+C20+C22+C24+C26+C27+C29+C30+C31+C33+C35+C36+C38+C39+C41</f>
        <v>399667</v>
      </c>
      <c r="D42" s="353">
        <f t="shared" ref="D42:AP42" si="5">D9+D11+D13+D15+D17+D19+D20+D22+D24+D26+D27+D29+D30+D31+D33+D35+D36+D38+D39+D41</f>
        <v>404432</v>
      </c>
      <c r="E42" s="362">
        <f>C42+D42</f>
        <v>804099</v>
      </c>
      <c r="F42" s="353">
        <f t="shared" si="5"/>
        <v>372319</v>
      </c>
      <c r="G42" s="353">
        <f t="shared" si="5"/>
        <v>369307</v>
      </c>
      <c r="H42" s="362">
        <f>F42+G42</f>
        <v>741626</v>
      </c>
      <c r="I42" s="353">
        <f t="shared" si="5"/>
        <v>424693</v>
      </c>
      <c r="J42" s="353">
        <f t="shared" si="5"/>
        <v>430651</v>
      </c>
      <c r="K42" s="362">
        <f>I42+J42</f>
        <v>855344</v>
      </c>
      <c r="L42" s="353">
        <f t="shared" si="5"/>
        <v>419160</v>
      </c>
      <c r="M42" s="353">
        <f t="shared" si="5"/>
        <v>420398</v>
      </c>
      <c r="N42" s="362">
        <f>L42+M42</f>
        <v>839558</v>
      </c>
      <c r="O42" s="353">
        <f t="shared" si="5"/>
        <v>392123</v>
      </c>
      <c r="P42" s="353">
        <f t="shared" si="5"/>
        <v>400539</v>
      </c>
      <c r="Q42" s="362">
        <f>O42+P42</f>
        <v>792662</v>
      </c>
      <c r="R42" s="353">
        <f t="shared" si="5"/>
        <v>404611</v>
      </c>
      <c r="S42" s="353">
        <f t="shared" si="5"/>
        <v>400433</v>
      </c>
      <c r="T42" s="362">
        <f>R42+S42</f>
        <v>805044</v>
      </c>
      <c r="U42" s="353">
        <f t="shared" si="5"/>
        <v>416314</v>
      </c>
      <c r="V42" s="353">
        <f t="shared" si="5"/>
        <v>406913</v>
      </c>
      <c r="W42" s="362">
        <f>U42+V42</f>
        <v>823227</v>
      </c>
      <c r="X42" s="353">
        <f t="shared" si="5"/>
        <v>439996</v>
      </c>
      <c r="Y42" s="353">
        <f t="shared" si="5"/>
        <v>433624</v>
      </c>
      <c r="Z42" s="362">
        <f>X42+Y42</f>
        <v>873620</v>
      </c>
      <c r="AA42" s="353">
        <f t="shared" si="5"/>
        <v>431982</v>
      </c>
      <c r="AB42" s="353">
        <f t="shared" si="5"/>
        <v>421344</v>
      </c>
      <c r="AC42" s="362">
        <f>AA42+AB42</f>
        <v>853326</v>
      </c>
      <c r="AD42" s="353">
        <f t="shared" si="5"/>
        <v>445717</v>
      </c>
      <c r="AE42" s="353">
        <f t="shared" si="5"/>
        <v>435068</v>
      </c>
      <c r="AF42" s="362">
        <f>AD42+AE42</f>
        <v>880785</v>
      </c>
      <c r="AG42" s="353">
        <f t="shared" si="5"/>
        <v>452166</v>
      </c>
      <c r="AH42" s="353">
        <f t="shared" si="5"/>
        <v>447806</v>
      </c>
      <c r="AI42" s="362">
        <f>AG42+AH42</f>
        <v>899972</v>
      </c>
      <c r="AJ42" s="353">
        <f t="shared" si="5"/>
        <v>465869</v>
      </c>
      <c r="AK42" s="353">
        <f t="shared" si="5"/>
        <v>462131</v>
      </c>
      <c r="AL42" s="362">
        <f>AJ42+AK42</f>
        <v>928000</v>
      </c>
      <c r="AM42" s="353">
        <f t="shared" si="5"/>
        <v>5064367</v>
      </c>
      <c r="AN42" s="353">
        <f t="shared" si="5"/>
        <v>5032646</v>
      </c>
      <c r="AO42" s="353">
        <f t="shared" si="5"/>
        <v>10097013</v>
      </c>
      <c r="AP42" s="353">
        <f t="shared" si="5"/>
        <v>10680804</v>
      </c>
      <c r="AQ42" s="354">
        <f t="shared" si="3"/>
        <v>-5.4657963951028403</v>
      </c>
      <c r="AS42" s="356"/>
      <c r="AT42" s="356"/>
    </row>
    <row r="43" spans="1:46" s="355" customFormat="1" ht="18.75" x14ac:dyDescent="0.4">
      <c r="A43" s="357" t="s">
        <v>54</v>
      </c>
      <c r="B43" s="352" t="str">
        <f t="shared" si="0"/>
        <v>T'L</v>
      </c>
      <c r="C43" s="353">
        <f>C10+C12+C14+C16+C18+C21+C23+C25+C28+C32+C34+C37+C40</f>
        <v>191625</v>
      </c>
      <c r="D43" s="353">
        <f t="shared" ref="D43:AO43" si="6">D10+D12+D14+D16+D18+D21+D23+D25+D28+D32+D34+D37+D40</f>
        <v>192640</v>
      </c>
      <c r="E43" s="362">
        <f>C43+D43</f>
        <v>384265</v>
      </c>
      <c r="F43" s="353">
        <f t="shared" si="6"/>
        <v>120577</v>
      </c>
      <c r="G43" s="353">
        <f t="shared" si="6"/>
        <v>143028</v>
      </c>
      <c r="H43" s="362">
        <f>F43+G43</f>
        <v>263605</v>
      </c>
      <c r="I43" s="353">
        <f t="shared" si="6"/>
        <v>162550</v>
      </c>
      <c r="J43" s="353">
        <f t="shared" si="6"/>
        <v>175853</v>
      </c>
      <c r="K43" s="362">
        <f>I43+J43</f>
        <v>338403</v>
      </c>
      <c r="L43" s="353">
        <f t="shared" si="6"/>
        <v>172396</v>
      </c>
      <c r="M43" s="353">
        <f t="shared" si="6"/>
        <v>206195</v>
      </c>
      <c r="N43" s="362">
        <f>L43+M43</f>
        <v>378591</v>
      </c>
      <c r="O43" s="353">
        <f t="shared" si="6"/>
        <v>170335</v>
      </c>
      <c r="P43" s="353">
        <f t="shared" si="6"/>
        <v>169784</v>
      </c>
      <c r="Q43" s="362">
        <f>O43+P43</f>
        <v>340119</v>
      </c>
      <c r="R43" s="353">
        <f t="shared" si="6"/>
        <v>170249</v>
      </c>
      <c r="S43" s="353">
        <f t="shared" si="6"/>
        <v>164634</v>
      </c>
      <c r="T43" s="362">
        <f>R43+S43</f>
        <v>334883</v>
      </c>
      <c r="U43" s="353">
        <f t="shared" si="6"/>
        <v>188481</v>
      </c>
      <c r="V43" s="353">
        <f t="shared" si="6"/>
        <v>201038</v>
      </c>
      <c r="W43" s="362">
        <f>U43+V43</f>
        <v>389519</v>
      </c>
      <c r="X43" s="353">
        <f t="shared" si="6"/>
        <v>193683</v>
      </c>
      <c r="Y43" s="353">
        <f t="shared" si="6"/>
        <v>226262</v>
      </c>
      <c r="Z43" s="362">
        <f>X43+Y43</f>
        <v>419945</v>
      </c>
      <c r="AA43" s="353">
        <f t="shared" si="6"/>
        <v>193834</v>
      </c>
      <c r="AB43" s="353">
        <f t="shared" si="6"/>
        <v>212465</v>
      </c>
      <c r="AC43" s="362">
        <f>AA43+AB43</f>
        <v>406299</v>
      </c>
      <c r="AD43" s="353">
        <f t="shared" si="6"/>
        <v>189026</v>
      </c>
      <c r="AE43" s="353">
        <f t="shared" si="6"/>
        <v>168342</v>
      </c>
      <c r="AF43" s="362">
        <f>AD43+AE43</f>
        <v>357368</v>
      </c>
      <c r="AG43" s="353">
        <f t="shared" si="6"/>
        <v>170852</v>
      </c>
      <c r="AH43" s="353">
        <f t="shared" si="6"/>
        <v>163741</v>
      </c>
      <c r="AI43" s="362">
        <f>AG43+AH43</f>
        <v>334593</v>
      </c>
      <c r="AJ43" s="353">
        <f t="shared" si="6"/>
        <v>210120</v>
      </c>
      <c r="AK43" s="353">
        <f t="shared" si="6"/>
        <v>189567</v>
      </c>
      <c r="AL43" s="362">
        <f>AJ43+AK43</f>
        <v>399687</v>
      </c>
      <c r="AM43" s="353">
        <f t="shared" si="6"/>
        <v>2020295</v>
      </c>
      <c r="AN43" s="353">
        <f t="shared" si="6"/>
        <v>2213549</v>
      </c>
      <c r="AO43" s="353">
        <f t="shared" si="6"/>
        <v>4233844</v>
      </c>
      <c r="AP43" s="353">
        <f t="shared" ref="AP43" si="7">AP10+AP12+AP14+AP16+AP18+AP21+AP23+AP25+AP28+AP32+AP34+AP37+AP40</f>
        <v>4654941</v>
      </c>
      <c r="AQ43" s="354">
        <f t="shared" si="3"/>
        <v>-9.0462371059053162</v>
      </c>
      <c r="AS43" s="356"/>
    </row>
    <row r="44" spans="1:46" x14ac:dyDescent="0.25">
      <c r="A44" s="28" t="s">
        <v>55</v>
      </c>
      <c r="B44" s="28"/>
      <c r="C44" s="39">
        <f t="shared" ref="C44:AO44" si="8">SUM(C42:C43)</f>
        <v>591292</v>
      </c>
      <c r="D44" s="39">
        <f t="shared" si="8"/>
        <v>597072</v>
      </c>
      <c r="E44" s="39"/>
      <c r="F44" s="39">
        <f t="shared" si="8"/>
        <v>492896</v>
      </c>
      <c r="G44" s="39">
        <f t="shared" si="8"/>
        <v>512335</v>
      </c>
      <c r="H44" s="39"/>
      <c r="I44" s="39">
        <f t="shared" si="8"/>
        <v>587243</v>
      </c>
      <c r="J44" s="39">
        <f t="shared" si="8"/>
        <v>606504</v>
      </c>
      <c r="K44" s="39"/>
      <c r="L44" s="39">
        <f t="shared" si="8"/>
        <v>591556</v>
      </c>
      <c r="M44" s="39">
        <f t="shared" si="8"/>
        <v>626593</v>
      </c>
      <c r="N44" s="39"/>
      <c r="O44" s="39">
        <f t="shared" si="8"/>
        <v>562458</v>
      </c>
      <c r="P44" s="39">
        <f t="shared" si="8"/>
        <v>570323</v>
      </c>
      <c r="Q44" s="39"/>
      <c r="R44" s="39">
        <f t="shared" si="8"/>
        <v>574860</v>
      </c>
      <c r="S44" s="39">
        <f t="shared" si="8"/>
        <v>565067</v>
      </c>
      <c r="T44" s="39"/>
      <c r="U44" s="39">
        <f t="shared" si="8"/>
        <v>604795</v>
      </c>
      <c r="V44" s="58">
        <f t="shared" si="8"/>
        <v>607951</v>
      </c>
      <c r="W44" s="58"/>
      <c r="X44" s="58">
        <f t="shared" si="8"/>
        <v>633679</v>
      </c>
      <c r="Y44" s="58">
        <f t="shared" si="8"/>
        <v>659886</v>
      </c>
      <c r="Z44" s="58"/>
      <c r="AA44" s="58">
        <f t="shared" si="8"/>
        <v>625816</v>
      </c>
      <c r="AB44" s="58">
        <f t="shared" si="8"/>
        <v>633809</v>
      </c>
      <c r="AC44" s="58"/>
      <c r="AD44" s="37">
        <f t="shared" si="8"/>
        <v>634743</v>
      </c>
      <c r="AE44" s="37">
        <f t="shared" si="8"/>
        <v>603410</v>
      </c>
      <c r="AF44" s="37"/>
      <c r="AG44" s="37">
        <f t="shared" si="8"/>
        <v>623018</v>
      </c>
      <c r="AH44" s="37">
        <f t="shared" si="8"/>
        <v>611547</v>
      </c>
      <c r="AI44" s="37"/>
      <c r="AJ44" s="37">
        <f t="shared" si="8"/>
        <v>675989</v>
      </c>
      <c r="AK44" s="37">
        <f t="shared" si="8"/>
        <v>651698</v>
      </c>
      <c r="AL44" s="37"/>
      <c r="AM44" s="39">
        <f t="shared" si="8"/>
        <v>7084662</v>
      </c>
      <c r="AN44" s="39">
        <f t="shared" si="8"/>
        <v>7246195</v>
      </c>
      <c r="AO44" s="39">
        <f t="shared" si="8"/>
        <v>14330857</v>
      </c>
      <c r="AP44" s="35">
        <f>SUM(AP42:AP43)</f>
        <v>15335745</v>
      </c>
      <c r="AQ44" s="40">
        <f t="shared" si="3"/>
        <v>-6.552586783361356</v>
      </c>
      <c r="AS44" s="60"/>
    </row>
    <row r="45" spans="1:46" x14ac:dyDescent="0.25">
      <c r="AP45" s="59"/>
    </row>
    <row r="46" spans="1:46" x14ac:dyDescent="0.25"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</row>
    <row r="47" spans="1:46" x14ac:dyDescent="0.25"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</row>
  </sheetData>
  <mergeCells count="17">
    <mergeCell ref="L7:M7"/>
    <mergeCell ref="O7:P7"/>
    <mergeCell ref="R7:S7"/>
    <mergeCell ref="AM7:AO7"/>
    <mergeCell ref="A1:S1"/>
    <mergeCell ref="A2:S2"/>
    <mergeCell ref="A3:S3"/>
    <mergeCell ref="A5:S5"/>
    <mergeCell ref="U7:V7"/>
    <mergeCell ref="X7:Y7"/>
    <mergeCell ref="AA7:AB7"/>
    <mergeCell ref="AD7:AE7"/>
    <mergeCell ref="AG7:AH7"/>
    <mergeCell ref="AJ7:AK7"/>
    <mergeCell ref="C7:D7"/>
    <mergeCell ref="F7:G7"/>
    <mergeCell ref="I7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66"/>
  <sheetViews>
    <sheetView tabSelected="1" workbookViewId="0">
      <pane xSplit="1" ySplit="7" topLeftCell="B32" activePane="bottomRight" state="frozen"/>
      <selection pane="topRight" activeCell="B1" sqref="B1"/>
      <selection pane="bottomLeft" activeCell="A8" sqref="A8"/>
      <selection pane="bottomRight" activeCell="D38" sqref="D38"/>
    </sheetView>
  </sheetViews>
  <sheetFormatPr defaultRowHeight="15" x14ac:dyDescent="0.25"/>
  <cols>
    <col min="1" max="1" width="15.42578125" customWidth="1"/>
    <col min="2" max="3" width="11" customWidth="1"/>
    <col min="4" max="4" width="12.85546875" style="2" customWidth="1"/>
    <col min="5" max="6" width="11" customWidth="1"/>
    <col min="7" max="7" width="12.85546875" style="2" customWidth="1"/>
    <col min="8" max="9" width="11" customWidth="1"/>
    <col min="10" max="10" width="12.85546875" style="2" customWidth="1"/>
    <col min="11" max="12" width="11" customWidth="1"/>
    <col min="13" max="13" width="12.85546875" style="2" customWidth="1"/>
    <col min="14" max="15" width="11" customWidth="1"/>
    <col min="16" max="16" width="12.85546875" style="2" customWidth="1"/>
    <col min="17" max="18" width="11" customWidth="1"/>
    <col min="19" max="19" width="12.85546875" style="2" customWidth="1"/>
    <col min="20" max="21" width="11" customWidth="1"/>
    <col min="22" max="22" width="12.85546875" style="2" customWidth="1"/>
    <col min="23" max="24" width="11" customWidth="1"/>
    <col min="25" max="25" width="12.85546875" style="2" customWidth="1"/>
    <col min="26" max="27" width="11" customWidth="1"/>
    <col min="28" max="28" width="12.85546875" style="2" customWidth="1"/>
    <col min="29" max="30" width="11" customWidth="1"/>
    <col min="31" max="31" width="12.85546875" style="2" customWidth="1"/>
    <col min="32" max="33" width="11" customWidth="1"/>
    <col min="34" max="34" width="12.85546875" style="2" customWidth="1"/>
    <col min="35" max="36" width="11" customWidth="1"/>
    <col min="37" max="37" width="12.85546875" style="2" customWidth="1"/>
    <col min="38" max="40" width="13" customWidth="1"/>
    <col min="41" max="41" width="10.5703125" bestFit="1" customWidth="1"/>
  </cols>
  <sheetData>
    <row r="1" spans="1:42" s="2" customFormat="1" x14ac:dyDescent="0.25"/>
    <row r="2" spans="1:42" s="2" customFormat="1" ht="23.25" x14ac:dyDescent="0.35">
      <c r="B2" s="298"/>
      <c r="C2" s="299" t="s">
        <v>114</v>
      </c>
      <c r="D2" s="299"/>
      <c r="G2" s="299"/>
      <c r="J2" s="299"/>
      <c r="M2" s="299"/>
      <c r="P2" s="299"/>
      <c r="S2" s="299"/>
      <c r="V2" s="299"/>
      <c r="Y2" s="299"/>
      <c r="AB2" s="299"/>
      <c r="AE2" s="299"/>
      <c r="AH2" s="299"/>
      <c r="AK2" s="299"/>
    </row>
    <row r="3" spans="1:42" s="2" customFormat="1" ht="23.25" x14ac:dyDescent="0.35">
      <c r="B3" s="298" t="s">
        <v>115</v>
      </c>
      <c r="C3" s="298"/>
      <c r="D3" s="298"/>
      <c r="G3" s="298"/>
      <c r="J3" s="298"/>
      <c r="M3" s="298"/>
      <c r="P3" s="298"/>
      <c r="S3" s="298"/>
      <c r="V3" s="298"/>
      <c r="Y3" s="298"/>
      <c r="AB3" s="298"/>
      <c r="AE3" s="298"/>
      <c r="AH3" s="298"/>
      <c r="AK3" s="298"/>
    </row>
    <row r="5" spans="1:42" ht="15.75" thickBot="1" x14ac:dyDescent="0.3"/>
    <row r="6" spans="1:42" ht="16.5" thickBot="1" x14ac:dyDescent="0.3">
      <c r="A6" s="61"/>
      <c r="B6" s="62" t="s">
        <v>1</v>
      </c>
      <c r="C6" s="63"/>
      <c r="D6" s="366"/>
      <c r="E6" s="62" t="s">
        <v>39</v>
      </c>
      <c r="F6" s="63"/>
      <c r="G6" s="366"/>
      <c r="H6" s="62" t="s">
        <v>2</v>
      </c>
      <c r="I6" s="63"/>
      <c r="J6" s="366"/>
      <c r="K6" s="62" t="s">
        <v>40</v>
      </c>
      <c r="L6" s="63"/>
      <c r="M6" s="366"/>
      <c r="N6" s="62" t="s">
        <v>3</v>
      </c>
      <c r="O6" s="63"/>
      <c r="P6" s="366"/>
      <c r="Q6" s="62" t="s">
        <v>4</v>
      </c>
      <c r="R6" s="63"/>
      <c r="S6" s="366"/>
      <c r="T6" s="62" t="s">
        <v>5</v>
      </c>
      <c r="U6" s="63"/>
      <c r="V6" s="366"/>
      <c r="W6" s="62" t="s">
        <v>41</v>
      </c>
      <c r="X6" s="63"/>
      <c r="Y6" s="366"/>
      <c r="Z6" s="62" t="s">
        <v>42</v>
      </c>
      <c r="AA6" s="63"/>
      <c r="AB6" s="366"/>
      <c r="AC6" s="62" t="s">
        <v>43</v>
      </c>
      <c r="AD6" s="63"/>
      <c r="AE6" s="366"/>
      <c r="AF6" s="62" t="s">
        <v>44</v>
      </c>
      <c r="AG6" s="63"/>
      <c r="AH6" s="366"/>
      <c r="AI6" s="62" t="s">
        <v>45</v>
      </c>
      <c r="AJ6" s="63"/>
      <c r="AK6" s="366"/>
      <c r="AL6" s="62" t="s">
        <v>38</v>
      </c>
      <c r="AM6" s="63"/>
      <c r="AN6" s="64" t="s">
        <v>56</v>
      </c>
    </row>
    <row r="7" spans="1:42" ht="16.5" thickBot="1" x14ac:dyDescent="0.3">
      <c r="A7" s="65" t="s">
        <v>57</v>
      </c>
      <c r="B7" s="66" t="s">
        <v>49</v>
      </c>
      <c r="C7" s="67" t="s">
        <v>50</v>
      </c>
      <c r="D7" s="367"/>
      <c r="E7" s="66" t="s">
        <v>49</v>
      </c>
      <c r="F7" s="67" t="s">
        <v>50</v>
      </c>
      <c r="G7" s="367"/>
      <c r="H7" s="66" t="s">
        <v>49</v>
      </c>
      <c r="I7" s="67" t="s">
        <v>50</v>
      </c>
      <c r="J7" s="367"/>
      <c r="K7" s="66" t="s">
        <v>49</v>
      </c>
      <c r="L7" s="67" t="s">
        <v>50</v>
      </c>
      <c r="M7" s="367"/>
      <c r="N7" s="66" t="s">
        <v>49</v>
      </c>
      <c r="O7" s="67" t="s">
        <v>50</v>
      </c>
      <c r="P7" s="367"/>
      <c r="Q7" s="66" t="s">
        <v>49</v>
      </c>
      <c r="R7" s="67" t="s">
        <v>50</v>
      </c>
      <c r="S7" s="367"/>
      <c r="T7" s="66" t="s">
        <v>49</v>
      </c>
      <c r="U7" s="67" t="s">
        <v>50</v>
      </c>
      <c r="V7" s="367"/>
      <c r="W7" s="66" t="s">
        <v>49</v>
      </c>
      <c r="X7" s="67" t="s">
        <v>50</v>
      </c>
      <c r="Y7" s="367"/>
      <c r="Z7" s="66" t="s">
        <v>49</v>
      </c>
      <c r="AA7" s="67" t="s">
        <v>50</v>
      </c>
      <c r="AB7" s="367"/>
      <c r="AC7" s="66" t="s">
        <v>49</v>
      </c>
      <c r="AD7" s="67" t="s">
        <v>50</v>
      </c>
      <c r="AE7" s="367"/>
      <c r="AF7" s="66" t="s">
        <v>49</v>
      </c>
      <c r="AG7" s="67" t="s">
        <v>50</v>
      </c>
      <c r="AH7" s="367"/>
      <c r="AI7" s="66" t="s">
        <v>49</v>
      </c>
      <c r="AJ7" s="67" t="s">
        <v>50</v>
      </c>
      <c r="AK7" s="367"/>
      <c r="AL7" s="68" t="s">
        <v>49</v>
      </c>
      <c r="AM7" s="69" t="s">
        <v>50</v>
      </c>
      <c r="AN7" s="70" t="s">
        <v>38</v>
      </c>
    </row>
    <row r="8" spans="1:42" ht="16.5" thickBot="1" x14ac:dyDescent="0.3">
      <c r="A8" s="71" t="s">
        <v>58</v>
      </c>
      <c r="B8" s="72">
        <v>141436</v>
      </c>
      <c r="C8" s="73">
        <v>128270</v>
      </c>
      <c r="D8" s="73"/>
      <c r="E8" s="73">
        <v>135270</v>
      </c>
      <c r="F8" s="73">
        <v>136552</v>
      </c>
      <c r="G8" s="73"/>
      <c r="H8" s="73">
        <v>151569</v>
      </c>
      <c r="I8" s="73">
        <v>154204</v>
      </c>
      <c r="J8" s="73"/>
      <c r="K8" s="74">
        <v>153730</v>
      </c>
      <c r="L8" s="74">
        <v>153130</v>
      </c>
      <c r="M8" s="73"/>
      <c r="N8" s="74">
        <v>148155</v>
      </c>
      <c r="O8" s="74">
        <v>143453</v>
      </c>
      <c r="P8" s="73"/>
      <c r="Q8" s="74">
        <v>133491</v>
      </c>
      <c r="R8" s="74">
        <v>131792</v>
      </c>
      <c r="S8" s="73"/>
      <c r="T8" s="74">
        <v>140783</v>
      </c>
      <c r="U8" s="74">
        <v>138759</v>
      </c>
      <c r="V8" s="73"/>
      <c r="W8" s="74">
        <v>146977</v>
      </c>
      <c r="X8" s="74">
        <v>142111</v>
      </c>
      <c r="Y8" s="73"/>
      <c r="Z8" s="74">
        <v>126847</v>
      </c>
      <c r="AA8" s="74">
        <v>127225</v>
      </c>
      <c r="AB8" s="73"/>
      <c r="AC8" s="75">
        <v>135229</v>
      </c>
      <c r="AD8" s="76">
        <v>135565</v>
      </c>
      <c r="AE8" s="73"/>
      <c r="AF8" s="77">
        <v>144422</v>
      </c>
      <c r="AG8" s="76">
        <v>143081</v>
      </c>
      <c r="AH8" s="73"/>
      <c r="AI8" s="77">
        <v>118449</v>
      </c>
      <c r="AJ8" s="78">
        <v>133664</v>
      </c>
      <c r="AK8" s="73"/>
      <c r="AL8" s="79">
        <f>SUM(AI8,B8,E8,H8,K8,N8,Q8,T8,W8,Z8,AC8,AF8)</f>
        <v>1676358</v>
      </c>
      <c r="AM8" s="80">
        <f>SUM(AJ8,C8,F8,I8,L8,O8,R8,U8,X8,AA8,AD8,AG8)</f>
        <v>1667806</v>
      </c>
      <c r="AN8" s="81">
        <f>SUM(AL8:AM8)</f>
        <v>3344164</v>
      </c>
      <c r="AO8" s="60"/>
      <c r="AP8" s="60"/>
    </row>
    <row r="9" spans="1:42" ht="16.5" thickBot="1" x14ac:dyDescent="0.3">
      <c r="A9" s="82" t="s">
        <v>34</v>
      </c>
      <c r="B9" s="83">
        <v>102</v>
      </c>
      <c r="C9" s="84">
        <v>88</v>
      </c>
      <c r="D9" s="84"/>
      <c r="E9" s="84">
        <v>144</v>
      </c>
      <c r="F9" s="84">
        <v>141</v>
      </c>
      <c r="G9" s="84"/>
      <c r="H9" s="84">
        <v>103</v>
      </c>
      <c r="I9" s="84">
        <v>70</v>
      </c>
      <c r="J9" s="84"/>
      <c r="K9" s="85">
        <v>261</v>
      </c>
      <c r="L9" s="85">
        <v>156</v>
      </c>
      <c r="M9" s="84"/>
      <c r="N9" s="85">
        <v>468</v>
      </c>
      <c r="O9" s="85">
        <v>452</v>
      </c>
      <c r="P9" s="84"/>
      <c r="Q9" s="85">
        <v>458</v>
      </c>
      <c r="R9" s="85">
        <v>420</v>
      </c>
      <c r="S9" s="84"/>
      <c r="T9" s="85">
        <v>478</v>
      </c>
      <c r="U9" s="85">
        <v>415</v>
      </c>
      <c r="V9" s="84"/>
      <c r="W9" s="85">
        <v>530</v>
      </c>
      <c r="X9" s="85">
        <v>612</v>
      </c>
      <c r="Y9" s="84"/>
      <c r="Z9" s="85">
        <v>462</v>
      </c>
      <c r="AA9" s="85">
        <v>401</v>
      </c>
      <c r="AB9" s="84"/>
      <c r="AC9" s="86">
        <v>628</v>
      </c>
      <c r="AD9" s="87">
        <v>389</v>
      </c>
      <c r="AE9" s="84"/>
      <c r="AF9" s="88">
        <v>1077</v>
      </c>
      <c r="AG9" s="87">
        <v>976</v>
      </c>
      <c r="AH9" s="84"/>
      <c r="AI9" s="88">
        <v>542</v>
      </c>
      <c r="AJ9" s="89">
        <v>500</v>
      </c>
      <c r="AK9" s="84"/>
      <c r="AL9" s="79">
        <f>SUM(AI9,B9,E9,H9,K9,N9,Q9,T9,W9,Z9,AC9,AF9)</f>
        <v>5253</v>
      </c>
      <c r="AM9" s="80">
        <f>SUM(AJ9,C9,F9,I9,L9,O9,R9,U9,X9,AA9,AD9,AG9)</f>
        <v>4620</v>
      </c>
      <c r="AN9" s="81">
        <f t="shared" ref="AN9:AN38" si="0">SUM(AL9:AM9)</f>
        <v>9873</v>
      </c>
      <c r="AO9" s="60"/>
      <c r="AP9" s="60"/>
    </row>
    <row r="10" spans="1:42" ht="16.5" thickBot="1" x14ac:dyDescent="0.3">
      <c r="A10" s="82" t="s">
        <v>59</v>
      </c>
      <c r="B10" s="83">
        <v>2918</v>
      </c>
      <c r="C10" s="84">
        <v>3621</v>
      </c>
      <c r="D10" s="84"/>
      <c r="E10" s="84">
        <v>2323</v>
      </c>
      <c r="F10" s="84">
        <v>2243</v>
      </c>
      <c r="G10" s="84"/>
      <c r="H10" s="84">
        <v>4512</v>
      </c>
      <c r="I10" s="84">
        <v>4204</v>
      </c>
      <c r="J10" s="84"/>
      <c r="K10" s="85">
        <v>3741</v>
      </c>
      <c r="L10" s="85">
        <v>3673</v>
      </c>
      <c r="M10" s="84"/>
      <c r="N10" s="90">
        <v>3915</v>
      </c>
      <c r="O10" s="90">
        <v>3858</v>
      </c>
      <c r="P10" s="84"/>
      <c r="Q10" s="85">
        <v>3122</v>
      </c>
      <c r="R10" s="85">
        <v>3173</v>
      </c>
      <c r="S10" s="84"/>
      <c r="T10" s="85">
        <v>3365</v>
      </c>
      <c r="U10" s="85">
        <v>3270</v>
      </c>
      <c r="V10" s="84"/>
      <c r="W10" s="85">
        <v>3447</v>
      </c>
      <c r="X10" s="85">
        <v>3345</v>
      </c>
      <c r="Y10" s="84"/>
      <c r="Z10" s="85">
        <v>2825</v>
      </c>
      <c r="AA10" s="85">
        <v>2676</v>
      </c>
      <c r="AB10" s="84"/>
      <c r="AC10" s="88">
        <v>2868</v>
      </c>
      <c r="AD10" s="87">
        <v>3011</v>
      </c>
      <c r="AE10" s="84"/>
      <c r="AF10" s="88">
        <v>2998</v>
      </c>
      <c r="AG10" s="87">
        <v>2797</v>
      </c>
      <c r="AH10" s="84"/>
      <c r="AI10" s="88">
        <v>1956</v>
      </c>
      <c r="AJ10" s="89">
        <v>1299</v>
      </c>
      <c r="AK10" s="84"/>
      <c r="AL10" s="79">
        <f>SUM(AI10,B10,E10,H10,K10,N10,Q10,T10,W10,Z10,AC10,AF10)</f>
        <v>37990</v>
      </c>
      <c r="AM10" s="80">
        <f>SUM(AJ10,C10,F10,I10,L10,O10,R10,U10,X10,AA10,AD10,AG10)</f>
        <v>37170</v>
      </c>
      <c r="AN10" s="81">
        <f t="shared" si="0"/>
        <v>75160</v>
      </c>
      <c r="AO10" s="60"/>
      <c r="AP10" s="60"/>
    </row>
    <row r="11" spans="1:42" ht="16.5" thickBot="1" x14ac:dyDescent="0.3">
      <c r="A11" s="82" t="s">
        <v>60</v>
      </c>
      <c r="B11" s="83">
        <v>306</v>
      </c>
      <c r="C11" s="84">
        <v>297</v>
      </c>
      <c r="D11" s="84"/>
      <c r="E11" s="84">
        <v>298</v>
      </c>
      <c r="F11" s="84">
        <v>243</v>
      </c>
      <c r="G11" s="84"/>
      <c r="H11" s="84">
        <v>339</v>
      </c>
      <c r="I11" s="84">
        <v>314</v>
      </c>
      <c r="J11" s="84"/>
      <c r="K11" s="90">
        <v>621</v>
      </c>
      <c r="L11" s="90">
        <v>596</v>
      </c>
      <c r="M11" s="84"/>
      <c r="N11" s="85">
        <v>183</v>
      </c>
      <c r="O11" s="85">
        <v>239</v>
      </c>
      <c r="P11" s="84"/>
      <c r="Q11" s="90">
        <v>286</v>
      </c>
      <c r="R11" s="90">
        <v>299</v>
      </c>
      <c r="S11" s="84"/>
      <c r="T11" s="85">
        <v>225</v>
      </c>
      <c r="U11" s="85">
        <v>190</v>
      </c>
      <c r="V11" s="84"/>
      <c r="W11" s="85">
        <v>123</v>
      </c>
      <c r="X11" s="85">
        <v>99</v>
      </c>
      <c r="Y11" s="84"/>
      <c r="Z11" s="85">
        <v>53</v>
      </c>
      <c r="AA11" s="85">
        <v>105</v>
      </c>
      <c r="AB11" s="84"/>
      <c r="AC11" s="88">
        <v>123</v>
      </c>
      <c r="AD11" s="87">
        <v>195</v>
      </c>
      <c r="AE11" s="84"/>
      <c r="AF11" s="88">
        <v>192</v>
      </c>
      <c r="AG11" s="87">
        <v>170</v>
      </c>
      <c r="AH11" s="84"/>
      <c r="AI11" s="88">
        <v>432</v>
      </c>
      <c r="AJ11" s="89">
        <v>460</v>
      </c>
      <c r="AK11" s="84"/>
      <c r="AL11" s="79">
        <f>SUM(AI11,B11,E11,H11,K11,N11,Q11,T11,W11,Z11,AC11,AF11)</f>
        <v>3181</v>
      </c>
      <c r="AM11" s="80">
        <f>SUM(AJ11,C11,F11,I11,L11,O11,R11,U11,X11,AA11,AD11,AG11)</f>
        <v>3207</v>
      </c>
      <c r="AN11" s="81">
        <f t="shared" si="0"/>
        <v>6388</v>
      </c>
      <c r="AO11" s="60"/>
      <c r="AP11" s="60"/>
    </row>
    <row r="12" spans="1:42" ht="16.5" thickBot="1" x14ac:dyDescent="0.3">
      <c r="A12" s="91" t="s">
        <v>22</v>
      </c>
      <c r="B12" s="83">
        <v>5376</v>
      </c>
      <c r="C12" s="84">
        <v>5351</v>
      </c>
      <c r="D12" s="84"/>
      <c r="E12" s="84">
        <v>9173</v>
      </c>
      <c r="F12" s="84">
        <v>8721</v>
      </c>
      <c r="G12" s="84"/>
      <c r="H12" s="84">
        <v>9288</v>
      </c>
      <c r="I12" s="84">
        <v>7863</v>
      </c>
      <c r="J12" s="84"/>
      <c r="K12" s="92">
        <v>8701</v>
      </c>
      <c r="L12" s="92">
        <v>8526</v>
      </c>
      <c r="M12" s="84"/>
      <c r="N12" s="85">
        <v>6934</v>
      </c>
      <c r="O12" s="85">
        <v>7591</v>
      </c>
      <c r="P12" s="84"/>
      <c r="Q12" s="85">
        <v>7236</v>
      </c>
      <c r="R12" s="85">
        <v>7192</v>
      </c>
      <c r="S12" s="84"/>
      <c r="T12" s="85">
        <v>6049</v>
      </c>
      <c r="U12" s="85">
        <v>6104</v>
      </c>
      <c r="V12" s="84"/>
      <c r="W12" s="85">
        <v>7233</v>
      </c>
      <c r="X12" s="85">
        <v>7415</v>
      </c>
      <c r="Y12" s="84"/>
      <c r="Z12" s="85">
        <v>8209</v>
      </c>
      <c r="AA12" s="85">
        <v>7808</v>
      </c>
      <c r="AB12" s="84"/>
      <c r="AC12" s="86">
        <v>10303</v>
      </c>
      <c r="AD12" s="87">
        <v>10732</v>
      </c>
      <c r="AE12" s="84"/>
      <c r="AF12" s="88">
        <v>11932</v>
      </c>
      <c r="AG12" s="87">
        <v>11509</v>
      </c>
      <c r="AH12" s="84"/>
      <c r="AI12" s="88">
        <v>9687</v>
      </c>
      <c r="AJ12" s="89">
        <v>8757</v>
      </c>
      <c r="AK12" s="84"/>
      <c r="AL12" s="79">
        <f>SUM(AI12,B12,E12,H12,K12,N12,Q12,T12,W12,Z12,AC12,AF12)</f>
        <v>100121</v>
      </c>
      <c r="AM12" s="80">
        <f>SUM(AJ12,C12,F12,I12,L12,O12,R12,U12,X12,AA12,AD12,AG12)</f>
        <v>97569</v>
      </c>
      <c r="AN12" s="81">
        <f t="shared" si="0"/>
        <v>197690</v>
      </c>
      <c r="AO12" s="60"/>
      <c r="AP12" s="60"/>
    </row>
    <row r="13" spans="1:42" ht="16.5" thickBot="1" x14ac:dyDescent="0.3">
      <c r="A13" s="91" t="s">
        <v>61</v>
      </c>
      <c r="B13" s="83">
        <v>452</v>
      </c>
      <c r="C13" s="84">
        <v>490</v>
      </c>
      <c r="D13" s="84"/>
      <c r="E13" s="84">
        <v>446</v>
      </c>
      <c r="F13" s="84">
        <v>541</v>
      </c>
      <c r="G13" s="84"/>
      <c r="H13" s="84">
        <v>36</v>
      </c>
      <c r="I13" s="84">
        <v>85</v>
      </c>
      <c r="J13" s="84"/>
      <c r="K13" s="90">
        <v>57</v>
      </c>
      <c r="L13" s="90">
        <v>60</v>
      </c>
      <c r="M13" s="84"/>
      <c r="N13" s="90">
        <v>17</v>
      </c>
      <c r="O13" s="90">
        <v>39</v>
      </c>
      <c r="P13" s="84"/>
      <c r="Q13" s="90">
        <v>51</v>
      </c>
      <c r="R13" s="90">
        <v>58</v>
      </c>
      <c r="S13" s="84"/>
      <c r="T13" s="85">
        <v>11</v>
      </c>
      <c r="U13" s="85">
        <v>22</v>
      </c>
      <c r="V13" s="84"/>
      <c r="W13" s="85">
        <v>6</v>
      </c>
      <c r="X13" s="85">
        <v>958</v>
      </c>
      <c r="Y13" s="84"/>
      <c r="Z13" s="85">
        <v>623</v>
      </c>
      <c r="AA13" s="85">
        <v>845</v>
      </c>
      <c r="AB13" s="84"/>
      <c r="AC13" s="88">
        <v>1213</v>
      </c>
      <c r="AD13" s="87">
        <v>1562</v>
      </c>
      <c r="AE13" s="84"/>
      <c r="AF13" s="88">
        <v>1039</v>
      </c>
      <c r="AG13" s="87">
        <v>950</v>
      </c>
      <c r="AH13" s="84"/>
      <c r="AI13" s="88">
        <v>1219</v>
      </c>
      <c r="AJ13" s="89">
        <v>998</v>
      </c>
      <c r="AK13" s="84"/>
      <c r="AL13" s="79">
        <f>SUM(AI13,B13,E13,H13,K13,N13,Q13,T13,W13,Z13,AC13,AF13)</f>
        <v>5170</v>
      </c>
      <c r="AM13" s="80">
        <f>SUM(AJ13,C13,F13,I13,L13,O13,R13,U13,X13,AA13,AD13,AG13)</f>
        <v>6608</v>
      </c>
      <c r="AN13" s="81">
        <f t="shared" si="0"/>
        <v>11778</v>
      </c>
      <c r="AO13" s="60"/>
      <c r="AP13" s="60"/>
    </row>
    <row r="14" spans="1:42" ht="16.5" thickBot="1" x14ac:dyDescent="0.3">
      <c r="A14" s="82" t="s">
        <v>62</v>
      </c>
      <c r="B14" s="83">
        <v>7177</v>
      </c>
      <c r="C14" s="84">
        <v>9018</v>
      </c>
      <c r="D14" s="84"/>
      <c r="E14" s="84">
        <v>8972</v>
      </c>
      <c r="F14" s="84">
        <v>9611</v>
      </c>
      <c r="G14" s="84"/>
      <c r="H14" s="84">
        <v>11306</v>
      </c>
      <c r="I14" s="84">
        <v>10607</v>
      </c>
      <c r="J14" s="84"/>
      <c r="K14" s="85">
        <v>9574</v>
      </c>
      <c r="L14" s="85">
        <v>9202</v>
      </c>
      <c r="M14" s="84"/>
      <c r="N14" s="85">
        <v>8632</v>
      </c>
      <c r="O14" s="85">
        <v>8980</v>
      </c>
      <c r="P14" s="84"/>
      <c r="Q14" s="85">
        <v>7799</v>
      </c>
      <c r="R14" s="85">
        <v>8051</v>
      </c>
      <c r="S14" s="84"/>
      <c r="T14" s="85">
        <v>8003</v>
      </c>
      <c r="U14" s="85">
        <v>8944</v>
      </c>
      <c r="V14" s="84"/>
      <c r="W14" s="85">
        <v>8494</v>
      </c>
      <c r="X14" s="85">
        <v>8615</v>
      </c>
      <c r="Y14" s="84"/>
      <c r="Z14" s="85">
        <v>7787</v>
      </c>
      <c r="AA14" s="85">
        <v>7796</v>
      </c>
      <c r="AB14" s="84"/>
      <c r="AC14" s="86">
        <v>7280</v>
      </c>
      <c r="AD14" s="87">
        <v>7372</v>
      </c>
      <c r="AE14" s="84"/>
      <c r="AF14" s="88">
        <v>7886</v>
      </c>
      <c r="AG14" s="87">
        <v>7940</v>
      </c>
      <c r="AH14" s="84"/>
      <c r="AI14" s="88">
        <v>7362</v>
      </c>
      <c r="AJ14" s="89">
        <v>6372</v>
      </c>
      <c r="AK14" s="84"/>
      <c r="AL14" s="79">
        <f>SUM(AI14,B14,E14,H14,K14,N14,Q14,T14,W14,Z14,AC14,AF14)</f>
        <v>100272</v>
      </c>
      <c r="AM14" s="80">
        <f>SUM(AJ14,C14,F14,I14,L14,O14,R14,U14,X14,AA14,AD14,AG14)</f>
        <v>102508</v>
      </c>
      <c r="AN14" s="81">
        <f t="shared" si="0"/>
        <v>202780</v>
      </c>
      <c r="AO14" s="60"/>
      <c r="AP14" s="60"/>
    </row>
    <row r="15" spans="1:42" ht="16.5" thickBot="1" x14ac:dyDescent="0.3">
      <c r="A15" s="82" t="s">
        <v>63</v>
      </c>
      <c r="B15" s="83">
        <v>15</v>
      </c>
      <c r="C15" s="84">
        <v>14</v>
      </c>
      <c r="D15" s="84"/>
      <c r="E15" s="84">
        <v>16</v>
      </c>
      <c r="F15" s="84">
        <v>14</v>
      </c>
      <c r="G15" s="84"/>
      <c r="H15" s="84">
        <v>3</v>
      </c>
      <c r="I15" s="84">
        <v>3</v>
      </c>
      <c r="J15" s="84"/>
      <c r="K15" s="90">
        <v>54</v>
      </c>
      <c r="L15" s="90">
        <v>46</v>
      </c>
      <c r="M15" s="84"/>
      <c r="N15" s="90">
        <v>51</v>
      </c>
      <c r="O15" s="90">
        <v>52</v>
      </c>
      <c r="P15" s="84"/>
      <c r="Q15" s="90">
        <v>0</v>
      </c>
      <c r="R15" s="90">
        <v>9</v>
      </c>
      <c r="S15" s="84"/>
      <c r="T15" s="85">
        <v>44</v>
      </c>
      <c r="U15" s="85">
        <v>29</v>
      </c>
      <c r="V15" s="84"/>
      <c r="W15" s="85">
        <v>12</v>
      </c>
      <c r="X15" s="85">
        <v>192</v>
      </c>
      <c r="Y15" s="84"/>
      <c r="Z15" s="85">
        <v>0</v>
      </c>
      <c r="AA15" s="85">
        <v>0</v>
      </c>
      <c r="AB15" s="84"/>
      <c r="AC15" s="88">
        <v>18</v>
      </c>
      <c r="AD15" s="87">
        <v>465</v>
      </c>
      <c r="AE15" s="84"/>
      <c r="AF15" s="88">
        <v>45</v>
      </c>
      <c r="AG15" s="87">
        <v>51</v>
      </c>
      <c r="AH15" s="84"/>
      <c r="AI15" s="88">
        <v>32</v>
      </c>
      <c r="AJ15" s="89">
        <v>29</v>
      </c>
      <c r="AK15" s="84"/>
      <c r="AL15" s="79">
        <f>SUM(AI15,B15,E15,H15,K15,N15,Q15,T15,W15,Z15,AC15,AF15)</f>
        <v>290</v>
      </c>
      <c r="AM15" s="80">
        <f>SUM(AJ15,C15,F15,I15,L15,O15,R15,U15,X15,AA15,AD15,AG15)</f>
        <v>904</v>
      </c>
      <c r="AN15" s="81">
        <f t="shared" si="0"/>
        <v>1194</v>
      </c>
      <c r="AO15" s="60"/>
      <c r="AP15" s="60"/>
    </row>
    <row r="16" spans="1:42" ht="16.5" thickBot="1" x14ac:dyDescent="0.3">
      <c r="A16" s="82" t="s">
        <v>64</v>
      </c>
      <c r="B16" s="83">
        <v>2360</v>
      </c>
      <c r="C16" s="84">
        <v>2345</v>
      </c>
      <c r="D16" s="84"/>
      <c r="E16" s="84">
        <v>1144</v>
      </c>
      <c r="F16" s="84">
        <v>1029</v>
      </c>
      <c r="G16" s="84"/>
      <c r="H16" s="84">
        <v>2545</v>
      </c>
      <c r="I16" s="84">
        <v>2494</v>
      </c>
      <c r="J16" s="84"/>
      <c r="K16" s="85">
        <v>3656</v>
      </c>
      <c r="L16" s="85">
        <v>2641</v>
      </c>
      <c r="M16" s="84"/>
      <c r="N16" s="85">
        <v>2721</v>
      </c>
      <c r="O16" s="85">
        <v>2675</v>
      </c>
      <c r="P16" s="84"/>
      <c r="Q16" s="85">
        <v>2684</v>
      </c>
      <c r="R16" s="85">
        <v>2587</v>
      </c>
      <c r="S16" s="84"/>
      <c r="T16" s="85">
        <v>2340</v>
      </c>
      <c r="U16" s="85">
        <v>2264</v>
      </c>
      <c r="V16" s="84"/>
      <c r="W16" s="85">
        <v>1655</v>
      </c>
      <c r="X16" s="85">
        <v>1585</v>
      </c>
      <c r="Y16" s="84"/>
      <c r="Z16" s="85">
        <v>1731</v>
      </c>
      <c r="AA16" s="85">
        <v>1741</v>
      </c>
      <c r="AB16" s="84"/>
      <c r="AC16" s="88">
        <v>2134</v>
      </c>
      <c r="AD16" s="87">
        <v>2034</v>
      </c>
      <c r="AE16" s="84"/>
      <c r="AF16" s="88">
        <v>2052</v>
      </c>
      <c r="AG16" s="87">
        <v>2034</v>
      </c>
      <c r="AH16" s="84"/>
      <c r="AI16" s="88">
        <v>1736</v>
      </c>
      <c r="AJ16" s="89">
        <v>1524</v>
      </c>
      <c r="AK16" s="84"/>
      <c r="AL16" s="79">
        <f>SUM(AI16,B16,E16,H16,K16,N16,Q16,T16,W16,Z16,AC16,AF16)</f>
        <v>26758</v>
      </c>
      <c r="AM16" s="80">
        <f>SUM(AJ16,C16,F16,I16,L16,O16,R16,U16,X16,AA16,AD16,AG16)</f>
        <v>24953</v>
      </c>
      <c r="AN16" s="81">
        <f t="shared" si="0"/>
        <v>51711</v>
      </c>
      <c r="AO16" s="60"/>
      <c r="AP16" s="60"/>
    </row>
    <row r="17" spans="1:42" ht="16.5" thickBot="1" x14ac:dyDescent="0.3">
      <c r="A17" s="91" t="s">
        <v>13</v>
      </c>
      <c r="B17" s="83">
        <v>12617</v>
      </c>
      <c r="C17" s="84">
        <v>17437</v>
      </c>
      <c r="D17" s="84"/>
      <c r="E17" s="84">
        <v>14809</v>
      </c>
      <c r="F17" s="84">
        <v>15613</v>
      </c>
      <c r="G17" s="84"/>
      <c r="H17" s="84">
        <v>19166</v>
      </c>
      <c r="I17" s="84">
        <v>17333</v>
      </c>
      <c r="J17" s="84"/>
      <c r="K17" s="90">
        <v>16122</v>
      </c>
      <c r="L17" s="90">
        <v>16814</v>
      </c>
      <c r="M17" s="84"/>
      <c r="N17" s="90">
        <v>13472</v>
      </c>
      <c r="O17" s="90">
        <v>13931</v>
      </c>
      <c r="P17" s="84"/>
      <c r="Q17" s="90">
        <v>13210</v>
      </c>
      <c r="R17" s="90">
        <v>12835</v>
      </c>
      <c r="S17" s="84"/>
      <c r="T17" s="85">
        <v>13238</v>
      </c>
      <c r="U17" s="85">
        <v>12545</v>
      </c>
      <c r="V17" s="84"/>
      <c r="W17" s="85">
        <v>14653</v>
      </c>
      <c r="X17" s="85">
        <v>15490</v>
      </c>
      <c r="Y17" s="84"/>
      <c r="Z17" s="85">
        <v>12229</v>
      </c>
      <c r="AA17" s="85">
        <v>12044</v>
      </c>
      <c r="AB17" s="84"/>
      <c r="AC17" s="86">
        <v>12292</v>
      </c>
      <c r="AD17" s="87">
        <v>12418</v>
      </c>
      <c r="AE17" s="84"/>
      <c r="AF17" s="88">
        <v>14166</v>
      </c>
      <c r="AG17" s="87">
        <v>14095</v>
      </c>
      <c r="AH17" s="84"/>
      <c r="AI17" s="88">
        <v>14795</v>
      </c>
      <c r="AJ17" s="89">
        <v>9368</v>
      </c>
      <c r="AK17" s="84"/>
      <c r="AL17" s="79">
        <f>SUM(AI17,B17,E17,H17,K17,N17,Q17,T17,W17,Z17,AC17,AF17)</f>
        <v>170769</v>
      </c>
      <c r="AM17" s="80">
        <f>SUM(AJ17,C17,F17,I17,L17,O17,R17,U17,X17,AA17,AD17,AG17)</f>
        <v>169923</v>
      </c>
      <c r="AN17" s="81">
        <f t="shared" si="0"/>
        <v>340692</v>
      </c>
      <c r="AO17" s="60"/>
      <c r="AP17" s="60"/>
    </row>
    <row r="18" spans="1:42" ht="16.5" thickBot="1" x14ac:dyDescent="0.3">
      <c r="A18" s="82" t="s">
        <v>65</v>
      </c>
      <c r="B18" s="83">
        <v>4221</v>
      </c>
      <c r="C18" s="84">
        <v>4173</v>
      </c>
      <c r="D18" s="84"/>
      <c r="E18" s="84">
        <v>5694</v>
      </c>
      <c r="F18" s="84">
        <v>5354</v>
      </c>
      <c r="G18" s="84"/>
      <c r="H18" s="84">
        <v>7980</v>
      </c>
      <c r="I18" s="84">
        <v>7986</v>
      </c>
      <c r="J18" s="84"/>
      <c r="K18" s="85">
        <v>7480</v>
      </c>
      <c r="L18" s="85">
        <v>7566</v>
      </c>
      <c r="M18" s="84"/>
      <c r="N18" s="85">
        <v>9398</v>
      </c>
      <c r="O18" s="85">
        <v>9433</v>
      </c>
      <c r="P18" s="84"/>
      <c r="Q18" s="90">
        <v>10257</v>
      </c>
      <c r="R18" s="90">
        <v>10051</v>
      </c>
      <c r="S18" s="84"/>
      <c r="T18" s="85">
        <v>10550</v>
      </c>
      <c r="U18" s="85">
        <v>10360</v>
      </c>
      <c r="V18" s="84"/>
      <c r="W18" s="90">
        <v>11750</v>
      </c>
      <c r="X18" s="90">
        <v>11510</v>
      </c>
      <c r="Y18" s="84"/>
      <c r="Z18" s="85">
        <v>9003</v>
      </c>
      <c r="AA18" s="85">
        <v>9088</v>
      </c>
      <c r="AB18" s="84"/>
      <c r="AC18" s="88">
        <v>8160</v>
      </c>
      <c r="AD18" s="87">
        <v>8099</v>
      </c>
      <c r="AE18" s="84"/>
      <c r="AF18" s="88">
        <v>8671</v>
      </c>
      <c r="AG18" s="87">
        <v>8656</v>
      </c>
      <c r="AH18" s="84"/>
      <c r="AI18" s="88">
        <v>6412</v>
      </c>
      <c r="AJ18" s="89">
        <v>6347</v>
      </c>
      <c r="AK18" s="84"/>
      <c r="AL18" s="79">
        <f>SUM(AI18,B18,E18,H18,K18,N18,Q18,T18,W18,Z18,AC18,AF18)</f>
        <v>99576</v>
      </c>
      <c r="AM18" s="80">
        <f>SUM(AJ18,C18,F18,I18,L18,O18,R18,U18,X18,AA18,AD18,AG18)</f>
        <v>98623</v>
      </c>
      <c r="AN18" s="81">
        <f t="shared" si="0"/>
        <v>198199</v>
      </c>
      <c r="AO18" s="60"/>
      <c r="AP18" s="60"/>
    </row>
    <row r="19" spans="1:42" ht="16.5" thickBot="1" x14ac:dyDescent="0.3">
      <c r="A19" s="82" t="s">
        <v>66</v>
      </c>
      <c r="B19" s="83">
        <v>1937</v>
      </c>
      <c r="C19" s="84">
        <v>1958</v>
      </c>
      <c r="D19" s="84"/>
      <c r="E19" s="84">
        <v>1814</v>
      </c>
      <c r="F19" s="84">
        <v>1772</v>
      </c>
      <c r="G19" s="84"/>
      <c r="H19" s="84">
        <v>3112</v>
      </c>
      <c r="I19" s="84">
        <v>2875</v>
      </c>
      <c r="J19" s="84"/>
      <c r="K19" s="90">
        <v>3141</v>
      </c>
      <c r="L19" s="90">
        <v>2926</v>
      </c>
      <c r="M19" s="84"/>
      <c r="N19" s="90">
        <v>2000</v>
      </c>
      <c r="O19" s="90">
        <v>2251</v>
      </c>
      <c r="P19" s="84"/>
      <c r="Q19" s="90">
        <v>2035</v>
      </c>
      <c r="R19" s="90">
        <v>2244</v>
      </c>
      <c r="S19" s="84"/>
      <c r="T19" s="85">
        <v>2120</v>
      </c>
      <c r="U19" s="85">
        <v>2519</v>
      </c>
      <c r="V19" s="84"/>
      <c r="W19" s="85">
        <v>2390</v>
      </c>
      <c r="X19" s="85">
        <v>2579</v>
      </c>
      <c r="Y19" s="84"/>
      <c r="Z19" s="85">
        <v>2158</v>
      </c>
      <c r="AA19" s="85">
        <v>2214</v>
      </c>
      <c r="AB19" s="84"/>
      <c r="AC19" s="88">
        <v>2149</v>
      </c>
      <c r="AD19" s="87">
        <v>2397</v>
      </c>
      <c r="AE19" s="84"/>
      <c r="AF19" s="88">
        <v>2121</v>
      </c>
      <c r="AG19" s="87">
        <v>2334</v>
      </c>
      <c r="AH19" s="84"/>
      <c r="AI19" s="88">
        <v>1839</v>
      </c>
      <c r="AJ19" s="89">
        <v>2000</v>
      </c>
      <c r="AK19" s="84"/>
      <c r="AL19" s="79">
        <f>SUM(AI19,B19,E19,H19,K19,N19,Q19,T19,W19,Z19,AC19,AF19)</f>
        <v>26816</v>
      </c>
      <c r="AM19" s="80">
        <f>SUM(AJ19,C19,F19,I19,L19,O19,R19,U19,X19,AA19,AD19,AG19)</f>
        <v>28069</v>
      </c>
      <c r="AN19" s="81">
        <f t="shared" si="0"/>
        <v>54885</v>
      </c>
      <c r="AO19" s="60"/>
      <c r="AP19" s="60"/>
    </row>
    <row r="20" spans="1:42" ht="16.5" thickBot="1" x14ac:dyDescent="0.3">
      <c r="A20" s="82" t="s">
        <v>67</v>
      </c>
      <c r="B20" s="83">
        <v>726</v>
      </c>
      <c r="C20" s="84">
        <v>683</v>
      </c>
      <c r="D20" s="84"/>
      <c r="E20" s="84">
        <v>1006</v>
      </c>
      <c r="F20" s="84">
        <v>943</v>
      </c>
      <c r="G20" s="84"/>
      <c r="H20" s="84">
        <v>1092</v>
      </c>
      <c r="I20" s="84">
        <v>1601</v>
      </c>
      <c r="J20" s="84"/>
      <c r="K20" s="93">
        <v>1083</v>
      </c>
      <c r="L20" s="93">
        <v>1033</v>
      </c>
      <c r="M20" s="84"/>
      <c r="N20" s="93">
        <v>0</v>
      </c>
      <c r="O20" s="93">
        <v>0</v>
      </c>
      <c r="P20" s="84"/>
      <c r="Q20" s="93">
        <v>0</v>
      </c>
      <c r="R20" s="93">
        <v>0</v>
      </c>
      <c r="S20" s="84"/>
      <c r="T20" s="85">
        <v>0</v>
      </c>
      <c r="U20" s="85">
        <v>0</v>
      </c>
      <c r="V20" s="84"/>
      <c r="W20" s="85">
        <v>0</v>
      </c>
      <c r="X20" s="85">
        <v>0</v>
      </c>
      <c r="Y20" s="84"/>
      <c r="Z20" s="85">
        <v>0</v>
      </c>
      <c r="AA20" s="85">
        <v>0</v>
      </c>
      <c r="AB20" s="84"/>
      <c r="AC20" s="88">
        <v>0</v>
      </c>
      <c r="AD20" s="87">
        <v>0</v>
      </c>
      <c r="AE20" s="84"/>
      <c r="AF20" s="88">
        <v>0</v>
      </c>
      <c r="AG20" s="87">
        <v>0</v>
      </c>
      <c r="AH20" s="84"/>
      <c r="AI20" s="88">
        <v>0</v>
      </c>
      <c r="AJ20" s="89">
        <v>0</v>
      </c>
      <c r="AK20" s="84"/>
      <c r="AL20" s="79">
        <f>SUM(AI20,B20,E20,H20,K20,N20,Q20,T20,W20,Z20,AC20,AF20)</f>
        <v>3907</v>
      </c>
      <c r="AM20" s="80">
        <f>SUM(AJ20,C20,F20,I20,L20,O20,R20,U20,X20,AA20,AD20,AG20)</f>
        <v>4260</v>
      </c>
      <c r="AN20" s="81">
        <f t="shared" si="0"/>
        <v>8167</v>
      </c>
      <c r="AO20" s="60"/>
      <c r="AP20" s="60"/>
    </row>
    <row r="21" spans="1:42" ht="16.5" thickBot="1" x14ac:dyDescent="0.3">
      <c r="A21" s="91" t="s">
        <v>68</v>
      </c>
      <c r="B21" s="83">
        <v>938</v>
      </c>
      <c r="C21" s="84">
        <v>1091</v>
      </c>
      <c r="D21" s="84"/>
      <c r="E21" s="84">
        <v>1038</v>
      </c>
      <c r="F21" s="84">
        <v>1019</v>
      </c>
      <c r="G21" s="84"/>
      <c r="H21" s="84">
        <v>1156</v>
      </c>
      <c r="I21" s="84">
        <v>1204</v>
      </c>
      <c r="J21" s="84"/>
      <c r="K21" s="85">
        <v>1516</v>
      </c>
      <c r="L21" s="85">
        <v>1508</v>
      </c>
      <c r="M21" s="84"/>
      <c r="N21" s="85">
        <v>1326</v>
      </c>
      <c r="O21" s="85">
        <v>1285</v>
      </c>
      <c r="P21" s="84"/>
      <c r="Q21" s="85">
        <v>1046</v>
      </c>
      <c r="R21" s="85">
        <v>901</v>
      </c>
      <c r="S21" s="84"/>
      <c r="T21" s="85">
        <v>1200</v>
      </c>
      <c r="U21" s="85">
        <v>1038</v>
      </c>
      <c r="V21" s="84"/>
      <c r="W21" s="85">
        <v>1303</v>
      </c>
      <c r="X21" s="85">
        <v>1266</v>
      </c>
      <c r="Y21" s="84"/>
      <c r="Z21" s="85">
        <v>1064</v>
      </c>
      <c r="AA21" s="85">
        <v>850</v>
      </c>
      <c r="AB21" s="84"/>
      <c r="AC21" s="86">
        <v>1325</v>
      </c>
      <c r="AD21" s="87">
        <v>1445</v>
      </c>
      <c r="AE21" s="84"/>
      <c r="AF21" s="88">
        <v>974</v>
      </c>
      <c r="AG21" s="87">
        <v>780</v>
      </c>
      <c r="AH21" s="84"/>
      <c r="AI21" s="88">
        <v>449</v>
      </c>
      <c r="AJ21" s="89">
        <v>443</v>
      </c>
      <c r="AK21" s="84"/>
      <c r="AL21" s="79">
        <f>SUM(AI21,B21,E21,H21,K21,N21,Q21,T21,W21,Z21,AC21,AF21)</f>
        <v>13335</v>
      </c>
      <c r="AM21" s="80">
        <f>SUM(AJ21,C21,F21,I21,L21,O21,R21,U21,X21,AA21,AD21,AG21)</f>
        <v>12830</v>
      </c>
      <c r="AN21" s="81">
        <f t="shared" si="0"/>
        <v>26165</v>
      </c>
      <c r="AO21" s="60"/>
      <c r="AP21" s="60"/>
    </row>
    <row r="22" spans="1:42" ht="16.5" thickBot="1" x14ac:dyDescent="0.3">
      <c r="A22" s="82" t="s">
        <v>31</v>
      </c>
      <c r="B22" s="83">
        <v>2864</v>
      </c>
      <c r="C22" s="84">
        <v>3091</v>
      </c>
      <c r="D22" s="84"/>
      <c r="E22" s="84">
        <v>2835</v>
      </c>
      <c r="F22" s="84">
        <v>2917</v>
      </c>
      <c r="G22" s="84"/>
      <c r="H22" s="84">
        <v>3387</v>
      </c>
      <c r="I22" s="84">
        <v>3261</v>
      </c>
      <c r="J22" s="84"/>
      <c r="K22" s="85">
        <v>2659</v>
      </c>
      <c r="L22" s="85">
        <v>2760</v>
      </c>
      <c r="M22" s="84"/>
      <c r="N22" s="90">
        <v>2828</v>
      </c>
      <c r="O22" s="90">
        <v>3066</v>
      </c>
      <c r="P22" s="84"/>
      <c r="Q22" s="85">
        <v>2847</v>
      </c>
      <c r="R22" s="85">
        <v>2998</v>
      </c>
      <c r="S22" s="84"/>
      <c r="T22" s="85">
        <v>3185</v>
      </c>
      <c r="U22" s="85">
        <v>2867</v>
      </c>
      <c r="V22" s="84"/>
      <c r="W22" s="85">
        <v>3303</v>
      </c>
      <c r="X22" s="85">
        <v>3533</v>
      </c>
      <c r="Y22" s="84"/>
      <c r="Z22" s="85">
        <v>2871</v>
      </c>
      <c r="AA22" s="85">
        <v>2781</v>
      </c>
      <c r="AB22" s="84"/>
      <c r="AC22" s="88">
        <v>3064</v>
      </c>
      <c r="AD22" s="87">
        <v>2907</v>
      </c>
      <c r="AE22" s="84"/>
      <c r="AF22" s="88">
        <v>3062</v>
      </c>
      <c r="AG22" s="87">
        <v>3120</v>
      </c>
      <c r="AH22" s="84"/>
      <c r="AI22" s="88">
        <v>2452</v>
      </c>
      <c r="AJ22" s="89">
        <v>2139</v>
      </c>
      <c r="AK22" s="84"/>
      <c r="AL22" s="79">
        <f>SUM(AI22,B22,E22,H22,K22,N22,Q22,T22,W22,Z22,AC22,AF22)</f>
        <v>35357</v>
      </c>
      <c r="AM22" s="80">
        <f>SUM(AJ22,C22,F22,I22,L22,O22,R22,U22,X22,AA22,AD22,AG22)</f>
        <v>35440</v>
      </c>
      <c r="AN22" s="81">
        <f t="shared" si="0"/>
        <v>70797</v>
      </c>
      <c r="AO22" s="60"/>
      <c r="AP22" s="60"/>
    </row>
    <row r="23" spans="1:42" ht="16.5" thickBot="1" x14ac:dyDescent="0.3">
      <c r="A23" s="82" t="s">
        <v>69</v>
      </c>
      <c r="B23" s="83">
        <v>3010</v>
      </c>
      <c r="C23" s="84">
        <v>2955</v>
      </c>
      <c r="D23" s="84"/>
      <c r="E23" s="84">
        <v>3021</v>
      </c>
      <c r="F23" s="84">
        <v>3228</v>
      </c>
      <c r="G23" s="84"/>
      <c r="H23" s="84">
        <v>3748</v>
      </c>
      <c r="I23" s="84">
        <v>3563</v>
      </c>
      <c r="J23" s="84"/>
      <c r="K23" s="85">
        <v>3986</v>
      </c>
      <c r="L23" s="85">
        <v>3627</v>
      </c>
      <c r="M23" s="84"/>
      <c r="N23" s="85">
        <v>3256</v>
      </c>
      <c r="O23" s="85">
        <v>3292</v>
      </c>
      <c r="P23" s="84"/>
      <c r="Q23" s="85">
        <v>2776</v>
      </c>
      <c r="R23" s="85">
        <v>2736</v>
      </c>
      <c r="S23" s="84"/>
      <c r="T23" s="85">
        <v>3003</v>
      </c>
      <c r="U23" s="85">
        <v>3217</v>
      </c>
      <c r="V23" s="84"/>
      <c r="W23" s="85">
        <v>2806</v>
      </c>
      <c r="X23" s="85">
        <v>2904</v>
      </c>
      <c r="Y23" s="84"/>
      <c r="Z23" s="85">
        <v>3028</v>
      </c>
      <c r="AA23" s="85">
        <v>2572</v>
      </c>
      <c r="AB23" s="84"/>
      <c r="AC23" s="86">
        <v>3259</v>
      </c>
      <c r="AD23" s="87">
        <v>3105</v>
      </c>
      <c r="AE23" s="84"/>
      <c r="AF23" s="88">
        <v>3315</v>
      </c>
      <c r="AG23" s="87">
        <v>2977</v>
      </c>
      <c r="AH23" s="84"/>
      <c r="AI23" s="88">
        <v>2736</v>
      </c>
      <c r="AJ23" s="89">
        <v>2601</v>
      </c>
      <c r="AK23" s="84"/>
      <c r="AL23" s="79">
        <f>SUM(AI23,B23,E23,H23,K23,N23,Q23,T23,W23,Z23,AC23,AF23)</f>
        <v>37944</v>
      </c>
      <c r="AM23" s="80">
        <f>SUM(AJ23,C23,F23,I23,L23,O23,R23,U23,X23,AA23,AD23,AG23)</f>
        <v>36777</v>
      </c>
      <c r="AN23" s="81">
        <f t="shared" si="0"/>
        <v>74721</v>
      </c>
      <c r="AO23" s="60"/>
      <c r="AP23" s="60"/>
    </row>
    <row r="24" spans="1:42" ht="16.5" thickBot="1" x14ac:dyDescent="0.3">
      <c r="A24" s="82" t="s">
        <v>25</v>
      </c>
      <c r="B24" s="83">
        <v>2013</v>
      </c>
      <c r="C24" s="84">
        <v>1921</v>
      </c>
      <c r="D24" s="84"/>
      <c r="E24" s="84">
        <v>2171</v>
      </c>
      <c r="F24" s="84">
        <v>1945</v>
      </c>
      <c r="G24" s="84"/>
      <c r="H24" s="84">
        <v>2437</v>
      </c>
      <c r="I24" s="84">
        <v>2222</v>
      </c>
      <c r="J24" s="84"/>
      <c r="K24" s="85">
        <v>2172</v>
      </c>
      <c r="L24" s="85">
        <v>2046</v>
      </c>
      <c r="M24" s="84"/>
      <c r="N24" s="85">
        <v>3678</v>
      </c>
      <c r="O24" s="85">
        <v>3519</v>
      </c>
      <c r="P24" s="84"/>
      <c r="Q24" s="85">
        <v>2451</v>
      </c>
      <c r="R24" s="85">
        <v>2351</v>
      </c>
      <c r="S24" s="84"/>
      <c r="T24" s="85">
        <v>2570</v>
      </c>
      <c r="U24" s="85">
        <v>2472</v>
      </c>
      <c r="V24" s="84"/>
      <c r="W24" s="85">
        <v>3059</v>
      </c>
      <c r="X24" s="85">
        <v>3031</v>
      </c>
      <c r="Y24" s="84"/>
      <c r="Z24" s="85">
        <v>2881</v>
      </c>
      <c r="AA24" s="85">
        <v>2841</v>
      </c>
      <c r="AB24" s="84"/>
      <c r="AC24" s="88">
        <v>2083</v>
      </c>
      <c r="AD24" s="87">
        <v>2720</v>
      </c>
      <c r="AE24" s="84"/>
      <c r="AF24" s="88">
        <v>2695</v>
      </c>
      <c r="AG24" s="87">
        <v>2359</v>
      </c>
      <c r="AH24" s="84"/>
      <c r="AI24" s="88">
        <v>1806</v>
      </c>
      <c r="AJ24" s="89">
        <v>1547</v>
      </c>
      <c r="AK24" s="84"/>
      <c r="AL24" s="79">
        <f>SUM(AI24,B24,E24,H24,K24,N24,Q24,T24,W24,Z24,AC24,AF24)</f>
        <v>30016</v>
      </c>
      <c r="AM24" s="80">
        <f>SUM(AJ24,C24,F24,I24,L24,O24,R24,U24,X24,AA24,AD24,AG24)</f>
        <v>28974</v>
      </c>
      <c r="AN24" s="81">
        <f t="shared" si="0"/>
        <v>58990</v>
      </c>
      <c r="AO24" s="60"/>
      <c r="AP24" s="60"/>
    </row>
    <row r="25" spans="1:42" ht="16.5" thickBot="1" x14ac:dyDescent="0.3">
      <c r="A25" s="94" t="s">
        <v>70</v>
      </c>
      <c r="B25" s="83">
        <v>3292</v>
      </c>
      <c r="C25" s="84">
        <v>3388</v>
      </c>
      <c r="D25" s="84"/>
      <c r="E25" s="84">
        <v>3008</v>
      </c>
      <c r="F25" s="84">
        <v>2700</v>
      </c>
      <c r="G25" s="84"/>
      <c r="H25" s="84">
        <v>5020</v>
      </c>
      <c r="I25" s="84">
        <v>4900</v>
      </c>
      <c r="J25" s="84"/>
      <c r="K25" s="85">
        <v>5607</v>
      </c>
      <c r="L25" s="85">
        <v>5256</v>
      </c>
      <c r="M25" s="84"/>
      <c r="N25" s="85">
        <v>6931</v>
      </c>
      <c r="O25" s="85">
        <v>6642</v>
      </c>
      <c r="P25" s="84"/>
      <c r="Q25" s="85">
        <v>5302</v>
      </c>
      <c r="R25" s="85">
        <v>4764</v>
      </c>
      <c r="S25" s="84"/>
      <c r="T25" s="85">
        <v>6739</v>
      </c>
      <c r="U25" s="85">
        <v>6059</v>
      </c>
      <c r="V25" s="84"/>
      <c r="W25" s="85">
        <v>6369</v>
      </c>
      <c r="X25" s="85">
        <v>6273</v>
      </c>
      <c r="Y25" s="84"/>
      <c r="Z25" s="85">
        <v>6048</v>
      </c>
      <c r="AA25" s="85">
        <v>5491</v>
      </c>
      <c r="AB25" s="84"/>
      <c r="AC25" s="88">
        <v>5364</v>
      </c>
      <c r="AD25" s="87">
        <v>5512</v>
      </c>
      <c r="AE25" s="84"/>
      <c r="AF25" s="88">
        <v>6829</v>
      </c>
      <c r="AG25" s="87">
        <v>5480</v>
      </c>
      <c r="AH25" s="84"/>
      <c r="AI25" s="88">
        <v>5296</v>
      </c>
      <c r="AJ25" s="89">
        <v>4963</v>
      </c>
      <c r="AK25" s="84"/>
      <c r="AL25" s="79">
        <f>SUM(AI25,B25,E25,H25,K25,N25,Q25,T25,W25,Z25,AC25,AF25)</f>
        <v>65805</v>
      </c>
      <c r="AM25" s="80">
        <f>SUM(AJ25,C25,F25,I25,L25,O25,R25,U25,X25,AA25,AD25,AG25)</f>
        <v>61428</v>
      </c>
      <c r="AN25" s="81">
        <f t="shared" si="0"/>
        <v>127233</v>
      </c>
      <c r="AO25" s="60"/>
      <c r="AP25" s="60"/>
    </row>
    <row r="26" spans="1:42" ht="16.5" thickBot="1" x14ac:dyDescent="0.3">
      <c r="A26" s="82" t="s">
        <v>71</v>
      </c>
      <c r="B26" s="83">
        <v>9622</v>
      </c>
      <c r="C26" s="84">
        <v>10494</v>
      </c>
      <c r="D26" s="84"/>
      <c r="E26" s="84">
        <v>9708</v>
      </c>
      <c r="F26" s="84">
        <v>9622</v>
      </c>
      <c r="G26" s="84"/>
      <c r="H26" s="84">
        <v>12074</v>
      </c>
      <c r="I26" s="84">
        <v>11968</v>
      </c>
      <c r="J26" s="84"/>
      <c r="K26" s="85">
        <v>13238</v>
      </c>
      <c r="L26" s="85">
        <v>12741</v>
      </c>
      <c r="M26" s="84"/>
      <c r="N26" s="85">
        <v>12038</v>
      </c>
      <c r="O26" s="85">
        <v>11798</v>
      </c>
      <c r="P26" s="84"/>
      <c r="Q26" s="85">
        <v>9825</v>
      </c>
      <c r="R26" s="85">
        <v>8547</v>
      </c>
      <c r="S26" s="84"/>
      <c r="T26" s="85">
        <v>11006</v>
      </c>
      <c r="U26" s="85">
        <v>11548</v>
      </c>
      <c r="V26" s="84"/>
      <c r="W26" s="85">
        <v>10830</v>
      </c>
      <c r="X26" s="85">
        <v>11149</v>
      </c>
      <c r="Y26" s="84"/>
      <c r="Z26" s="85">
        <v>9729</v>
      </c>
      <c r="AA26" s="85">
        <v>9522</v>
      </c>
      <c r="AB26" s="84"/>
      <c r="AC26" s="86">
        <v>10695</v>
      </c>
      <c r="AD26" s="87">
        <v>10926</v>
      </c>
      <c r="AE26" s="84"/>
      <c r="AF26" s="88">
        <v>9816</v>
      </c>
      <c r="AG26" s="87">
        <v>9131</v>
      </c>
      <c r="AH26" s="84"/>
      <c r="AI26" s="88">
        <v>10340</v>
      </c>
      <c r="AJ26" s="89">
        <v>9201</v>
      </c>
      <c r="AK26" s="84"/>
      <c r="AL26" s="79">
        <f>SUM(AI26,B26,E26,H26,K26,N26,Q26,T26,W26,Z26,AC26,AF26)</f>
        <v>128921</v>
      </c>
      <c r="AM26" s="80">
        <f>SUM(AJ26,C26,F26,I26,L26,O26,R26,U26,X26,AA26,AD26,AG26)</f>
        <v>126647</v>
      </c>
      <c r="AN26" s="81">
        <f t="shared" si="0"/>
        <v>255568</v>
      </c>
      <c r="AO26" s="60"/>
      <c r="AP26" s="60"/>
    </row>
    <row r="27" spans="1:42" ht="16.5" thickBot="1" x14ac:dyDescent="0.3">
      <c r="A27" s="82" t="s">
        <v>72</v>
      </c>
      <c r="B27" s="83">
        <v>55</v>
      </c>
      <c r="C27" s="84">
        <v>49</v>
      </c>
      <c r="D27" s="84"/>
      <c r="E27" s="84">
        <v>72</v>
      </c>
      <c r="F27" s="84">
        <v>73</v>
      </c>
      <c r="G27" s="84"/>
      <c r="H27" s="84">
        <v>184</v>
      </c>
      <c r="I27" s="84">
        <v>191</v>
      </c>
      <c r="J27" s="84"/>
      <c r="K27" s="85">
        <v>38</v>
      </c>
      <c r="L27" s="85">
        <v>63</v>
      </c>
      <c r="M27" s="84"/>
      <c r="N27" s="85">
        <v>184</v>
      </c>
      <c r="O27" s="85">
        <v>246</v>
      </c>
      <c r="P27" s="84"/>
      <c r="Q27" s="85">
        <v>102</v>
      </c>
      <c r="R27" s="85">
        <v>74</v>
      </c>
      <c r="S27" s="84"/>
      <c r="T27" s="85">
        <v>59</v>
      </c>
      <c r="U27" s="85">
        <v>142</v>
      </c>
      <c r="V27" s="84"/>
      <c r="W27" s="85">
        <v>152</v>
      </c>
      <c r="X27" s="85">
        <v>351</v>
      </c>
      <c r="Y27" s="84"/>
      <c r="Z27" s="85">
        <v>155</v>
      </c>
      <c r="AA27" s="85">
        <v>118</v>
      </c>
      <c r="AB27" s="84"/>
      <c r="AC27" s="86">
        <v>305</v>
      </c>
      <c r="AD27" s="87">
        <v>465</v>
      </c>
      <c r="AE27" s="84"/>
      <c r="AF27" s="88">
        <v>30</v>
      </c>
      <c r="AG27" s="87">
        <v>39</v>
      </c>
      <c r="AH27" s="84"/>
      <c r="AI27" s="88">
        <v>233</v>
      </c>
      <c r="AJ27" s="89">
        <v>196</v>
      </c>
      <c r="AK27" s="84"/>
      <c r="AL27" s="79">
        <f>SUM(AI27,B27,E27,H27,K27,N27,Q27,T27,W27,Z27,AC27,AF27)</f>
        <v>1569</v>
      </c>
      <c r="AM27" s="80">
        <f>SUM(AJ27,C27,F27,I27,L27,O27,R27,U27,X27,AA27,AD27,AG27)</f>
        <v>2007</v>
      </c>
      <c r="AN27" s="81">
        <f t="shared" si="0"/>
        <v>3576</v>
      </c>
      <c r="AO27" s="60"/>
      <c r="AP27" s="60"/>
    </row>
    <row r="28" spans="1:42" ht="16.5" thickBot="1" x14ac:dyDescent="0.3">
      <c r="A28" s="82" t="s">
        <v>73</v>
      </c>
      <c r="B28" s="83">
        <v>164476</v>
      </c>
      <c r="C28" s="84">
        <v>155489</v>
      </c>
      <c r="D28" s="84"/>
      <c r="E28" s="84">
        <v>144852</v>
      </c>
      <c r="F28" s="84">
        <v>157214</v>
      </c>
      <c r="G28" s="84"/>
      <c r="H28" s="84">
        <v>170278</v>
      </c>
      <c r="I28" s="84">
        <v>171050</v>
      </c>
      <c r="J28" s="84"/>
      <c r="K28" s="85">
        <v>175417</v>
      </c>
      <c r="L28" s="85">
        <v>176057</v>
      </c>
      <c r="M28" s="84"/>
      <c r="N28" s="85">
        <v>165793</v>
      </c>
      <c r="O28" s="85">
        <v>166367</v>
      </c>
      <c r="P28" s="84"/>
      <c r="Q28" s="95">
        <v>147714</v>
      </c>
      <c r="R28" s="95">
        <v>152505</v>
      </c>
      <c r="S28" s="84"/>
      <c r="T28" s="85">
        <v>153520</v>
      </c>
      <c r="U28" s="85">
        <v>147746</v>
      </c>
      <c r="V28" s="84"/>
      <c r="W28" s="85">
        <v>161329</v>
      </c>
      <c r="X28" s="85">
        <v>161710</v>
      </c>
      <c r="Y28" s="84"/>
      <c r="Z28" s="85">
        <v>133566</v>
      </c>
      <c r="AA28" s="95">
        <v>133899</v>
      </c>
      <c r="AB28" s="84"/>
      <c r="AC28" s="86">
        <v>146978</v>
      </c>
      <c r="AD28" s="87">
        <v>144463</v>
      </c>
      <c r="AE28" s="84"/>
      <c r="AF28" s="88">
        <v>158006</v>
      </c>
      <c r="AG28" s="87">
        <v>157602</v>
      </c>
      <c r="AH28" s="84"/>
      <c r="AI28" s="88">
        <v>144898</v>
      </c>
      <c r="AJ28" s="89">
        <v>157904</v>
      </c>
      <c r="AK28" s="84"/>
      <c r="AL28" s="79">
        <f>SUM(AI28,B28,E28,H28,K28,N28,Q28,T28,W28,Z28,AC28,AF28)</f>
        <v>1866827</v>
      </c>
      <c r="AM28" s="80">
        <f>SUM(AJ28,C28,F28,I28,L28,O28,R28,U28,X28,AA28,AD28,AG28)</f>
        <v>1882006</v>
      </c>
      <c r="AN28" s="81">
        <f t="shared" si="0"/>
        <v>3748833</v>
      </c>
      <c r="AO28" s="60"/>
      <c r="AP28" s="60"/>
    </row>
    <row r="29" spans="1:42" ht="16.5" thickBot="1" x14ac:dyDescent="0.3">
      <c r="A29" s="82" t="s">
        <v>74</v>
      </c>
      <c r="B29" s="83">
        <v>4013</v>
      </c>
      <c r="C29" s="84">
        <v>4276</v>
      </c>
      <c r="D29" s="84"/>
      <c r="E29" s="84">
        <v>4212</v>
      </c>
      <c r="F29" s="84">
        <v>3936</v>
      </c>
      <c r="G29" s="84"/>
      <c r="H29" s="84">
        <v>4054</v>
      </c>
      <c r="I29" s="84">
        <v>3871</v>
      </c>
      <c r="J29" s="84"/>
      <c r="K29" s="85">
        <v>4649</v>
      </c>
      <c r="L29" s="85">
        <v>4700</v>
      </c>
      <c r="M29" s="84"/>
      <c r="N29" s="85">
        <v>4543</v>
      </c>
      <c r="O29" s="85">
        <v>4729</v>
      </c>
      <c r="P29" s="84"/>
      <c r="Q29" s="85">
        <v>4225</v>
      </c>
      <c r="R29" s="85">
        <v>4326</v>
      </c>
      <c r="S29" s="84"/>
      <c r="T29" s="85">
        <v>5134</v>
      </c>
      <c r="U29" s="85">
        <v>4380</v>
      </c>
      <c r="V29" s="84"/>
      <c r="W29" s="85">
        <v>5296</v>
      </c>
      <c r="X29" s="85">
        <v>5092</v>
      </c>
      <c r="Y29" s="84"/>
      <c r="Z29" s="85">
        <v>4507</v>
      </c>
      <c r="AA29" s="85">
        <v>4467</v>
      </c>
      <c r="AB29" s="84"/>
      <c r="AC29" s="86">
        <v>4642</v>
      </c>
      <c r="AD29" s="87">
        <v>4664</v>
      </c>
      <c r="AE29" s="84"/>
      <c r="AF29" s="88">
        <v>4867</v>
      </c>
      <c r="AG29" s="87">
        <v>4614</v>
      </c>
      <c r="AH29" s="84"/>
      <c r="AI29" s="88">
        <v>5769</v>
      </c>
      <c r="AJ29" s="89">
        <v>5647</v>
      </c>
      <c r="AK29" s="84"/>
      <c r="AL29" s="79">
        <f>SUM(AI29,B29,E29,H29,K29,N29,Q29,T29,W29,Z29,AC29,AF29)</f>
        <v>55911</v>
      </c>
      <c r="AM29" s="80">
        <f>SUM(AJ29,C29,F29,I29,L29,O29,R29,U29,X29,AA29,AD29,AG29)</f>
        <v>54702</v>
      </c>
      <c r="AN29" s="81">
        <f t="shared" si="0"/>
        <v>110613</v>
      </c>
      <c r="AO29" s="60"/>
      <c r="AP29" s="60"/>
    </row>
    <row r="30" spans="1:42" ht="16.5" thickBot="1" x14ac:dyDescent="0.3">
      <c r="A30" s="82" t="s">
        <v>32</v>
      </c>
      <c r="B30" s="83">
        <v>0</v>
      </c>
      <c r="C30" s="84">
        <v>0</v>
      </c>
      <c r="D30" s="84"/>
      <c r="E30" s="84">
        <v>0</v>
      </c>
      <c r="F30" s="84">
        <v>0</v>
      </c>
      <c r="G30" s="84"/>
      <c r="H30" s="84">
        <v>0</v>
      </c>
      <c r="I30" s="84">
        <v>0</v>
      </c>
      <c r="J30" s="84"/>
      <c r="K30" s="85">
        <v>154</v>
      </c>
      <c r="L30" s="85">
        <v>152</v>
      </c>
      <c r="M30" s="84"/>
      <c r="N30" s="85">
        <v>74</v>
      </c>
      <c r="O30" s="85">
        <v>71</v>
      </c>
      <c r="P30" s="84"/>
      <c r="Q30" s="85">
        <v>124</v>
      </c>
      <c r="R30" s="85">
        <v>104</v>
      </c>
      <c r="S30" s="84"/>
      <c r="T30" s="85">
        <v>129</v>
      </c>
      <c r="U30" s="85">
        <v>120</v>
      </c>
      <c r="V30" s="84"/>
      <c r="W30" s="85">
        <v>89</v>
      </c>
      <c r="X30" s="85">
        <v>97</v>
      </c>
      <c r="Y30" s="84"/>
      <c r="Z30" s="85">
        <v>102</v>
      </c>
      <c r="AA30" s="85">
        <v>148</v>
      </c>
      <c r="AB30" s="84"/>
      <c r="AC30" s="96">
        <v>49</v>
      </c>
      <c r="AD30" s="87">
        <v>154</v>
      </c>
      <c r="AE30" s="84"/>
      <c r="AF30" s="88">
        <v>236</v>
      </c>
      <c r="AG30" s="87">
        <v>313</v>
      </c>
      <c r="AH30" s="84"/>
      <c r="AI30" s="88">
        <v>198</v>
      </c>
      <c r="AJ30" s="89">
        <v>215</v>
      </c>
      <c r="AK30" s="84"/>
      <c r="AL30" s="79">
        <f>SUM(AI30,B30,E30,H30,K30,N30,Q30,T30,W30,Z30,AC30,AF30)</f>
        <v>1155</v>
      </c>
      <c r="AM30" s="80">
        <f>SUM(AJ30,C30,F30,I30,L30,O30,R30,U30,X30,AA30,AD30,AG30)</f>
        <v>1374</v>
      </c>
      <c r="AN30" s="81">
        <f t="shared" si="0"/>
        <v>2529</v>
      </c>
      <c r="AO30" s="60"/>
      <c r="AP30" s="60"/>
    </row>
    <row r="31" spans="1:42" ht="16.5" thickBot="1" x14ac:dyDescent="0.3">
      <c r="A31" s="94" t="s">
        <v>15</v>
      </c>
      <c r="B31" s="83">
        <v>6347</v>
      </c>
      <c r="C31" s="84">
        <v>6886</v>
      </c>
      <c r="D31" s="84"/>
      <c r="E31" s="84">
        <v>7488</v>
      </c>
      <c r="F31" s="84">
        <v>7820</v>
      </c>
      <c r="G31" s="84"/>
      <c r="H31" s="84">
        <v>8681</v>
      </c>
      <c r="I31" s="84">
        <v>8995</v>
      </c>
      <c r="J31" s="84"/>
      <c r="K31" s="92">
        <v>8119</v>
      </c>
      <c r="L31" s="92">
        <v>8505</v>
      </c>
      <c r="M31" s="84"/>
      <c r="N31" s="92">
        <v>9311</v>
      </c>
      <c r="O31" s="92">
        <v>9605</v>
      </c>
      <c r="P31" s="84"/>
      <c r="Q31" s="92">
        <v>9822</v>
      </c>
      <c r="R31" s="92">
        <v>10048</v>
      </c>
      <c r="S31" s="84"/>
      <c r="T31" s="85">
        <v>9100</v>
      </c>
      <c r="U31" s="85">
        <v>9560</v>
      </c>
      <c r="V31" s="84"/>
      <c r="W31" s="85">
        <v>11156</v>
      </c>
      <c r="X31" s="85">
        <v>11806</v>
      </c>
      <c r="Y31" s="84"/>
      <c r="Z31" s="85">
        <v>8965</v>
      </c>
      <c r="AA31" s="85">
        <v>9202</v>
      </c>
      <c r="AB31" s="84"/>
      <c r="AC31" s="88">
        <v>7644</v>
      </c>
      <c r="AD31" s="87">
        <v>7956</v>
      </c>
      <c r="AE31" s="84"/>
      <c r="AF31" s="88">
        <v>7561</v>
      </c>
      <c r="AG31" s="87">
        <v>7776</v>
      </c>
      <c r="AH31" s="84"/>
      <c r="AI31" s="88">
        <v>5487</v>
      </c>
      <c r="AJ31" s="89">
        <v>5293</v>
      </c>
      <c r="AK31" s="84"/>
      <c r="AL31" s="79">
        <f>SUM(AI31,B31,E31,H31,K31,N31,Q31,T31,W31,Z31,AC31,AF31)</f>
        <v>99681</v>
      </c>
      <c r="AM31" s="80">
        <f>SUM(AJ31,C31,F31,I31,L31,O31,R31,U31,X31,AA31,AD31,AG31)</f>
        <v>103452</v>
      </c>
      <c r="AN31" s="81">
        <f t="shared" si="0"/>
        <v>203133</v>
      </c>
      <c r="AO31" s="60"/>
      <c r="AP31" s="60"/>
    </row>
    <row r="32" spans="1:42" ht="16.5" thickBot="1" x14ac:dyDescent="0.3">
      <c r="A32" s="97" t="s">
        <v>26</v>
      </c>
      <c r="B32" s="83">
        <v>14437</v>
      </c>
      <c r="C32" s="84">
        <v>21911</v>
      </c>
      <c r="D32" s="84"/>
      <c r="E32" s="84">
        <v>13709</v>
      </c>
      <c r="F32" s="84">
        <v>14263</v>
      </c>
      <c r="G32" s="84"/>
      <c r="H32" s="84">
        <v>7947</v>
      </c>
      <c r="I32" s="84">
        <v>7922</v>
      </c>
      <c r="J32" s="84"/>
      <c r="K32" s="85">
        <v>16948</v>
      </c>
      <c r="L32" s="85">
        <v>17929</v>
      </c>
      <c r="M32" s="84"/>
      <c r="N32" s="85">
        <v>14386</v>
      </c>
      <c r="O32" s="85">
        <v>15440</v>
      </c>
      <c r="P32" s="84"/>
      <c r="Q32" s="85">
        <v>14012</v>
      </c>
      <c r="R32" s="85">
        <v>13523</v>
      </c>
      <c r="S32" s="84"/>
      <c r="T32" s="85">
        <v>14663</v>
      </c>
      <c r="U32" s="85">
        <v>14523</v>
      </c>
      <c r="V32" s="84"/>
      <c r="W32" s="85">
        <v>16645</v>
      </c>
      <c r="X32" s="85">
        <v>17758</v>
      </c>
      <c r="Y32" s="84"/>
      <c r="Z32" s="85">
        <v>15137</v>
      </c>
      <c r="AA32" s="85">
        <v>14401</v>
      </c>
      <c r="AB32" s="84"/>
      <c r="AC32" s="88">
        <v>15336</v>
      </c>
      <c r="AD32" s="87">
        <v>15735</v>
      </c>
      <c r="AE32" s="84"/>
      <c r="AF32" s="88">
        <v>16774</v>
      </c>
      <c r="AG32" s="87">
        <v>16285</v>
      </c>
      <c r="AH32" s="84"/>
      <c r="AI32" s="88">
        <v>24941</v>
      </c>
      <c r="AJ32" s="89">
        <v>15177</v>
      </c>
      <c r="AK32" s="84"/>
      <c r="AL32" s="79">
        <f>SUM(AI32,B32,E32,H32,K32,N32,Q32,T32,W32,Z32,AC32,AF32)</f>
        <v>184935</v>
      </c>
      <c r="AM32" s="80">
        <f>SUM(AJ32,C32,F32,I32,L32,O32,R32,U32,X32,AA32,AD32,AG32)</f>
        <v>184867</v>
      </c>
      <c r="AN32" s="81">
        <f t="shared" si="0"/>
        <v>369802</v>
      </c>
      <c r="AO32" s="60"/>
      <c r="AP32" s="60"/>
    </row>
    <row r="33" spans="1:42" ht="16.5" thickBot="1" x14ac:dyDescent="0.3">
      <c r="A33" s="94" t="s">
        <v>75</v>
      </c>
      <c r="B33" s="83">
        <v>44313</v>
      </c>
      <c r="C33" s="84">
        <v>46874</v>
      </c>
      <c r="D33" s="84"/>
      <c r="E33" s="84">
        <v>44593</v>
      </c>
      <c r="F33" s="84">
        <v>42234</v>
      </c>
      <c r="G33" s="84"/>
      <c r="H33" s="98">
        <v>47594</v>
      </c>
      <c r="I33" s="84">
        <v>47632</v>
      </c>
      <c r="J33" s="84"/>
      <c r="K33" s="85">
        <v>44961</v>
      </c>
      <c r="L33" s="85">
        <v>44993</v>
      </c>
      <c r="M33" s="84"/>
      <c r="N33" s="85">
        <v>44181</v>
      </c>
      <c r="O33" s="85">
        <v>43474</v>
      </c>
      <c r="P33" s="84"/>
      <c r="Q33" s="85">
        <v>41310</v>
      </c>
      <c r="R33" s="85">
        <v>39338</v>
      </c>
      <c r="S33" s="84"/>
      <c r="T33" s="85">
        <v>39167</v>
      </c>
      <c r="U33" s="85">
        <v>40520</v>
      </c>
      <c r="V33" s="84"/>
      <c r="W33" s="85">
        <v>42947</v>
      </c>
      <c r="X33" s="85">
        <v>43151</v>
      </c>
      <c r="Y33" s="84"/>
      <c r="Z33" s="85">
        <v>34619</v>
      </c>
      <c r="AA33" s="85">
        <v>32761</v>
      </c>
      <c r="AB33" s="84"/>
      <c r="AC33" s="86">
        <v>34682</v>
      </c>
      <c r="AD33" s="87">
        <v>34263</v>
      </c>
      <c r="AE33" s="84"/>
      <c r="AF33" s="88">
        <v>37455</v>
      </c>
      <c r="AG33" s="87">
        <v>36758</v>
      </c>
      <c r="AH33" s="84"/>
      <c r="AI33" s="88">
        <v>34796</v>
      </c>
      <c r="AJ33" s="89">
        <v>31412</v>
      </c>
      <c r="AK33" s="84"/>
      <c r="AL33" s="79">
        <f>SUM(AI33,B33,E33,H33,K33,N33,Q33,T33,W33,Z33,AC33,AF33)</f>
        <v>490618</v>
      </c>
      <c r="AM33" s="80">
        <f>SUM(AJ33,C33,F33,I33,L33,O33,R33,U33,X33,AA33,AD33,AG33)</f>
        <v>483410</v>
      </c>
      <c r="AN33" s="81">
        <f t="shared" si="0"/>
        <v>974028</v>
      </c>
      <c r="AO33" s="60"/>
      <c r="AP33" s="60"/>
    </row>
    <row r="34" spans="1:42" ht="16.5" thickBot="1" x14ac:dyDescent="0.3">
      <c r="A34" s="94" t="s">
        <v>76</v>
      </c>
      <c r="B34" s="83">
        <v>3273</v>
      </c>
      <c r="C34" s="84">
        <v>3318</v>
      </c>
      <c r="D34" s="84"/>
      <c r="E34" s="84">
        <v>3599</v>
      </c>
      <c r="F34" s="84">
        <v>3539</v>
      </c>
      <c r="G34" s="84"/>
      <c r="H34" s="84">
        <v>3736</v>
      </c>
      <c r="I34" s="84">
        <v>3651</v>
      </c>
      <c r="J34" s="84"/>
      <c r="K34" s="85">
        <v>4399</v>
      </c>
      <c r="L34" s="85">
        <v>4687</v>
      </c>
      <c r="M34" s="84"/>
      <c r="N34" s="85">
        <v>4481</v>
      </c>
      <c r="O34" s="85">
        <v>4430</v>
      </c>
      <c r="P34" s="84"/>
      <c r="Q34" s="85">
        <v>3304</v>
      </c>
      <c r="R34" s="85">
        <v>3243</v>
      </c>
      <c r="S34" s="84"/>
      <c r="T34" s="85">
        <v>4156</v>
      </c>
      <c r="U34" s="85">
        <v>3673</v>
      </c>
      <c r="V34" s="84"/>
      <c r="W34" s="85">
        <v>3467</v>
      </c>
      <c r="X34" s="85">
        <v>3322</v>
      </c>
      <c r="Y34" s="84"/>
      <c r="Z34" s="85">
        <v>2310</v>
      </c>
      <c r="AA34" s="85">
        <v>2146</v>
      </c>
      <c r="AB34" s="84"/>
      <c r="AC34" s="86">
        <v>2401</v>
      </c>
      <c r="AD34" s="87">
        <v>2392</v>
      </c>
      <c r="AE34" s="84"/>
      <c r="AF34" s="88">
        <v>2791</v>
      </c>
      <c r="AG34" s="87">
        <v>2827</v>
      </c>
      <c r="AH34" s="84"/>
      <c r="AI34" s="88">
        <v>1414</v>
      </c>
      <c r="AJ34" s="89">
        <v>1308</v>
      </c>
      <c r="AK34" s="84"/>
      <c r="AL34" s="79">
        <f>SUM(AI34,B34,E34,H34,K34,N34,Q34,T34,W34,Z34,AC34,AF34)</f>
        <v>39331</v>
      </c>
      <c r="AM34" s="80">
        <f>SUM(AJ34,C34,F34,I34,L34,O34,R34,U34,X34,AA34,AD34,AG34)</f>
        <v>38536</v>
      </c>
      <c r="AN34" s="81">
        <f t="shared" si="0"/>
        <v>77867</v>
      </c>
      <c r="AO34" s="60"/>
      <c r="AP34" s="60"/>
    </row>
    <row r="35" spans="1:42" ht="16.5" thickBot="1" x14ac:dyDescent="0.3">
      <c r="A35" s="99" t="s">
        <v>77</v>
      </c>
      <c r="B35" s="83">
        <v>7554</v>
      </c>
      <c r="C35" s="84">
        <v>9548</v>
      </c>
      <c r="D35" s="84"/>
      <c r="E35" s="84">
        <v>9901</v>
      </c>
      <c r="F35" s="84">
        <v>9171</v>
      </c>
      <c r="G35" s="84"/>
      <c r="H35" s="84">
        <v>10789</v>
      </c>
      <c r="I35" s="84">
        <v>9862</v>
      </c>
      <c r="J35" s="84"/>
      <c r="K35" s="85">
        <v>10034</v>
      </c>
      <c r="L35" s="85">
        <v>10171</v>
      </c>
      <c r="M35" s="84"/>
      <c r="N35" s="85">
        <v>8866</v>
      </c>
      <c r="O35" s="85">
        <v>9334</v>
      </c>
      <c r="P35" s="84"/>
      <c r="Q35" s="90">
        <v>8753</v>
      </c>
      <c r="R35" s="90">
        <v>8387</v>
      </c>
      <c r="S35" s="84"/>
      <c r="T35" s="85">
        <v>7850</v>
      </c>
      <c r="U35" s="85">
        <v>8180</v>
      </c>
      <c r="V35" s="84"/>
      <c r="W35" s="85">
        <v>8636</v>
      </c>
      <c r="X35" s="85">
        <v>8840</v>
      </c>
      <c r="Y35" s="84"/>
      <c r="Z35" s="85">
        <v>7357</v>
      </c>
      <c r="AA35" s="85">
        <v>7124</v>
      </c>
      <c r="AB35" s="84"/>
      <c r="AC35" s="88">
        <v>7316</v>
      </c>
      <c r="AD35" s="87">
        <v>7717</v>
      </c>
      <c r="AE35" s="84"/>
      <c r="AF35" s="88">
        <v>8946</v>
      </c>
      <c r="AG35" s="87">
        <v>8901</v>
      </c>
      <c r="AH35" s="84"/>
      <c r="AI35" s="88">
        <v>9926</v>
      </c>
      <c r="AJ35" s="89">
        <v>8053</v>
      </c>
      <c r="AK35" s="84"/>
      <c r="AL35" s="79">
        <f>SUM(AI35,B35,E35,H35,K35,N35,Q35,T35,W35,Z35,AC35,AF35)</f>
        <v>105928</v>
      </c>
      <c r="AM35" s="80">
        <f>SUM(AJ35,C35,F35,I35,L35,O35,R35,U35,X35,AA35,AD35,AG35)</f>
        <v>105288</v>
      </c>
      <c r="AN35" s="81">
        <f t="shared" si="0"/>
        <v>211216</v>
      </c>
      <c r="AO35" s="60"/>
      <c r="AP35" s="60"/>
    </row>
    <row r="36" spans="1:42" ht="16.5" thickBot="1" x14ac:dyDescent="0.3">
      <c r="A36" s="94" t="s">
        <v>78</v>
      </c>
      <c r="B36" s="83">
        <v>6803</v>
      </c>
      <c r="C36" s="84">
        <v>7683</v>
      </c>
      <c r="D36" s="84"/>
      <c r="E36" s="84">
        <v>6488</v>
      </c>
      <c r="F36" s="84">
        <v>6144</v>
      </c>
      <c r="G36" s="84"/>
      <c r="H36" s="84">
        <v>6989</v>
      </c>
      <c r="I36" s="84">
        <v>6611</v>
      </c>
      <c r="J36" s="84"/>
      <c r="K36" s="85">
        <v>6912</v>
      </c>
      <c r="L36" s="85">
        <v>7629</v>
      </c>
      <c r="M36" s="84"/>
      <c r="N36" s="85">
        <v>6720</v>
      </c>
      <c r="O36" s="85">
        <v>7019</v>
      </c>
      <c r="P36" s="84"/>
      <c r="Q36" s="85">
        <v>5402</v>
      </c>
      <c r="R36" s="85">
        <v>5753</v>
      </c>
      <c r="S36" s="84"/>
      <c r="T36" s="85">
        <v>6628</v>
      </c>
      <c r="U36" s="85">
        <v>6151</v>
      </c>
      <c r="V36" s="84"/>
      <c r="W36" s="85">
        <v>6772</v>
      </c>
      <c r="X36" s="85">
        <v>6562</v>
      </c>
      <c r="Y36" s="84"/>
      <c r="Z36" s="85">
        <v>5762</v>
      </c>
      <c r="AA36" s="85">
        <v>5667</v>
      </c>
      <c r="AB36" s="84"/>
      <c r="AC36" s="86">
        <v>5667</v>
      </c>
      <c r="AD36" s="87">
        <v>5895</v>
      </c>
      <c r="AE36" s="84"/>
      <c r="AF36" s="88">
        <v>6352</v>
      </c>
      <c r="AG36" s="87">
        <v>6134</v>
      </c>
      <c r="AH36" s="84"/>
      <c r="AI36" s="88">
        <v>6121</v>
      </c>
      <c r="AJ36" s="89">
        <v>5296</v>
      </c>
      <c r="AK36" s="84"/>
      <c r="AL36" s="79">
        <f>SUM(AI36,B36,E36,H36,K36,N36,Q36,T36,W36,Z36,AC36,AF36)</f>
        <v>76616</v>
      </c>
      <c r="AM36" s="80">
        <f>SUM(AJ36,C36,F36,I36,L36,O36,R36,U36,X36,AA36,AD36,AG36)</f>
        <v>76544</v>
      </c>
      <c r="AN36" s="81">
        <f t="shared" si="0"/>
        <v>153160</v>
      </c>
      <c r="AO36" s="60"/>
      <c r="AP36" s="60"/>
    </row>
    <row r="37" spans="1:42" ht="16.5" thickBot="1" x14ac:dyDescent="0.3">
      <c r="A37" s="94" t="s">
        <v>79</v>
      </c>
      <c r="B37" s="100">
        <v>131</v>
      </c>
      <c r="C37" s="101">
        <v>137</v>
      </c>
      <c r="D37" s="101"/>
      <c r="E37" s="101">
        <v>37</v>
      </c>
      <c r="F37" s="101">
        <v>43</v>
      </c>
      <c r="G37" s="101"/>
      <c r="H37" s="101">
        <v>36</v>
      </c>
      <c r="I37" s="101">
        <v>39</v>
      </c>
      <c r="J37" s="101"/>
      <c r="K37" s="102">
        <v>14</v>
      </c>
      <c r="L37" s="102">
        <v>3</v>
      </c>
      <c r="M37" s="101"/>
      <c r="N37" s="102">
        <v>10</v>
      </c>
      <c r="O37" s="102">
        <v>11</v>
      </c>
      <c r="P37" s="101"/>
      <c r="Q37" s="102">
        <v>19</v>
      </c>
      <c r="R37" s="102">
        <v>26</v>
      </c>
      <c r="S37" s="101"/>
      <c r="T37" s="102">
        <v>0</v>
      </c>
      <c r="U37" s="102">
        <v>8</v>
      </c>
      <c r="V37" s="101"/>
      <c r="W37" s="102">
        <v>2</v>
      </c>
      <c r="X37" s="102">
        <v>5</v>
      </c>
      <c r="Y37" s="101"/>
      <c r="Z37" s="102">
        <v>0</v>
      </c>
      <c r="AA37" s="102">
        <v>0</v>
      </c>
      <c r="AB37" s="101"/>
      <c r="AC37" s="103">
        <v>9</v>
      </c>
      <c r="AD37" s="104">
        <v>14</v>
      </c>
      <c r="AE37" s="101"/>
      <c r="AF37" s="103">
        <v>41</v>
      </c>
      <c r="AG37" s="104">
        <v>37</v>
      </c>
      <c r="AH37" s="101"/>
      <c r="AI37" s="103">
        <v>33</v>
      </c>
      <c r="AJ37" s="105">
        <v>41</v>
      </c>
      <c r="AK37" s="101"/>
      <c r="AL37" s="79">
        <f>SUM(AI37,B37,E37,H37,K37,N37,Q37,T37,W37,Z37,AC37,AF37)</f>
        <v>332</v>
      </c>
      <c r="AM37" s="80">
        <f>SUM(AJ37,C37,F37,I37,L37,O37,R37,U37,X37,AA37,AD37,AG37)</f>
        <v>364</v>
      </c>
      <c r="AN37" s="106">
        <f t="shared" si="0"/>
        <v>696</v>
      </c>
      <c r="AO37" s="60"/>
      <c r="AP37" s="60"/>
    </row>
    <row r="38" spans="1:42" ht="16.5" thickBot="1" x14ac:dyDescent="0.3">
      <c r="A38" s="107" t="s">
        <v>38</v>
      </c>
      <c r="B38" s="108">
        <f t="shared" ref="B38:AJ38" si="1">SUM(B8:B37)</f>
        <v>452784</v>
      </c>
      <c r="C38" s="109">
        <f t="shared" si="1"/>
        <v>452856</v>
      </c>
      <c r="D38" s="362">
        <f>B38+C38</f>
        <v>905640</v>
      </c>
      <c r="E38" s="108">
        <f t="shared" si="1"/>
        <v>437841</v>
      </c>
      <c r="F38" s="109">
        <f t="shared" si="1"/>
        <v>448645</v>
      </c>
      <c r="G38" s="362">
        <f>E38+F38</f>
        <v>886486</v>
      </c>
      <c r="H38" s="108">
        <f t="shared" si="1"/>
        <v>499161</v>
      </c>
      <c r="I38" s="109">
        <f t="shared" si="1"/>
        <v>496581</v>
      </c>
      <c r="J38" s="362">
        <f>H38+I38</f>
        <v>995742</v>
      </c>
      <c r="K38" s="110">
        <f t="shared" si="1"/>
        <v>509044</v>
      </c>
      <c r="L38" s="111">
        <f t="shared" si="1"/>
        <v>509196</v>
      </c>
      <c r="M38" s="362">
        <f>K38+L38</f>
        <v>1018240</v>
      </c>
      <c r="N38" s="110">
        <f t="shared" si="1"/>
        <v>484552</v>
      </c>
      <c r="O38" s="111">
        <f t="shared" si="1"/>
        <v>483282</v>
      </c>
      <c r="P38" s="362">
        <f>N38+O38</f>
        <v>967834</v>
      </c>
      <c r="Q38" s="110">
        <f t="shared" si="1"/>
        <v>439663</v>
      </c>
      <c r="R38" s="111">
        <f t="shared" si="1"/>
        <v>438335</v>
      </c>
      <c r="S38" s="362">
        <f>Q38+R38</f>
        <v>877998</v>
      </c>
      <c r="T38" s="110">
        <f t="shared" si="1"/>
        <v>455315</v>
      </c>
      <c r="U38" s="111">
        <f t="shared" si="1"/>
        <v>447625</v>
      </c>
      <c r="V38" s="362">
        <f>T38+U38</f>
        <v>902940</v>
      </c>
      <c r="W38" s="110">
        <f t="shared" si="1"/>
        <v>481431</v>
      </c>
      <c r="X38" s="111">
        <f t="shared" si="1"/>
        <v>481361</v>
      </c>
      <c r="Y38" s="362">
        <f>W38+X38</f>
        <v>962792</v>
      </c>
      <c r="Z38" s="110">
        <f t="shared" si="1"/>
        <v>410028</v>
      </c>
      <c r="AA38" s="111">
        <f t="shared" si="1"/>
        <v>405933</v>
      </c>
      <c r="AB38" s="362">
        <f>Z38+AA38</f>
        <v>815961</v>
      </c>
      <c r="AC38" s="110">
        <f t="shared" si="1"/>
        <v>433216</v>
      </c>
      <c r="AD38" s="111">
        <f t="shared" si="1"/>
        <v>434572</v>
      </c>
      <c r="AE38" s="362">
        <f>AC38+AD38</f>
        <v>867788</v>
      </c>
      <c r="AF38" s="110">
        <f t="shared" si="1"/>
        <v>466351</v>
      </c>
      <c r="AG38" s="111">
        <f t="shared" si="1"/>
        <v>459726</v>
      </c>
      <c r="AH38" s="362">
        <f>AF38+AG38</f>
        <v>926077</v>
      </c>
      <c r="AI38" s="110">
        <f t="shared" si="1"/>
        <v>421356</v>
      </c>
      <c r="AJ38" s="111">
        <f t="shared" si="1"/>
        <v>422754</v>
      </c>
      <c r="AK38" s="362">
        <f>AI38+AJ38</f>
        <v>844110</v>
      </c>
      <c r="AL38" s="112">
        <f>SUM(AI38,B38,E38,H38,K38,N38,Q38,T38,W38,Z38,AC38,AF38)</f>
        <v>5490742</v>
      </c>
      <c r="AM38" s="113">
        <f>SUM(AJ38,C38,F38,I38,L38,O38,R38,U38,X38,AA38,AD38,AG38)</f>
        <v>5480866</v>
      </c>
      <c r="AN38" s="114">
        <f t="shared" si="0"/>
        <v>10971608</v>
      </c>
      <c r="AO38" s="60"/>
      <c r="AP38" s="60"/>
    </row>
    <row r="39" spans="1:42" x14ac:dyDescent="0.25">
      <c r="A39" s="2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</row>
    <row r="40" spans="1:42" x14ac:dyDescent="0.25">
      <c r="A40" s="2"/>
      <c r="B40" s="2"/>
      <c r="C40" s="2"/>
      <c r="E40" s="2"/>
      <c r="F40" s="2"/>
      <c r="H40" s="2"/>
      <c r="I40" s="2"/>
      <c r="K40" s="2"/>
      <c r="L40" s="2"/>
      <c r="N40" s="2"/>
      <c r="O40" s="2"/>
      <c r="Q40" s="2"/>
      <c r="R40" s="2"/>
      <c r="T40" s="2"/>
      <c r="U40" s="2"/>
      <c r="W40" s="2"/>
      <c r="X40" s="2"/>
      <c r="Z40" s="2"/>
      <c r="AA40" s="2"/>
      <c r="AC40" s="2"/>
      <c r="AD40" s="2"/>
      <c r="AF40" s="2"/>
      <c r="AG40" s="2"/>
      <c r="AI40" s="2"/>
      <c r="AJ40" s="2"/>
      <c r="AL40" s="2"/>
      <c r="AM40" s="2"/>
      <c r="AN40" s="2"/>
      <c r="AO40" s="60"/>
      <c r="AP40" s="60"/>
    </row>
    <row r="41" spans="1:42" x14ac:dyDescent="0.25">
      <c r="A41" s="2"/>
      <c r="B41" s="2"/>
      <c r="C41" s="2"/>
      <c r="E41" s="2"/>
      <c r="F41" s="2"/>
      <c r="H41" s="2"/>
      <c r="I41" s="2"/>
      <c r="K41" s="2"/>
      <c r="L41" s="2"/>
      <c r="N41" s="2"/>
      <c r="O41" s="2"/>
      <c r="Q41" s="2"/>
      <c r="R41" s="2"/>
      <c r="T41" s="2"/>
      <c r="U41" s="2"/>
      <c r="W41" s="2"/>
      <c r="X41" s="2"/>
      <c r="Z41" s="2"/>
      <c r="AA41" s="2"/>
      <c r="AC41" s="2"/>
      <c r="AD41" s="2"/>
      <c r="AF41" s="2"/>
      <c r="AG41" s="2"/>
      <c r="AI41" s="2"/>
      <c r="AJ41" s="2"/>
      <c r="AL41" s="2"/>
      <c r="AM41" s="2"/>
      <c r="AN41" s="2"/>
      <c r="AO41" s="60"/>
      <c r="AP41" s="60"/>
    </row>
    <row r="42" spans="1:42" x14ac:dyDescent="0.25">
      <c r="A42" s="2"/>
      <c r="B42" s="2"/>
      <c r="C42" s="2"/>
      <c r="E42" s="2"/>
      <c r="F42" s="2"/>
      <c r="H42" s="2"/>
      <c r="I42" s="2"/>
      <c r="K42" s="2"/>
      <c r="L42" s="2"/>
      <c r="N42" s="2"/>
      <c r="O42" s="2"/>
      <c r="Q42" s="2"/>
      <c r="R42" s="2"/>
      <c r="T42" s="2"/>
      <c r="U42" s="2"/>
      <c r="W42" s="2"/>
      <c r="X42" s="2"/>
      <c r="Z42" s="2"/>
      <c r="AA42" s="2"/>
      <c r="AC42" s="2"/>
      <c r="AD42" s="2"/>
      <c r="AF42" s="2"/>
      <c r="AG42" s="2"/>
      <c r="AI42" s="2"/>
      <c r="AJ42" s="2"/>
      <c r="AL42" s="2"/>
      <c r="AM42" s="2"/>
      <c r="AN42" s="2"/>
      <c r="AO42" s="60"/>
      <c r="AP42" s="60"/>
    </row>
    <row r="43" spans="1:42" ht="23.25" x14ac:dyDescent="0.35">
      <c r="A43" s="115" t="s">
        <v>80</v>
      </c>
      <c r="B43" s="116"/>
      <c r="C43" s="117"/>
      <c r="D43" s="117"/>
      <c r="E43" s="118"/>
      <c r="F43" s="119" t="s">
        <v>81</v>
      </c>
      <c r="G43" s="117"/>
      <c r="H43" s="119"/>
      <c r="I43" s="119"/>
      <c r="J43" s="117"/>
      <c r="K43" s="120"/>
      <c r="L43" s="118"/>
      <c r="M43" s="117"/>
      <c r="N43" s="118"/>
      <c r="O43" s="118"/>
      <c r="P43" s="117"/>
      <c r="Q43" s="118"/>
      <c r="R43" s="118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21"/>
      <c r="AO43" s="60"/>
      <c r="AP43" s="60"/>
    </row>
    <row r="44" spans="1:42" ht="23.25" x14ac:dyDescent="0.35">
      <c r="A44" s="115"/>
      <c r="B44" s="117"/>
      <c r="C44" s="117"/>
      <c r="D44" s="117"/>
      <c r="E44" s="118"/>
      <c r="F44" s="122" t="s">
        <v>82</v>
      </c>
      <c r="G44" s="117"/>
      <c r="H44" s="122"/>
      <c r="I44" s="122"/>
      <c r="J44" s="117"/>
      <c r="K44" s="122"/>
      <c r="L44" s="118"/>
      <c r="M44" s="117"/>
      <c r="N44" s="118"/>
      <c r="O44" s="118"/>
      <c r="P44" s="117"/>
      <c r="Q44" s="118"/>
      <c r="R44" s="118"/>
      <c r="S44" s="117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7"/>
      <c r="AL44" s="117"/>
      <c r="AM44" s="117"/>
      <c r="AN44" s="121"/>
      <c r="AO44" s="60"/>
      <c r="AP44" s="60"/>
    </row>
    <row r="45" spans="1:42" ht="24" thickBot="1" x14ac:dyDescent="0.4">
      <c r="A45" s="115"/>
      <c r="B45" s="117"/>
      <c r="C45" s="117"/>
      <c r="D45" s="117"/>
      <c r="E45" s="118"/>
      <c r="F45" s="119" t="s">
        <v>83</v>
      </c>
      <c r="G45" s="117"/>
      <c r="H45" s="119"/>
      <c r="I45" s="119"/>
      <c r="J45" s="117"/>
      <c r="K45" s="118"/>
      <c r="L45" s="118"/>
      <c r="M45" s="117"/>
      <c r="N45" s="118"/>
      <c r="O45" s="118"/>
      <c r="P45" s="117"/>
      <c r="Q45" s="118"/>
      <c r="R45" s="118"/>
      <c r="S45" s="117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7"/>
      <c r="AL45" s="117"/>
      <c r="AM45" s="117"/>
      <c r="AN45" s="121"/>
      <c r="AO45" s="60"/>
      <c r="AP45" s="60"/>
    </row>
    <row r="46" spans="1:42" ht="16.5" thickBot="1" x14ac:dyDescent="0.3">
      <c r="A46" s="123"/>
      <c r="B46" s="124" t="s">
        <v>1</v>
      </c>
      <c r="C46" s="125"/>
      <c r="D46" s="368"/>
      <c r="E46" s="124" t="s">
        <v>39</v>
      </c>
      <c r="F46" s="125"/>
      <c r="G46" s="368"/>
      <c r="H46" s="124" t="s">
        <v>2</v>
      </c>
      <c r="I46" s="125"/>
      <c r="J46" s="368"/>
      <c r="K46" s="124" t="s">
        <v>40</v>
      </c>
      <c r="L46" s="125"/>
      <c r="M46" s="368"/>
      <c r="N46" s="124" t="s">
        <v>3</v>
      </c>
      <c r="O46" s="125"/>
      <c r="P46" s="368"/>
      <c r="Q46" s="124" t="s">
        <v>4</v>
      </c>
      <c r="R46" s="125"/>
      <c r="S46" s="368"/>
      <c r="T46" s="124" t="s">
        <v>5</v>
      </c>
      <c r="U46" s="125"/>
      <c r="V46" s="368"/>
      <c r="W46" s="124" t="s">
        <v>41</v>
      </c>
      <c r="X46" s="125"/>
      <c r="Y46" s="368"/>
      <c r="Z46" s="124" t="s">
        <v>42</v>
      </c>
      <c r="AA46" s="125"/>
      <c r="AB46" s="368"/>
      <c r="AC46" s="124" t="s">
        <v>43</v>
      </c>
      <c r="AD46" s="125"/>
      <c r="AE46" s="368"/>
      <c r="AF46" s="124" t="s">
        <v>44</v>
      </c>
      <c r="AG46" s="125"/>
      <c r="AH46" s="368"/>
      <c r="AI46" s="124" t="s">
        <v>45</v>
      </c>
      <c r="AJ46" s="125"/>
      <c r="AK46" s="368"/>
      <c r="AL46" s="325" t="s">
        <v>38</v>
      </c>
      <c r="AM46" s="326"/>
      <c r="AN46" s="327" t="s">
        <v>55</v>
      </c>
      <c r="AO46" s="60"/>
      <c r="AP46" s="60"/>
    </row>
    <row r="47" spans="1:42" ht="16.5" thickBot="1" x14ac:dyDescent="0.3">
      <c r="A47" s="126" t="s">
        <v>57</v>
      </c>
      <c r="B47" s="127" t="s">
        <v>49</v>
      </c>
      <c r="C47" s="128" t="s">
        <v>50</v>
      </c>
      <c r="D47" s="369"/>
      <c r="E47" s="127" t="s">
        <v>49</v>
      </c>
      <c r="F47" s="128" t="s">
        <v>50</v>
      </c>
      <c r="G47" s="369"/>
      <c r="H47" s="127" t="s">
        <v>49</v>
      </c>
      <c r="I47" s="128" t="s">
        <v>50</v>
      </c>
      <c r="J47" s="369"/>
      <c r="K47" s="127" t="s">
        <v>49</v>
      </c>
      <c r="L47" s="128" t="s">
        <v>50</v>
      </c>
      <c r="M47" s="369"/>
      <c r="N47" s="127" t="s">
        <v>49</v>
      </c>
      <c r="O47" s="128" t="s">
        <v>50</v>
      </c>
      <c r="P47" s="369"/>
      <c r="Q47" s="127" t="s">
        <v>49</v>
      </c>
      <c r="R47" s="128" t="s">
        <v>50</v>
      </c>
      <c r="S47" s="369"/>
      <c r="T47" s="127" t="s">
        <v>49</v>
      </c>
      <c r="U47" s="128" t="s">
        <v>50</v>
      </c>
      <c r="V47" s="369"/>
      <c r="W47" s="127" t="s">
        <v>49</v>
      </c>
      <c r="X47" s="128" t="s">
        <v>50</v>
      </c>
      <c r="Y47" s="369"/>
      <c r="Z47" s="127" t="s">
        <v>49</v>
      </c>
      <c r="AA47" s="128" t="s">
        <v>50</v>
      </c>
      <c r="AB47" s="369"/>
      <c r="AC47" s="127" t="s">
        <v>49</v>
      </c>
      <c r="AD47" s="128" t="s">
        <v>50</v>
      </c>
      <c r="AE47" s="369"/>
      <c r="AF47" s="127" t="s">
        <v>49</v>
      </c>
      <c r="AG47" s="128" t="s">
        <v>50</v>
      </c>
      <c r="AH47" s="369"/>
      <c r="AI47" s="127" t="s">
        <v>49</v>
      </c>
      <c r="AJ47" s="128" t="s">
        <v>50</v>
      </c>
      <c r="AK47" s="369"/>
      <c r="AL47" s="129" t="s">
        <v>49</v>
      </c>
      <c r="AM47" s="130" t="s">
        <v>50</v>
      </c>
      <c r="AN47" s="328"/>
      <c r="AO47" s="60"/>
      <c r="AP47" s="60"/>
    </row>
    <row r="48" spans="1:42" ht="16.5" thickBot="1" x14ac:dyDescent="0.3">
      <c r="A48" s="71" t="s">
        <v>58</v>
      </c>
      <c r="B48" s="72">
        <v>39768</v>
      </c>
      <c r="C48" s="73">
        <v>40088</v>
      </c>
      <c r="D48" s="73"/>
      <c r="E48" s="73">
        <v>33888</v>
      </c>
      <c r="F48" s="73">
        <v>29623</v>
      </c>
      <c r="G48" s="73"/>
      <c r="H48" s="73">
        <v>34122</v>
      </c>
      <c r="I48" s="73">
        <v>38715</v>
      </c>
      <c r="J48" s="73"/>
      <c r="K48" s="74">
        <v>36796</v>
      </c>
      <c r="L48" s="74">
        <v>37363</v>
      </c>
      <c r="M48" s="73"/>
      <c r="N48" s="74">
        <v>37861</v>
      </c>
      <c r="O48" s="74">
        <v>35175</v>
      </c>
      <c r="P48" s="73"/>
      <c r="Q48" s="74">
        <v>34887</v>
      </c>
      <c r="R48" s="74">
        <v>34513</v>
      </c>
      <c r="S48" s="73"/>
      <c r="T48" s="74">
        <v>40351</v>
      </c>
      <c r="U48" s="74">
        <v>39360</v>
      </c>
      <c r="V48" s="73"/>
      <c r="W48" s="74">
        <v>40067</v>
      </c>
      <c r="X48" s="74">
        <v>50253</v>
      </c>
      <c r="Y48" s="73"/>
      <c r="Z48" s="74">
        <v>42823</v>
      </c>
      <c r="AA48" s="74">
        <v>39478</v>
      </c>
      <c r="AB48" s="73"/>
      <c r="AC48" s="75">
        <v>36219</v>
      </c>
      <c r="AD48" s="76">
        <v>36782</v>
      </c>
      <c r="AE48" s="73"/>
      <c r="AF48" s="77">
        <v>26846</v>
      </c>
      <c r="AG48" s="76">
        <v>26316</v>
      </c>
      <c r="AH48" s="73"/>
      <c r="AI48" s="77">
        <v>37457</v>
      </c>
      <c r="AJ48" s="78">
        <v>37175</v>
      </c>
      <c r="AK48" s="73"/>
      <c r="AL48" s="131">
        <f>SUM(B48,E48,H48,K48,N48,Q48,T48,W48,Z48,AC48,AF48,AI48)</f>
        <v>441085</v>
      </c>
      <c r="AM48" s="132">
        <f>SUM(C48,F48,I48,L48,O48,R48,U48,X48,AA48,AD48,AG48,AJ48)</f>
        <v>444841</v>
      </c>
      <c r="AN48" s="81">
        <f>SUM(AL48:AM48)</f>
        <v>885926</v>
      </c>
      <c r="AO48" s="60"/>
      <c r="AP48" s="60"/>
    </row>
    <row r="49" spans="1:42" ht="16.5" thickBot="1" x14ac:dyDescent="0.3">
      <c r="A49" s="82" t="s">
        <v>60</v>
      </c>
      <c r="B49" s="83">
        <v>0</v>
      </c>
      <c r="C49" s="84">
        <v>0</v>
      </c>
      <c r="D49" s="84"/>
      <c r="E49" s="84">
        <v>0</v>
      </c>
      <c r="F49" s="84">
        <v>0</v>
      </c>
      <c r="G49" s="84"/>
      <c r="H49" s="84">
        <v>0</v>
      </c>
      <c r="I49" s="84">
        <v>0</v>
      </c>
      <c r="J49" s="84"/>
      <c r="K49" s="90">
        <v>0</v>
      </c>
      <c r="L49" s="90">
        <v>0</v>
      </c>
      <c r="M49" s="84"/>
      <c r="N49" s="90">
        <v>0</v>
      </c>
      <c r="O49" s="90">
        <v>0</v>
      </c>
      <c r="P49" s="84"/>
      <c r="Q49" s="90">
        <v>0</v>
      </c>
      <c r="R49" s="90">
        <v>0</v>
      </c>
      <c r="S49" s="84"/>
      <c r="T49" s="85">
        <v>0</v>
      </c>
      <c r="U49" s="85">
        <v>0</v>
      </c>
      <c r="V49" s="84"/>
      <c r="W49" s="85">
        <v>73</v>
      </c>
      <c r="X49" s="85">
        <v>2569</v>
      </c>
      <c r="Y49" s="84"/>
      <c r="Z49" s="85">
        <v>903</v>
      </c>
      <c r="AA49" s="85">
        <v>0</v>
      </c>
      <c r="AB49" s="84"/>
      <c r="AC49" s="88">
        <v>0</v>
      </c>
      <c r="AD49" s="87">
        <v>0</v>
      </c>
      <c r="AE49" s="84"/>
      <c r="AF49" s="88">
        <v>0</v>
      </c>
      <c r="AG49" s="87">
        <v>0</v>
      </c>
      <c r="AH49" s="84"/>
      <c r="AI49" s="88">
        <v>0</v>
      </c>
      <c r="AJ49" s="89">
        <v>0</v>
      </c>
      <c r="AK49" s="84"/>
      <c r="AL49" s="131">
        <f>SUM(B49,E49,H49,K49,N49,Q49,T49,W49,Z49,AC49,AF49,AI49)</f>
        <v>976</v>
      </c>
      <c r="AM49" s="132">
        <f>SUM(C49,F49,I49,L49,O49,R49,U49,X49,AA49,AD49,AG49,AJ49)</f>
        <v>2569</v>
      </c>
      <c r="AN49" s="81">
        <f t="shared" ref="AN49:AN65" si="2">SUM(AL49:AM49)</f>
        <v>3545</v>
      </c>
      <c r="AO49" s="60"/>
      <c r="AP49" s="60"/>
    </row>
    <row r="50" spans="1:42" ht="16.5" thickBot="1" x14ac:dyDescent="0.3">
      <c r="A50" s="91" t="s">
        <v>61</v>
      </c>
      <c r="B50" s="83">
        <v>0</v>
      </c>
      <c r="C50" s="84">
        <v>0</v>
      </c>
      <c r="D50" s="84"/>
      <c r="E50" s="84">
        <v>0</v>
      </c>
      <c r="F50" s="84">
        <v>0</v>
      </c>
      <c r="G50" s="84"/>
      <c r="H50" s="84">
        <v>0</v>
      </c>
      <c r="I50" s="84">
        <v>0</v>
      </c>
      <c r="J50" s="84"/>
      <c r="K50" s="90">
        <v>0</v>
      </c>
      <c r="L50" s="90">
        <v>0</v>
      </c>
      <c r="M50" s="84"/>
      <c r="N50" s="90">
        <v>0</v>
      </c>
      <c r="O50" s="90">
        <v>0</v>
      </c>
      <c r="P50" s="84"/>
      <c r="Q50" s="90">
        <v>0</v>
      </c>
      <c r="R50" s="90">
        <v>0</v>
      </c>
      <c r="S50" s="84"/>
      <c r="T50" s="85">
        <v>0</v>
      </c>
      <c r="U50" s="85">
        <v>0</v>
      </c>
      <c r="V50" s="84"/>
      <c r="W50" s="85">
        <v>0</v>
      </c>
      <c r="X50" s="85">
        <v>3506</v>
      </c>
      <c r="Y50" s="84"/>
      <c r="Z50" s="85">
        <v>2598</v>
      </c>
      <c r="AA50" s="85">
        <v>0</v>
      </c>
      <c r="AB50" s="84"/>
      <c r="AC50" s="88">
        <v>2028</v>
      </c>
      <c r="AD50" s="87">
        <v>0</v>
      </c>
      <c r="AE50" s="84"/>
      <c r="AF50" s="88">
        <v>0</v>
      </c>
      <c r="AG50" s="87">
        <v>0</v>
      </c>
      <c r="AH50" s="84"/>
      <c r="AI50" s="88">
        <v>0</v>
      </c>
      <c r="AJ50" s="89">
        <v>0</v>
      </c>
      <c r="AK50" s="84"/>
      <c r="AL50" s="131">
        <f>SUM(B50,E50,H50,K50,N50,Q50,T50,W50,Z50,AC50,AF50,AI50)</f>
        <v>4626</v>
      </c>
      <c r="AM50" s="132">
        <f>SUM(C50,F50,I50,L50,O50,R50,U50,X50,AA50,AD50,AG50,AJ50)</f>
        <v>3506</v>
      </c>
      <c r="AN50" s="81">
        <f t="shared" si="2"/>
        <v>8132</v>
      </c>
      <c r="AO50" s="60"/>
      <c r="AP50" s="60"/>
    </row>
    <row r="51" spans="1:42" ht="16.5" thickBot="1" x14ac:dyDescent="0.3">
      <c r="A51" s="82" t="s">
        <v>63</v>
      </c>
      <c r="B51" s="83">
        <v>0</v>
      </c>
      <c r="C51" s="84">
        <v>0</v>
      </c>
      <c r="D51" s="84"/>
      <c r="E51" s="84">
        <v>0</v>
      </c>
      <c r="F51" s="84">
        <v>0</v>
      </c>
      <c r="G51" s="84"/>
      <c r="H51" s="84">
        <v>0</v>
      </c>
      <c r="I51" s="84">
        <v>0</v>
      </c>
      <c r="J51" s="84"/>
      <c r="K51" s="90">
        <v>0</v>
      </c>
      <c r="L51" s="90">
        <v>0</v>
      </c>
      <c r="M51" s="84"/>
      <c r="N51" s="90">
        <v>0</v>
      </c>
      <c r="O51" s="90">
        <v>0</v>
      </c>
      <c r="P51" s="84"/>
      <c r="Q51" s="90">
        <v>0</v>
      </c>
      <c r="R51" s="90">
        <v>0</v>
      </c>
      <c r="S51" s="84"/>
      <c r="T51" s="85">
        <v>0</v>
      </c>
      <c r="U51" s="85">
        <v>0</v>
      </c>
      <c r="V51" s="84"/>
      <c r="W51" s="85">
        <v>0</v>
      </c>
      <c r="X51" s="85">
        <v>2119</v>
      </c>
      <c r="Y51" s="84"/>
      <c r="Z51" s="85">
        <v>1023</v>
      </c>
      <c r="AA51" s="85">
        <v>0</v>
      </c>
      <c r="AB51" s="84"/>
      <c r="AC51" s="88">
        <v>1621</v>
      </c>
      <c r="AD51" s="87">
        <v>0</v>
      </c>
      <c r="AE51" s="84"/>
      <c r="AF51" s="88">
        <v>0</v>
      </c>
      <c r="AG51" s="87">
        <v>0</v>
      </c>
      <c r="AH51" s="84"/>
      <c r="AI51" s="88">
        <v>0</v>
      </c>
      <c r="AJ51" s="89">
        <v>0</v>
      </c>
      <c r="AK51" s="84"/>
      <c r="AL51" s="131">
        <f>SUM(B51,E51,H51,K51,N51,Q51,T51,W51,Z51,AC51,AF51,AI51)</f>
        <v>2644</v>
      </c>
      <c r="AM51" s="132">
        <f>SUM(C51,F51,I51,L51,O51,R51,U51,X51,AA51,AD51,AG51,AJ51)</f>
        <v>2119</v>
      </c>
      <c r="AN51" s="81">
        <f t="shared" si="2"/>
        <v>4763</v>
      </c>
      <c r="AO51" s="60"/>
      <c r="AP51" s="60"/>
    </row>
    <row r="52" spans="1:42" ht="16.5" thickBot="1" x14ac:dyDescent="0.3">
      <c r="A52" s="91" t="s">
        <v>13</v>
      </c>
      <c r="B52" s="83">
        <v>1530</v>
      </c>
      <c r="C52" s="84">
        <v>2279</v>
      </c>
      <c r="D52" s="84"/>
      <c r="E52" s="84">
        <v>816</v>
      </c>
      <c r="F52" s="84">
        <v>1347</v>
      </c>
      <c r="G52" s="84"/>
      <c r="H52" s="84">
        <v>1534</v>
      </c>
      <c r="I52" s="84">
        <v>1772</v>
      </c>
      <c r="J52" s="84"/>
      <c r="K52" s="85">
        <v>1393</v>
      </c>
      <c r="L52" s="85">
        <v>2042</v>
      </c>
      <c r="M52" s="84"/>
      <c r="N52" s="90">
        <v>1648</v>
      </c>
      <c r="O52" s="90">
        <v>1844</v>
      </c>
      <c r="P52" s="84"/>
      <c r="Q52" s="90">
        <v>1608</v>
      </c>
      <c r="R52" s="90">
        <v>1722</v>
      </c>
      <c r="S52" s="84"/>
      <c r="T52" s="85">
        <v>1302</v>
      </c>
      <c r="U52" s="85">
        <v>1648</v>
      </c>
      <c r="V52" s="84"/>
      <c r="W52" s="85">
        <v>1451</v>
      </c>
      <c r="X52" s="85">
        <v>1786</v>
      </c>
      <c r="Y52" s="84"/>
      <c r="Z52" s="85">
        <v>1439</v>
      </c>
      <c r="AA52" s="85">
        <v>1786</v>
      </c>
      <c r="AB52" s="84"/>
      <c r="AC52" s="86">
        <v>1357</v>
      </c>
      <c r="AD52" s="87">
        <v>1428</v>
      </c>
      <c r="AE52" s="84"/>
      <c r="AF52" s="88">
        <v>1211</v>
      </c>
      <c r="AG52" s="87">
        <v>1085</v>
      </c>
      <c r="AH52" s="84"/>
      <c r="AI52" s="88">
        <v>2627</v>
      </c>
      <c r="AJ52" s="89">
        <v>1545</v>
      </c>
      <c r="AK52" s="84"/>
      <c r="AL52" s="131">
        <f>SUM(B52,E52,H52,K52,N52,Q52,T52,W52,Z52,AC52,AF52,AI52)</f>
        <v>17916</v>
      </c>
      <c r="AM52" s="132">
        <f>SUM(C52,F52,I52,L52,O52,R52,U52,X52,AA52,AD52,AG52,AJ52)</f>
        <v>20284</v>
      </c>
      <c r="AN52" s="81">
        <f t="shared" si="2"/>
        <v>38200</v>
      </c>
      <c r="AO52" s="60"/>
      <c r="AP52" s="60"/>
    </row>
    <row r="53" spans="1:42" ht="16.5" thickBot="1" x14ac:dyDescent="0.3">
      <c r="A53" s="91" t="s">
        <v>68</v>
      </c>
      <c r="B53" s="83">
        <v>192</v>
      </c>
      <c r="C53" s="133">
        <v>217</v>
      </c>
      <c r="D53" s="133"/>
      <c r="E53" s="84">
        <v>0</v>
      </c>
      <c r="F53" s="84">
        <v>0</v>
      </c>
      <c r="G53" s="133"/>
      <c r="H53" s="84">
        <v>0</v>
      </c>
      <c r="I53" s="84">
        <v>0</v>
      </c>
      <c r="J53" s="133"/>
      <c r="K53" s="90">
        <v>192</v>
      </c>
      <c r="L53" s="90">
        <v>217</v>
      </c>
      <c r="M53" s="133"/>
      <c r="N53" s="85">
        <v>0</v>
      </c>
      <c r="O53" s="85">
        <v>0</v>
      </c>
      <c r="P53" s="133"/>
      <c r="Q53" s="85">
        <v>0</v>
      </c>
      <c r="R53" s="85">
        <v>0</v>
      </c>
      <c r="S53" s="133"/>
      <c r="T53" s="85">
        <v>0</v>
      </c>
      <c r="U53" s="85">
        <v>0</v>
      </c>
      <c r="V53" s="133"/>
      <c r="W53" s="85">
        <v>86</v>
      </c>
      <c r="X53" s="85">
        <v>1911</v>
      </c>
      <c r="Y53" s="133"/>
      <c r="Z53" s="85">
        <v>2032</v>
      </c>
      <c r="AA53" s="85">
        <v>0</v>
      </c>
      <c r="AB53" s="133"/>
      <c r="AC53" s="86">
        <v>0</v>
      </c>
      <c r="AD53" s="87">
        <v>0</v>
      </c>
      <c r="AE53" s="133"/>
      <c r="AF53" s="88">
        <v>0</v>
      </c>
      <c r="AG53" s="87">
        <v>0</v>
      </c>
      <c r="AH53" s="133"/>
      <c r="AI53" s="88">
        <v>355</v>
      </c>
      <c r="AJ53" s="89">
        <v>252</v>
      </c>
      <c r="AK53" s="133"/>
      <c r="AL53" s="131">
        <f>SUM(B53,E53,H53,K53,N53,Q53,T53,W53,Z53,AC53,AF53,AI53)</f>
        <v>2857</v>
      </c>
      <c r="AM53" s="132">
        <f>SUM(C53,F53,I53,L53,O53,R53,U53,X53,AA53,AD53,AG53,AJ53)</f>
        <v>2597</v>
      </c>
      <c r="AN53" s="81">
        <f t="shared" si="2"/>
        <v>5454</v>
      </c>
      <c r="AO53" s="60"/>
      <c r="AP53" s="60"/>
    </row>
    <row r="54" spans="1:42" ht="16.5" thickBot="1" x14ac:dyDescent="0.3">
      <c r="A54" s="82" t="s">
        <v>69</v>
      </c>
      <c r="B54" s="83">
        <v>0</v>
      </c>
      <c r="C54" s="84">
        <v>0</v>
      </c>
      <c r="D54" s="84"/>
      <c r="E54" s="84">
        <v>0</v>
      </c>
      <c r="F54" s="84">
        <v>0</v>
      </c>
      <c r="G54" s="84"/>
      <c r="H54" s="84">
        <v>0</v>
      </c>
      <c r="I54" s="84">
        <v>0</v>
      </c>
      <c r="J54" s="84"/>
      <c r="K54" s="85">
        <v>0</v>
      </c>
      <c r="L54" s="85">
        <v>0</v>
      </c>
      <c r="M54" s="84"/>
      <c r="N54" s="85">
        <v>0</v>
      </c>
      <c r="O54" s="85">
        <v>0</v>
      </c>
      <c r="P54" s="84"/>
      <c r="Q54" s="85">
        <v>0</v>
      </c>
      <c r="R54" s="85">
        <v>0</v>
      </c>
      <c r="S54" s="84"/>
      <c r="T54" s="85">
        <v>0</v>
      </c>
      <c r="U54" s="85">
        <v>0</v>
      </c>
      <c r="V54" s="84"/>
      <c r="W54" s="85">
        <v>5</v>
      </c>
      <c r="X54" s="85">
        <v>2465</v>
      </c>
      <c r="Y54" s="84"/>
      <c r="Z54" s="85">
        <v>2500</v>
      </c>
      <c r="AA54" s="85">
        <v>12</v>
      </c>
      <c r="AB54" s="84"/>
      <c r="AC54" s="86">
        <v>0</v>
      </c>
      <c r="AD54" s="87">
        <v>0</v>
      </c>
      <c r="AE54" s="84"/>
      <c r="AF54" s="88">
        <v>0</v>
      </c>
      <c r="AG54" s="87">
        <v>0</v>
      </c>
      <c r="AH54" s="84"/>
      <c r="AI54" s="88">
        <v>0</v>
      </c>
      <c r="AJ54" s="89">
        <v>0</v>
      </c>
      <c r="AK54" s="84"/>
      <c r="AL54" s="131">
        <f>SUM(B54,E54,H54,K54,N54,Q54,T54,W54,Z54,AC54,AF54,AI54)</f>
        <v>2505</v>
      </c>
      <c r="AM54" s="132">
        <f>SUM(C54,F54,I54,L54,O54,R54,U54,X54,AA54,AD54,AG54,AJ54)</f>
        <v>2477</v>
      </c>
      <c r="AN54" s="81">
        <f t="shared" si="2"/>
        <v>4982</v>
      </c>
      <c r="AO54" s="60"/>
      <c r="AP54" s="60"/>
    </row>
    <row r="55" spans="1:42" ht="16.5" thickBot="1" x14ac:dyDescent="0.3">
      <c r="A55" s="82" t="s">
        <v>70</v>
      </c>
      <c r="B55" s="83">
        <v>79</v>
      </c>
      <c r="C55" s="84">
        <v>13</v>
      </c>
      <c r="D55" s="84"/>
      <c r="E55" s="84">
        <v>21</v>
      </c>
      <c r="F55" s="84">
        <v>8</v>
      </c>
      <c r="G55" s="84"/>
      <c r="H55" s="84">
        <v>103</v>
      </c>
      <c r="I55" s="84">
        <v>96</v>
      </c>
      <c r="J55" s="84"/>
      <c r="K55" s="85">
        <v>4</v>
      </c>
      <c r="L55" s="85">
        <v>3</v>
      </c>
      <c r="M55" s="84"/>
      <c r="N55" s="85">
        <v>31</v>
      </c>
      <c r="O55" s="85">
        <v>15</v>
      </c>
      <c r="P55" s="84"/>
      <c r="Q55" s="85">
        <v>55</v>
      </c>
      <c r="R55" s="85">
        <v>17</v>
      </c>
      <c r="S55" s="84"/>
      <c r="T55" s="85">
        <v>9</v>
      </c>
      <c r="U55" s="85">
        <v>61</v>
      </c>
      <c r="V55" s="84"/>
      <c r="W55" s="85">
        <v>0</v>
      </c>
      <c r="X55" s="85">
        <v>6768</v>
      </c>
      <c r="Y55" s="84"/>
      <c r="Z55" s="85">
        <v>4509</v>
      </c>
      <c r="AA55" s="85">
        <v>474</v>
      </c>
      <c r="AB55" s="84"/>
      <c r="AC55" s="88">
        <v>2213</v>
      </c>
      <c r="AD55" s="87">
        <v>30</v>
      </c>
      <c r="AE55" s="84"/>
      <c r="AF55" s="88">
        <v>79</v>
      </c>
      <c r="AG55" s="87">
        <v>0</v>
      </c>
      <c r="AH55" s="84"/>
      <c r="AI55" s="88"/>
      <c r="AJ55" s="89">
        <v>0</v>
      </c>
      <c r="AK55" s="84"/>
      <c r="AL55" s="131">
        <f>SUM(B55,E55,H55,K55,N55,Q55,T55,W55,Z55,AC55,AF55,AI55)</f>
        <v>7103</v>
      </c>
      <c r="AM55" s="132">
        <f>SUM(C55,F55,I55,L55,O55,R55,U55,X55,AA55,AD55,AG55,AJ55)</f>
        <v>7485</v>
      </c>
      <c r="AN55" s="81">
        <f t="shared" si="2"/>
        <v>14588</v>
      </c>
      <c r="AO55" s="60"/>
      <c r="AP55" s="60"/>
    </row>
    <row r="56" spans="1:42" ht="16.5" thickBot="1" x14ac:dyDescent="0.3">
      <c r="A56" s="82" t="s">
        <v>71</v>
      </c>
      <c r="B56" s="83">
        <v>10050</v>
      </c>
      <c r="C56" s="84">
        <v>7923</v>
      </c>
      <c r="D56" s="84"/>
      <c r="E56" s="84">
        <v>6160</v>
      </c>
      <c r="F56" s="84">
        <v>6716</v>
      </c>
      <c r="G56" s="84"/>
      <c r="H56" s="84">
        <v>7529</v>
      </c>
      <c r="I56" s="84">
        <v>8225</v>
      </c>
      <c r="J56" s="84"/>
      <c r="K56" s="85">
        <v>10283</v>
      </c>
      <c r="L56" s="85">
        <v>11887</v>
      </c>
      <c r="M56" s="84"/>
      <c r="N56" s="85">
        <v>11201</v>
      </c>
      <c r="O56" s="85">
        <v>11043</v>
      </c>
      <c r="P56" s="84"/>
      <c r="Q56" s="85">
        <v>8307</v>
      </c>
      <c r="R56" s="85">
        <v>14553</v>
      </c>
      <c r="S56" s="84"/>
      <c r="T56" s="85">
        <v>15756</v>
      </c>
      <c r="U56" s="85">
        <v>4271</v>
      </c>
      <c r="V56" s="84"/>
      <c r="W56" s="85">
        <v>4748</v>
      </c>
      <c r="X56" s="85">
        <v>12854</v>
      </c>
      <c r="Y56" s="84"/>
      <c r="Z56" s="85">
        <v>9920</v>
      </c>
      <c r="AA56" s="85">
        <v>8902</v>
      </c>
      <c r="AB56" s="84"/>
      <c r="AC56" s="86">
        <v>8177</v>
      </c>
      <c r="AD56" s="87">
        <v>5114</v>
      </c>
      <c r="AE56" s="84"/>
      <c r="AF56" s="88">
        <v>3122</v>
      </c>
      <c r="AG56" s="87">
        <v>3755</v>
      </c>
      <c r="AH56" s="84"/>
      <c r="AI56" s="88">
        <v>5533</v>
      </c>
      <c r="AJ56" s="89">
        <v>6560</v>
      </c>
      <c r="AK56" s="84"/>
      <c r="AL56" s="131">
        <f>SUM(B56,E56,H56,K56,N56,Q56,T56,W56,Z56,AC56,AF56,AI56)</f>
        <v>100786</v>
      </c>
      <c r="AM56" s="132">
        <f>SUM(C56,F56,I56,L56,O56,R56,U56,X56,AA56,AD56,AG56,AJ56)</f>
        <v>101803</v>
      </c>
      <c r="AN56" s="81">
        <f t="shared" si="2"/>
        <v>202589</v>
      </c>
      <c r="AO56" s="60"/>
      <c r="AP56" s="60"/>
    </row>
    <row r="57" spans="1:42" ht="16.5" thickBot="1" x14ac:dyDescent="0.3">
      <c r="A57" s="82" t="s">
        <v>72</v>
      </c>
      <c r="B57" s="83">
        <v>0</v>
      </c>
      <c r="C57" s="84">
        <v>0</v>
      </c>
      <c r="D57" s="84"/>
      <c r="E57" s="84">
        <v>0</v>
      </c>
      <c r="F57" s="84">
        <v>0</v>
      </c>
      <c r="G57" s="84"/>
      <c r="H57" s="84">
        <v>0</v>
      </c>
      <c r="I57" s="84">
        <v>0</v>
      </c>
      <c r="J57" s="84"/>
      <c r="K57" s="85">
        <v>0</v>
      </c>
      <c r="L57" s="85">
        <v>0</v>
      </c>
      <c r="M57" s="84"/>
      <c r="N57" s="85">
        <v>0</v>
      </c>
      <c r="O57" s="85">
        <v>0</v>
      </c>
      <c r="P57" s="84"/>
      <c r="Q57" s="85">
        <v>0</v>
      </c>
      <c r="R57" s="85">
        <v>0</v>
      </c>
      <c r="S57" s="84"/>
      <c r="T57" s="85">
        <v>0</v>
      </c>
      <c r="U57" s="85">
        <v>0</v>
      </c>
      <c r="V57" s="84"/>
      <c r="W57" s="85">
        <v>0</v>
      </c>
      <c r="X57" s="85">
        <v>4621</v>
      </c>
      <c r="Y57" s="84"/>
      <c r="Z57" s="85">
        <v>2623</v>
      </c>
      <c r="AA57" s="85">
        <v>0</v>
      </c>
      <c r="AB57" s="84"/>
      <c r="AC57" s="86">
        <v>2108</v>
      </c>
      <c r="AD57" s="87">
        <v>0</v>
      </c>
      <c r="AE57" s="84"/>
      <c r="AF57" s="88">
        <v>0</v>
      </c>
      <c r="AG57" s="87">
        <v>0</v>
      </c>
      <c r="AH57" s="84"/>
      <c r="AI57" s="88">
        <v>457</v>
      </c>
      <c r="AJ57" s="89">
        <v>397</v>
      </c>
      <c r="AK57" s="84"/>
      <c r="AL57" s="131">
        <f>SUM(B57,E57,H57,K57,N57,Q57,T57,W57,Z57,AC57,AF57,AI57)</f>
        <v>5188</v>
      </c>
      <c r="AM57" s="132">
        <f>SUM(C57,F57,I57,L57,O57,R57,U57,X57,AA57,AD57,AG57,AJ57)</f>
        <v>5018</v>
      </c>
      <c r="AN57" s="81">
        <f t="shared" si="2"/>
        <v>10206</v>
      </c>
      <c r="AO57" s="60"/>
      <c r="AP57" s="60"/>
    </row>
    <row r="58" spans="1:42" ht="16.5" thickBot="1" x14ac:dyDescent="0.3">
      <c r="A58" s="82" t="s">
        <v>73</v>
      </c>
      <c r="B58" s="83">
        <v>128375</v>
      </c>
      <c r="C58" s="84">
        <v>143822</v>
      </c>
      <c r="D58" s="84"/>
      <c r="E58" s="84">
        <v>100056</v>
      </c>
      <c r="F58" s="84">
        <v>115589</v>
      </c>
      <c r="G58" s="84"/>
      <c r="H58" s="84">
        <v>123244</v>
      </c>
      <c r="I58" s="84">
        <v>130284</v>
      </c>
      <c r="J58" s="84"/>
      <c r="K58" s="85">
        <v>114847</v>
      </c>
      <c r="L58" s="85">
        <v>131312</v>
      </c>
      <c r="M58" s="84"/>
      <c r="N58" s="85">
        <v>119472</v>
      </c>
      <c r="O58" s="85">
        <v>124522</v>
      </c>
      <c r="P58" s="84"/>
      <c r="Q58" s="85">
        <v>112759</v>
      </c>
      <c r="R58" s="85">
        <v>117077</v>
      </c>
      <c r="S58" s="84"/>
      <c r="T58" s="85">
        <v>122789</v>
      </c>
      <c r="U58" s="85">
        <v>131764</v>
      </c>
      <c r="V58" s="84"/>
      <c r="W58" s="85">
        <v>125897</v>
      </c>
      <c r="X58" s="85">
        <v>146048</v>
      </c>
      <c r="Y58" s="84"/>
      <c r="Z58" s="85">
        <v>122406</v>
      </c>
      <c r="AA58" s="85">
        <v>114470</v>
      </c>
      <c r="AB58" s="84"/>
      <c r="AC58" s="86">
        <v>109349</v>
      </c>
      <c r="AD58" s="87">
        <v>111827</v>
      </c>
      <c r="AE58" s="84"/>
      <c r="AF58" s="88">
        <v>113656</v>
      </c>
      <c r="AG58" s="87">
        <v>108110</v>
      </c>
      <c r="AH58" s="84"/>
      <c r="AI58" s="88">
        <v>151368</v>
      </c>
      <c r="AJ58" s="89">
        <v>126871</v>
      </c>
      <c r="AK58" s="84"/>
      <c r="AL58" s="131">
        <f>SUM(B58,E58,H58,K58,N58,Q58,T58,W58,Z58,AC58,AF58,AI58)</f>
        <v>1444218</v>
      </c>
      <c r="AM58" s="132">
        <f>SUM(C58,F58,I58,L58,O58,R58,U58,X58,AA58,AD58,AG58,AJ58)</f>
        <v>1501696</v>
      </c>
      <c r="AN58" s="81">
        <f t="shared" si="2"/>
        <v>2945914</v>
      </c>
      <c r="AO58" s="60"/>
      <c r="AP58" s="60"/>
    </row>
    <row r="59" spans="1:42" ht="16.5" thickBot="1" x14ac:dyDescent="0.3">
      <c r="A59" s="82" t="s">
        <v>74</v>
      </c>
      <c r="B59" s="83">
        <v>40</v>
      </c>
      <c r="C59" s="84">
        <v>31</v>
      </c>
      <c r="D59" s="84"/>
      <c r="E59" s="84">
        <v>33</v>
      </c>
      <c r="F59" s="84">
        <v>3</v>
      </c>
      <c r="G59" s="84"/>
      <c r="H59" s="84">
        <v>0</v>
      </c>
      <c r="I59" s="84">
        <v>3</v>
      </c>
      <c r="J59" s="84"/>
      <c r="K59" s="85">
        <v>0</v>
      </c>
      <c r="L59" s="85">
        <v>0</v>
      </c>
      <c r="M59" s="84"/>
      <c r="N59" s="85">
        <v>0</v>
      </c>
      <c r="O59" s="85">
        <v>11</v>
      </c>
      <c r="P59" s="84"/>
      <c r="Q59" s="85">
        <v>0</v>
      </c>
      <c r="R59" s="85">
        <v>20</v>
      </c>
      <c r="S59" s="84"/>
      <c r="T59" s="85">
        <v>24</v>
      </c>
      <c r="U59" s="85">
        <v>6</v>
      </c>
      <c r="V59" s="84"/>
      <c r="W59" s="85">
        <v>6</v>
      </c>
      <c r="X59" s="85">
        <v>3848</v>
      </c>
      <c r="Y59" s="84"/>
      <c r="Z59" s="85">
        <v>3344</v>
      </c>
      <c r="AA59" s="85">
        <v>13</v>
      </c>
      <c r="AB59" s="84"/>
      <c r="AC59" s="86">
        <v>3344</v>
      </c>
      <c r="AD59" s="87">
        <v>13</v>
      </c>
      <c r="AE59" s="84"/>
      <c r="AF59" s="88">
        <v>502</v>
      </c>
      <c r="AG59" s="87">
        <v>6</v>
      </c>
      <c r="AH59" s="84"/>
      <c r="AI59" s="88">
        <v>29</v>
      </c>
      <c r="AJ59" s="89">
        <v>42</v>
      </c>
      <c r="AK59" s="84"/>
      <c r="AL59" s="131">
        <f>SUM(B59,E59,H59,K59,N59,Q59,T59,W59,Z59,AC59,AF59,AI59)</f>
        <v>7322</v>
      </c>
      <c r="AM59" s="132">
        <f>SUM(C59,F59,I59,L59,O59,R59,U59,X59,AA59,AD59,AG59,AJ59)</f>
        <v>3996</v>
      </c>
      <c r="AN59" s="81">
        <f t="shared" si="2"/>
        <v>11318</v>
      </c>
      <c r="AO59" s="60"/>
      <c r="AP59" s="60"/>
    </row>
    <row r="60" spans="1:42" ht="16.5" thickBot="1" x14ac:dyDescent="0.3">
      <c r="A60" s="82" t="s">
        <v>32</v>
      </c>
      <c r="B60" s="83">
        <v>0</v>
      </c>
      <c r="C60" s="84">
        <v>0</v>
      </c>
      <c r="D60" s="84"/>
      <c r="E60" s="84">
        <v>0</v>
      </c>
      <c r="F60" s="84">
        <v>0</v>
      </c>
      <c r="G60" s="84"/>
      <c r="H60" s="84">
        <v>0</v>
      </c>
      <c r="I60" s="84">
        <v>0</v>
      </c>
      <c r="J60" s="84"/>
      <c r="K60" s="85">
        <v>0</v>
      </c>
      <c r="L60" s="85">
        <v>0</v>
      </c>
      <c r="M60" s="84"/>
      <c r="N60" s="85">
        <v>0</v>
      </c>
      <c r="O60" s="85">
        <v>0</v>
      </c>
      <c r="P60" s="84"/>
      <c r="Q60" s="85">
        <v>0</v>
      </c>
      <c r="R60" s="85">
        <v>0</v>
      </c>
      <c r="S60" s="84"/>
      <c r="T60" s="85">
        <v>0</v>
      </c>
      <c r="U60" s="85">
        <v>0</v>
      </c>
      <c r="V60" s="84"/>
      <c r="W60" s="85">
        <v>0</v>
      </c>
      <c r="X60" s="85">
        <v>3697</v>
      </c>
      <c r="Y60" s="84"/>
      <c r="Z60" s="85">
        <v>0</v>
      </c>
      <c r="AA60" s="85">
        <v>0</v>
      </c>
      <c r="AB60" s="84"/>
      <c r="AC60" s="96">
        <v>2298</v>
      </c>
      <c r="AD60" s="87">
        <v>20</v>
      </c>
      <c r="AE60" s="84"/>
      <c r="AF60" s="88">
        <v>0</v>
      </c>
      <c r="AG60" s="87">
        <v>0</v>
      </c>
      <c r="AH60" s="84"/>
      <c r="AI60" s="88">
        <v>0</v>
      </c>
      <c r="AJ60" s="89">
        <v>0</v>
      </c>
      <c r="AK60" s="84"/>
      <c r="AL60" s="131">
        <f>SUM(B60,E60,H60,K60,N60,Q60,T60,W60,Z60,AC60,AF60,AI60)</f>
        <v>2298</v>
      </c>
      <c r="AM60" s="132">
        <f>SUM(C60,F60,I60,L60,O60,R60,U60,X60,AA60,AD60,AG60,AJ60)</f>
        <v>3717</v>
      </c>
      <c r="AN60" s="81">
        <f t="shared" si="2"/>
        <v>6015</v>
      </c>
      <c r="AO60" s="60"/>
      <c r="AP60" s="60"/>
    </row>
    <row r="61" spans="1:42" ht="16.5" thickBot="1" x14ac:dyDescent="0.3">
      <c r="A61" s="82" t="s">
        <v>75</v>
      </c>
      <c r="B61" s="83">
        <v>4207</v>
      </c>
      <c r="C61" s="84">
        <v>5140</v>
      </c>
      <c r="D61" s="84"/>
      <c r="E61" s="84">
        <v>2691</v>
      </c>
      <c r="F61" s="84">
        <v>3099</v>
      </c>
      <c r="G61" s="84"/>
      <c r="H61" s="84">
        <v>4424</v>
      </c>
      <c r="I61" s="84">
        <v>4051</v>
      </c>
      <c r="J61" s="84"/>
      <c r="K61" s="85">
        <v>3765</v>
      </c>
      <c r="L61" s="85">
        <v>4514</v>
      </c>
      <c r="M61" s="84"/>
      <c r="N61" s="85">
        <v>3618</v>
      </c>
      <c r="O61" s="85">
        <v>3093</v>
      </c>
      <c r="P61" s="84"/>
      <c r="Q61" s="85">
        <v>3120</v>
      </c>
      <c r="R61" s="85">
        <v>3223</v>
      </c>
      <c r="S61" s="84"/>
      <c r="T61" s="85">
        <v>4009</v>
      </c>
      <c r="U61" s="85">
        <v>4450</v>
      </c>
      <c r="V61" s="84"/>
      <c r="W61" s="85">
        <v>4201</v>
      </c>
      <c r="X61" s="85">
        <v>4937</v>
      </c>
      <c r="Y61" s="84"/>
      <c r="Z61" s="85">
        <v>3950</v>
      </c>
      <c r="AA61" s="85">
        <v>3497</v>
      </c>
      <c r="AB61" s="84"/>
      <c r="AC61" s="86">
        <v>3382</v>
      </c>
      <c r="AD61" s="87">
        <v>3159</v>
      </c>
      <c r="AE61" s="84"/>
      <c r="AF61" s="88">
        <v>2930</v>
      </c>
      <c r="AG61" s="87">
        <v>2602</v>
      </c>
      <c r="AH61" s="84"/>
      <c r="AI61" s="88">
        <v>6107</v>
      </c>
      <c r="AJ61" s="89">
        <v>3330</v>
      </c>
      <c r="AK61" s="84"/>
      <c r="AL61" s="131">
        <f>SUM(B61,E61,H61,K61,N61,Q61,T61,W61,Z61,AC61,AF61,AI61)</f>
        <v>46404</v>
      </c>
      <c r="AM61" s="132">
        <f>SUM(C61,F61,I61,L61,O61,R61,U61,X61,AA61,AD61,AG61,AJ61)</f>
        <v>45095</v>
      </c>
      <c r="AN61" s="81">
        <f t="shared" si="2"/>
        <v>91499</v>
      </c>
      <c r="AO61" s="60"/>
      <c r="AP61" s="60"/>
    </row>
    <row r="62" spans="1:42" ht="16.5" thickBot="1" x14ac:dyDescent="0.3">
      <c r="A62" s="82" t="s">
        <v>76</v>
      </c>
      <c r="B62" s="83">
        <v>0</v>
      </c>
      <c r="C62" s="84">
        <v>0</v>
      </c>
      <c r="D62" s="84"/>
      <c r="E62" s="84">
        <v>0</v>
      </c>
      <c r="F62" s="84">
        <v>0</v>
      </c>
      <c r="G62" s="84"/>
      <c r="H62" s="84">
        <v>0</v>
      </c>
      <c r="I62" s="84">
        <v>0</v>
      </c>
      <c r="J62" s="84"/>
      <c r="K62" s="85">
        <v>0</v>
      </c>
      <c r="L62" s="85">
        <v>0</v>
      </c>
      <c r="M62" s="84"/>
      <c r="N62" s="85">
        <v>0</v>
      </c>
      <c r="O62" s="85">
        <v>0</v>
      </c>
      <c r="P62" s="84"/>
      <c r="Q62" s="85">
        <v>0</v>
      </c>
      <c r="R62" s="85">
        <v>218</v>
      </c>
      <c r="S62" s="84"/>
      <c r="T62" s="85">
        <v>231</v>
      </c>
      <c r="U62" s="85">
        <v>0</v>
      </c>
      <c r="V62" s="84"/>
      <c r="W62" s="85">
        <v>19</v>
      </c>
      <c r="X62" s="85">
        <v>8794</v>
      </c>
      <c r="Y62" s="84"/>
      <c r="Z62" s="85">
        <v>6195</v>
      </c>
      <c r="AA62" s="85">
        <v>502</v>
      </c>
      <c r="AB62" s="84"/>
      <c r="AC62" s="86">
        <v>2532</v>
      </c>
      <c r="AD62" s="87">
        <v>0</v>
      </c>
      <c r="AE62" s="84"/>
      <c r="AF62" s="88">
        <v>0</v>
      </c>
      <c r="AG62" s="87">
        <v>0</v>
      </c>
      <c r="AH62" s="84"/>
      <c r="AI62" s="88">
        <v>409</v>
      </c>
      <c r="AJ62" s="89">
        <v>457</v>
      </c>
      <c r="AK62" s="84"/>
      <c r="AL62" s="131">
        <f>SUM(B62,E62,H62,K62,N62,Q62,T62,W62,Z62,AC62,AF62,AI62)</f>
        <v>9386</v>
      </c>
      <c r="AM62" s="132">
        <f>SUM(C62,F62,I62,L62,O62,R62,U62,X62,AA62,AD62,AG62,AJ62)</f>
        <v>9971</v>
      </c>
      <c r="AN62" s="81">
        <f t="shared" si="2"/>
        <v>19357</v>
      </c>
      <c r="AO62" s="60"/>
      <c r="AP62" s="60"/>
    </row>
    <row r="63" spans="1:42" ht="16.5" thickBot="1" x14ac:dyDescent="0.3">
      <c r="A63" s="71" t="s">
        <v>77</v>
      </c>
      <c r="B63" s="83">
        <v>0</v>
      </c>
      <c r="C63" s="84">
        <v>0</v>
      </c>
      <c r="D63" s="84"/>
      <c r="E63" s="84">
        <v>0</v>
      </c>
      <c r="F63" s="84">
        <v>0</v>
      </c>
      <c r="G63" s="84"/>
      <c r="H63" s="84">
        <v>78</v>
      </c>
      <c r="I63" s="84">
        <v>0</v>
      </c>
      <c r="J63" s="84"/>
      <c r="K63" s="92">
        <v>346</v>
      </c>
      <c r="L63" s="92">
        <v>0</v>
      </c>
      <c r="M63" s="84"/>
      <c r="N63" s="90">
        <v>0</v>
      </c>
      <c r="O63" s="90">
        <v>0</v>
      </c>
      <c r="P63" s="84"/>
      <c r="Q63" s="90">
        <v>0</v>
      </c>
      <c r="R63" s="90">
        <v>0</v>
      </c>
      <c r="S63" s="84"/>
      <c r="T63" s="85">
        <v>0</v>
      </c>
      <c r="U63" s="85">
        <v>0</v>
      </c>
      <c r="V63" s="84"/>
      <c r="W63" s="85">
        <v>0</v>
      </c>
      <c r="X63" s="85">
        <v>0</v>
      </c>
      <c r="Y63" s="84"/>
      <c r="Z63" s="85">
        <v>0</v>
      </c>
      <c r="AA63" s="85">
        <v>0</v>
      </c>
      <c r="AB63" s="84"/>
      <c r="AC63" s="88">
        <v>0</v>
      </c>
      <c r="AD63" s="87">
        <v>0</v>
      </c>
      <c r="AE63" s="84"/>
      <c r="AF63" s="88">
        <v>0</v>
      </c>
      <c r="AG63" s="87">
        <v>0</v>
      </c>
      <c r="AH63" s="84"/>
      <c r="AI63" s="88">
        <v>0</v>
      </c>
      <c r="AJ63" s="89">
        <v>0</v>
      </c>
      <c r="AK63" s="84"/>
      <c r="AL63" s="131">
        <f>SUM(B63,E63,H63,K63,N63,Q63,T63,W63,Z63,AC63,AF63,AI63)</f>
        <v>424</v>
      </c>
      <c r="AM63" s="132">
        <f>SUM(C63,F63,I63,L63,O63,R63,U63,X63,AA63,AD63,AG63,AJ63)</f>
        <v>0</v>
      </c>
      <c r="AN63" s="81">
        <f t="shared" si="2"/>
        <v>424</v>
      </c>
      <c r="AO63" s="60"/>
      <c r="AP63" s="60"/>
    </row>
    <row r="64" spans="1:42" ht="16.5" thickBot="1" x14ac:dyDescent="0.3">
      <c r="A64" s="94" t="s">
        <v>78</v>
      </c>
      <c r="B64" s="100">
        <v>0</v>
      </c>
      <c r="C64" s="101">
        <v>0</v>
      </c>
      <c r="D64" s="101"/>
      <c r="E64" s="101">
        <v>0</v>
      </c>
      <c r="F64" s="101">
        <v>0</v>
      </c>
      <c r="G64" s="101"/>
      <c r="H64" s="101">
        <v>0</v>
      </c>
      <c r="I64" s="101">
        <v>0</v>
      </c>
      <c r="J64" s="101"/>
      <c r="K64" s="102">
        <v>0</v>
      </c>
      <c r="L64" s="102">
        <v>0</v>
      </c>
      <c r="M64" s="101"/>
      <c r="N64" s="102">
        <v>0</v>
      </c>
      <c r="O64" s="102">
        <v>0</v>
      </c>
      <c r="P64" s="101"/>
      <c r="Q64" s="102">
        <v>0</v>
      </c>
      <c r="R64" s="102">
        <v>0</v>
      </c>
      <c r="S64" s="101"/>
      <c r="T64" s="102">
        <v>0</v>
      </c>
      <c r="U64" s="102">
        <v>0</v>
      </c>
      <c r="V64" s="101"/>
      <c r="W64" s="102">
        <v>10</v>
      </c>
      <c r="X64" s="102">
        <v>3325</v>
      </c>
      <c r="Y64" s="101"/>
      <c r="Z64" s="102">
        <v>2061</v>
      </c>
      <c r="AA64" s="102">
        <v>4</v>
      </c>
      <c r="AB64" s="101"/>
      <c r="AC64" s="134">
        <v>854</v>
      </c>
      <c r="AD64" s="104">
        <v>3</v>
      </c>
      <c r="AE64" s="101"/>
      <c r="AF64" s="103">
        <v>52</v>
      </c>
      <c r="AG64" s="104">
        <v>350</v>
      </c>
      <c r="AH64" s="101"/>
      <c r="AI64" s="103">
        <v>1061</v>
      </c>
      <c r="AJ64" s="105">
        <v>357</v>
      </c>
      <c r="AK64" s="101"/>
      <c r="AL64" s="131">
        <f>SUM(B64,E64,H64,K64,N64,Q64,T64,W64,Z64,AC64,AF64,AI64)</f>
        <v>4038</v>
      </c>
      <c r="AM64" s="132">
        <f>SUM(C64,F64,I64,L64,O64,R64,U64,X64,AA64,AD64,AG64,AJ64)</f>
        <v>4039</v>
      </c>
      <c r="AN64" s="81">
        <f t="shared" si="2"/>
        <v>8077</v>
      </c>
      <c r="AO64" s="60"/>
      <c r="AP64" s="60"/>
    </row>
    <row r="65" spans="1:42" ht="16.5" thickBot="1" x14ac:dyDescent="0.3">
      <c r="A65" s="135" t="s">
        <v>38</v>
      </c>
      <c r="B65" s="136">
        <f t="shared" ref="B65:AJ65" si="3">SUM(B48:B64)</f>
        <v>184241</v>
      </c>
      <c r="C65" s="137">
        <f t="shared" si="3"/>
        <v>199513</v>
      </c>
      <c r="D65" s="362">
        <f>B65+C65</f>
        <v>383754</v>
      </c>
      <c r="E65" s="136">
        <f t="shared" si="3"/>
        <v>143665</v>
      </c>
      <c r="F65" s="137">
        <f t="shared" si="3"/>
        <v>156385</v>
      </c>
      <c r="G65" s="362">
        <f>E65+F65</f>
        <v>300050</v>
      </c>
      <c r="H65" s="136">
        <f t="shared" si="3"/>
        <v>171034</v>
      </c>
      <c r="I65" s="137">
        <f t="shared" si="3"/>
        <v>183146</v>
      </c>
      <c r="J65" s="362">
        <f>H65+I65</f>
        <v>354180</v>
      </c>
      <c r="K65" s="136">
        <f t="shared" si="3"/>
        <v>167626</v>
      </c>
      <c r="L65" s="137">
        <f t="shared" si="3"/>
        <v>187338</v>
      </c>
      <c r="M65" s="362">
        <f>K65+L65</f>
        <v>354964</v>
      </c>
      <c r="N65" s="136">
        <f t="shared" si="3"/>
        <v>173831</v>
      </c>
      <c r="O65" s="137">
        <f t="shared" si="3"/>
        <v>175703</v>
      </c>
      <c r="P65" s="362">
        <f>N65+O65</f>
        <v>349534</v>
      </c>
      <c r="Q65" s="136">
        <f t="shared" si="3"/>
        <v>160736</v>
      </c>
      <c r="R65" s="137">
        <f t="shared" si="3"/>
        <v>171343</v>
      </c>
      <c r="S65" s="362">
        <f>Q65+R65</f>
        <v>332079</v>
      </c>
      <c r="T65" s="136">
        <f t="shared" si="3"/>
        <v>184471</v>
      </c>
      <c r="U65" s="137">
        <f t="shared" si="3"/>
        <v>181560</v>
      </c>
      <c r="V65" s="362">
        <f>T65+U65</f>
        <v>366031</v>
      </c>
      <c r="W65" s="136">
        <f t="shared" si="3"/>
        <v>176563</v>
      </c>
      <c r="X65" s="137">
        <f t="shared" si="3"/>
        <v>259501</v>
      </c>
      <c r="Y65" s="362">
        <f>W65+X65</f>
        <v>436064</v>
      </c>
      <c r="Z65" s="136">
        <f t="shared" si="3"/>
        <v>208326</v>
      </c>
      <c r="AA65" s="137">
        <f t="shared" si="3"/>
        <v>169138</v>
      </c>
      <c r="AB65" s="362">
        <f>Z65+AA65</f>
        <v>377464</v>
      </c>
      <c r="AC65" s="108">
        <f t="shared" si="3"/>
        <v>175482</v>
      </c>
      <c r="AD65" s="109">
        <f t="shared" si="3"/>
        <v>158376</v>
      </c>
      <c r="AE65" s="362">
        <f>AC65+AD65</f>
        <v>333858</v>
      </c>
      <c r="AF65" s="108">
        <f t="shared" si="3"/>
        <v>148398</v>
      </c>
      <c r="AG65" s="109">
        <f t="shared" si="3"/>
        <v>142224</v>
      </c>
      <c r="AH65" s="362">
        <f>AF65+AG65</f>
        <v>290622</v>
      </c>
      <c r="AI65" s="108">
        <f t="shared" si="3"/>
        <v>205403</v>
      </c>
      <c r="AJ65" s="109">
        <f t="shared" si="3"/>
        <v>176986</v>
      </c>
      <c r="AK65" s="362">
        <f>AI65+AJ65</f>
        <v>382389</v>
      </c>
      <c r="AL65" s="138">
        <f>SUM(B65,E65,H65,K65,N65,Q65,T65,W65,Z65,AC65,AF65,AI65)</f>
        <v>2099776</v>
      </c>
      <c r="AM65" s="132">
        <f>SUM(C65,F65,I65,L65,O65,R65,U65,X65,AA65,AD65,AG65,AJ65)</f>
        <v>2161213</v>
      </c>
      <c r="AN65" s="81">
        <f t="shared" si="2"/>
        <v>4260989</v>
      </c>
      <c r="AO65" s="60"/>
      <c r="AP65" s="60"/>
    </row>
    <row r="66" spans="1:42" x14ac:dyDescent="0.25"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</row>
  </sheetData>
  <mergeCells count="2">
    <mergeCell ref="AL46:AM46"/>
    <mergeCell ref="AN46:AN4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43"/>
  <sheetViews>
    <sheetView workbookViewId="0">
      <selection sqref="A1:O1"/>
    </sheetView>
  </sheetViews>
  <sheetFormatPr defaultRowHeight="15" x14ac:dyDescent="0.25"/>
  <cols>
    <col min="1" max="1" width="14.7109375" customWidth="1"/>
    <col min="2" max="15" width="14.42578125" customWidth="1"/>
    <col min="16" max="30" width="11.42578125" customWidth="1"/>
  </cols>
  <sheetData>
    <row r="1" spans="1:30" s="2" customFormat="1" ht="19.5" x14ac:dyDescent="0.4">
      <c r="A1" s="313"/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</row>
    <row r="2" spans="1:30" s="2" customFormat="1" ht="19.5" x14ac:dyDescent="0.4">
      <c r="A2" s="313"/>
      <c r="B2" s="313"/>
      <c r="C2" s="313"/>
      <c r="D2" s="313"/>
      <c r="E2" s="313"/>
      <c r="F2" s="313"/>
      <c r="G2" s="313"/>
      <c r="H2" s="313"/>
      <c r="I2" s="313"/>
      <c r="J2" s="313"/>
      <c r="K2" s="313"/>
      <c r="L2" s="313"/>
      <c r="M2" s="313"/>
      <c r="N2" s="313"/>
      <c r="O2" s="313"/>
    </row>
    <row r="3" spans="1:30" s="2" customFormat="1" ht="19.5" x14ac:dyDescent="0.4">
      <c r="A3" s="313" t="s">
        <v>117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</row>
    <row r="4" spans="1:30" ht="19.5" x14ac:dyDescent="0.4">
      <c r="A4" s="313" t="s">
        <v>102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</row>
    <row r="7" spans="1:30" ht="22.5" x14ac:dyDescent="0.45">
      <c r="A7" s="7"/>
      <c r="B7" s="314" t="s">
        <v>1</v>
      </c>
      <c r="C7" s="315"/>
      <c r="D7" s="314" t="s">
        <v>39</v>
      </c>
      <c r="E7" s="315"/>
      <c r="F7" s="314" t="s">
        <v>2</v>
      </c>
      <c r="G7" s="315"/>
      <c r="H7" s="314" t="s">
        <v>40</v>
      </c>
      <c r="I7" s="316"/>
      <c r="J7" s="314" t="s">
        <v>3</v>
      </c>
      <c r="K7" s="315"/>
      <c r="L7" s="314" t="s">
        <v>4</v>
      </c>
      <c r="M7" s="315"/>
      <c r="N7" s="314" t="s">
        <v>5</v>
      </c>
      <c r="O7" s="315"/>
      <c r="P7" s="314" t="s">
        <v>41</v>
      </c>
      <c r="Q7" s="315"/>
      <c r="R7" s="314" t="s">
        <v>42</v>
      </c>
      <c r="S7" s="315"/>
      <c r="T7" s="310" t="s">
        <v>43</v>
      </c>
      <c r="U7" s="311"/>
      <c r="V7" s="310" t="s">
        <v>44</v>
      </c>
      <c r="W7" s="311"/>
      <c r="X7" s="310" t="s">
        <v>45</v>
      </c>
      <c r="Y7" s="311"/>
      <c r="Z7" s="8"/>
      <c r="AA7" s="9"/>
      <c r="AB7" s="10">
        <v>2014</v>
      </c>
      <c r="AC7" s="10">
        <v>2013</v>
      </c>
      <c r="AD7" s="11"/>
    </row>
    <row r="8" spans="1:30" ht="19.5" x14ac:dyDescent="0.4">
      <c r="A8" s="7" t="s">
        <v>57</v>
      </c>
      <c r="B8" s="7" t="s">
        <v>49</v>
      </c>
      <c r="C8" s="7" t="s">
        <v>50</v>
      </c>
      <c r="D8" s="7" t="s">
        <v>49</v>
      </c>
      <c r="E8" s="7" t="s">
        <v>50</v>
      </c>
      <c r="F8" s="7" t="s">
        <v>49</v>
      </c>
      <c r="G8" s="7" t="s">
        <v>50</v>
      </c>
      <c r="H8" s="7" t="s">
        <v>49</v>
      </c>
      <c r="I8" s="7" t="s">
        <v>50</v>
      </c>
      <c r="J8" s="7" t="s">
        <v>49</v>
      </c>
      <c r="K8" s="7" t="s">
        <v>50</v>
      </c>
      <c r="L8" s="7" t="s">
        <v>49</v>
      </c>
      <c r="M8" s="7" t="s">
        <v>50</v>
      </c>
      <c r="N8" s="7" t="s">
        <v>49</v>
      </c>
      <c r="O8" s="7" t="s">
        <v>50</v>
      </c>
      <c r="P8" s="7" t="s">
        <v>49</v>
      </c>
      <c r="Q8" s="7" t="s">
        <v>50</v>
      </c>
      <c r="R8" s="7" t="s">
        <v>49</v>
      </c>
      <c r="S8" s="7" t="s">
        <v>50</v>
      </c>
      <c r="T8" s="7" t="s">
        <v>49</v>
      </c>
      <c r="U8" s="7" t="s">
        <v>50</v>
      </c>
      <c r="V8" s="7" t="s">
        <v>49</v>
      </c>
      <c r="W8" s="7" t="s">
        <v>50</v>
      </c>
      <c r="X8" s="7" t="s">
        <v>49</v>
      </c>
      <c r="Y8" s="7" t="s">
        <v>50</v>
      </c>
      <c r="Z8" s="15" t="s">
        <v>49</v>
      </c>
      <c r="AA8" s="15" t="s">
        <v>50</v>
      </c>
      <c r="AB8" s="15" t="s">
        <v>47</v>
      </c>
      <c r="AC8" s="7" t="s">
        <v>47</v>
      </c>
      <c r="AD8" s="7" t="s">
        <v>6</v>
      </c>
    </row>
    <row r="9" spans="1:30" ht="18.75" x14ac:dyDescent="0.4">
      <c r="A9" s="4" t="s">
        <v>7</v>
      </c>
      <c r="B9" s="139">
        <f>1698+385+111+461</f>
        <v>2655</v>
      </c>
      <c r="C9" s="139">
        <f>1683+394+97+522</f>
        <v>2696</v>
      </c>
      <c r="D9" s="139">
        <f>1725+346+48+562</f>
        <v>2681</v>
      </c>
      <c r="E9" s="139">
        <f>1744+347+47+576</f>
        <v>2714</v>
      </c>
      <c r="F9" s="139">
        <f>1918+421+152+606</f>
        <v>3097</v>
      </c>
      <c r="G9" s="139">
        <f>1893+543+152+598</f>
        <v>3186</v>
      </c>
      <c r="H9" s="139">
        <f>1907+440+129+606</f>
        <v>3082</v>
      </c>
      <c r="I9" s="139">
        <f>1896+429+128+603</f>
        <v>3056</v>
      </c>
      <c r="J9" s="139">
        <f>1833+410+118+574</f>
        <v>2935</v>
      </c>
      <c r="K9" s="139">
        <f>1838+421+112+579</f>
        <v>2950</v>
      </c>
      <c r="L9" s="139">
        <f>1939+579+100+691</f>
        <v>3309</v>
      </c>
      <c r="M9" s="139">
        <f>1940+626+102+699</f>
        <v>3367</v>
      </c>
      <c r="N9" s="139">
        <f>1995+521+115+608</f>
        <v>3239</v>
      </c>
      <c r="O9" s="139">
        <f>1904+523+106+631</f>
        <v>3164</v>
      </c>
      <c r="P9" s="139">
        <f>2003+452+107+660</f>
        <v>3222</v>
      </c>
      <c r="Q9" s="139">
        <f>2014+446+110+668</f>
        <v>3238</v>
      </c>
      <c r="R9" s="238">
        <f>2054+435+115+684</f>
        <v>3288</v>
      </c>
      <c r="S9" s="238">
        <f>2060+440+124+656</f>
        <v>3280</v>
      </c>
      <c r="T9" s="12">
        <f>1953+460+138+682</f>
        <v>3233</v>
      </c>
      <c r="U9" s="12">
        <f>1920+477+130+680</f>
        <v>3207</v>
      </c>
      <c r="V9" s="139">
        <f>2236+576+136+771</f>
        <v>3719</v>
      </c>
      <c r="W9" s="139">
        <f>2249+564+135+777</f>
        <v>3725</v>
      </c>
      <c r="X9" s="12">
        <f>2369+416+135+773</f>
        <v>3693</v>
      </c>
      <c r="Y9" s="12">
        <f>2369+437+169+778</f>
        <v>3753</v>
      </c>
      <c r="Z9" s="12">
        <f>B9+D9+F9+H9+J9+L9+N9+P9+R9+T9+V9+X9</f>
        <v>38153</v>
      </c>
      <c r="AA9" s="12">
        <f>C9+E9+G9+I9+K9+M9+O9+Q9+S9+U9+W9+Y9</f>
        <v>38336</v>
      </c>
      <c r="AB9" s="21">
        <f t="shared" ref="AB9:AB42" si="0">SUM(Z9:AA9)</f>
        <v>76489</v>
      </c>
      <c r="AC9" s="139">
        <v>65006</v>
      </c>
      <c r="AD9" s="12">
        <f>(AB9-AC9)*100/AC9</f>
        <v>17.664523274774638</v>
      </c>
    </row>
    <row r="10" spans="1:30" ht="18.75" x14ac:dyDescent="0.4">
      <c r="A10" s="4" t="s">
        <v>51</v>
      </c>
      <c r="B10" s="139">
        <f>1021+134+263</f>
        <v>1418</v>
      </c>
      <c r="C10" s="139">
        <f>1004+119+263</f>
        <v>1386</v>
      </c>
      <c r="D10" s="139">
        <f>924+97+220</f>
        <v>1241</v>
      </c>
      <c r="E10" s="139">
        <f>913+89+220</f>
        <v>1222</v>
      </c>
      <c r="F10" s="139">
        <f>1017+117+238</f>
        <v>1372</v>
      </c>
      <c r="G10" s="139">
        <f>1001+106+238</f>
        <v>1345</v>
      </c>
      <c r="H10" s="139">
        <f>1112+201+216</f>
        <v>1529</v>
      </c>
      <c r="I10" s="139">
        <f>1122+209+216</f>
        <v>1547</v>
      </c>
      <c r="J10" s="139">
        <f>1056+146+290</f>
        <v>1492</v>
      </c>
      <c r="K10" s="139">
        <f>1062+119+290</f>
        <v>1471</v>
      </c>
      <c r="L10" s="139">
        <f>1011+123+216</f>
        <v>1350</v>
      </c>
      <c r="M10" s="139">
        <f>990+106+216</f>
        <v>1312</v>
      </c>
      <c r="N10" s="139">
        <f>1004+113+127</f>
        <v>1244</v>
      </c>
      <c r="O10" s="139">
        <f>1031+101+127</f>
        <v>1259</v>
      </c>
      <c r="P10" s="139">
        <f>1045+89+215</f>
        <v>1349</v>
      </c>
      <c r="Q10" s="139">
        <f>1051+89+215</f>
        <v>1355</v>
      </c>
      <c r="R10" s="238">
        <f>1049+124+264</f>
        <v>1437</v>
      </c>
      <c r="S10" s="238">
        <f>1058+99+264</f>
        <v>1421</v>
      </c>
      <c r="T10" s="12">
        <f>921+150+296</f>
        <v>1367</v>
      </c>
      <c r="U10" s="12">
        <f>917+188+296</f>
        <v>1401</v>
      </c>
      <c r="V10" s="139">
        <f>872+282+336</f>
        <v>1490</v>
      </c>
      <c r="W10" s="139">
        <f>872+282+341</f>
        <v>1495</v>
      </c>
      <c r="X10" s="12">
        <f>916+133+195</f>
        <v>1244</v>
      </c>
      <c r="Y10" s="12">
        <f>855+134+195</f>
        <v>1184</v>
      </c>
      <c r="Z10" s="12">
        <f t="shared" ref="Z10:AA41" si="1">B10+D10+F10+H10+J10+L10+N10+P10+R10+T10+V10+X10</f>
        <v>16533</v>
      </c>
      <c r="AA10" s="12">
        <f t="shared" si="1"/>
        <v>16398</v>
      </c>
      <c r="AB10" s="21">
        <f t="shared" si="0"/>
        <v>32931</v>
      </c>
      <c r="AC10" s="139">
        <v>31543</v>
      </c>
      <c r="AD10" s="12">
        <f t="shared" ref="AD10:AD42" si="2">(AB10-AC10)*100/AC10</f>
        <v>4.4003423897536695</v>
      </c>
    </row>
    <row r="11" spans="1:30" ht="18.75" x14ac:dyDescent="0.4">
      <c r="A11" s="4" t="s">
        <v>89</v>
      </c>
      <c r="B11" s="139">
        <f>1397+137+361</f>
        <v>1895</v>
      </c>
      <c r="C11" s="139">
        <f>1397+361</f>
        <v>1758</v>
      </c>
      <c r="D11" s="139">
        <f>1428+219+332</f>
        <v>1979</v>
      </c>
      <c r="E11" s="139">
        <f>1428+219+332</f>
        <v>1979</v>
      </c>
      <c r="F11" s="139">
        <f>1424+492</f>
        <v>1916</v>
      </c>
      <c r="G11" s="139">
        <f>1424+492</f>
        <v>1916</v>
      </c>
      <c r="H11" s="139">
        <f>1714+324+294</f>
        <v>2332</v>
      </c>
      <c r="I11" s="139">
        <f>1714+324+294</f>
        <v>2332</v>
      </c>
      <c r="J11" s="139">
        <f>1797+356+312</f>
        <v>2465</v>
      </c>
      <c r="K11" s="139">
        <f>1797+356+312</f>
        <v>2465</v>
      </c>
      <c r="L11" s="228">
        <f>1765+167+364</f>
        <v>2296</v>
      </c>
      <c r="M11" s="229">
        <f>1765+167+364</f>
        <v>2296</v>
      </c>
      <c r="N11" s="139">
        <f>1525+309+323</f>
        <v>2157</v>
      </c>
      <c r="O11" s="139">
        <f>1523+309+323</f>
        <v>2155</v>
      </c>
      <c r="P11" s="139">
        <f>1772+149+491</f>
        <v>2412</v>
      </c>
      <c r="Q11" s="139">
        <f>1772+149+491</f>
        <v>2412</v>
      </c>
      <c r="R11" s="238">
        <f>1733+227+532</f>
        <v>2492</v>
      </c>
      <c r="S11" s="238">
        <f>1733+227+532</f>
        <v>2492</v>
      </c>
      <c r="T11" s="12">
        <f>1724+314+676</f>
        <v>2714</v>
      </c>
      <c r="U11" s="12">
        <f>1724+314+676</f>
        <v>2714</v>
      </c>
      <c r="V11" s="139">
        <f>1893+523</f>
        <v>2416</v>
      </c>
      <c r="W11" s="139">
        <f>1993+523</f>
        <v>2516</v>
      </c>
      <c r="X11" s="12">
        <f>1960+924+267</f>
        <v>3151</v>
      </c>
      <c r="Y11" s="12">
        <f>1960+924+267</f>
        <v>3151</v>
      </c>
      <c r="Z11" s="12">
        <f t="shared" si="1"/>
        <v>28225</v>
      </c>
      <c r="AA11" s="12">
        <f t="shared" si="1"/>
        <v>28186</v>
      </c>
      <c r="AB11" s="21">
        <f t="shared" si="0"/>
        <v>56411</v>
      </c>
      <c r="AC11" s="139">
        <v>48561</v>
      </c>
      <c r="AD11" s="12">
        <f t="shared" si="2"/>
        <v>16.16523547702889</v>
      </c>
    </row>
    <row r="12" spans="1:30" ht="18.75" x14ac:dyDescent="0.4">
      <c r="A12" s="4" t="s">
        <v>90</v>
      </c>
      <c r="B12" s="139">
        <f>307+56</f>
        <v>363</v>
      </c>
      <c r="C12" s="139">
        <f>307+56</f>
        <v>363</v>
      </c>
      <c r="D12" s="139">
        <f>248+129</f>
        <v>377</v>
      </c>
      <c r="E12" s="139">
        <f>248+129</f>
        <v>377</v>
      </c>
      <c r="F12" s="139">
        <f>284+138</f>
        <v>422</v>
      </c>
      <c r="G12" s="139">
        <f>284+138</f>
        <v>422</v>
      </c>
      <c r="H12" s="139">
        <f>294+85</f>
        <v>379</v>
      </c>
      <c r="I12" s="139">
        <f>294+85</f>
        <v>379</v>
      </c>
      <c r="J12" s="139">
        <f>295+90</f>
        <v>385</v>
      </c>
      <c r="K12" s="139">
        <f>295+90</f>
        <v>385</v>
      </c>
      <c r="L12" s="228">
        <f>288+167</f>
        <v>455</v>
      </c>
      <c r="M12" s="229">
        <f>288+167</f>
        <v>455</v>
      </c>
      <c r="N12" s="139">
        <f>257+139</f>
        <v>396</v>
      </c>
      <c r="O12" s="139">
        <f>257+139</f>
        <v>396</v>
      </c>
      <c r="P12" s="139">
        <f>305+73</f>
        <v>378</v>
      </c>
      <c r="Q12" s="139">
        <f>305+73</f>
        <v>378</v>
      </c>
      <c r="R12" s="238">
        <v>379</v>
      </c>
      <c r="S12" s="238">
        <v>361</v>
      </c>
      <c r="T12" s="12">
        <f>306+111</f>
        <v>417</v>
      </c>
      <c r="U12" s="12">
        <f>306+111</f>
        <v>417</v>
      </c>
      <c r="V12" s="139">
        <f>271+94</f>
        <v>365</v>
      </c>
      <c r="W12" s="139">
        <f>271+94</f>
        <v>365</v>
      </c>
      <c r="X12" s="12">
        <f>317+126</f>
        <v>443</v>
      </c>
      <c r="Y12" s="12">
        <f>317+126</f>
        <v>443</v>
      </c>
      <c r="Z12" s="12">
        <f t="shared" si="1"/>
        <v>4759</v>
      </c>
      <c r="AA12" s="12">
        <f t="shared" si="1"/>
        <v>4741</v>
      </c>
      <c r="AB12" s="21">
        <f t="shared" si="0"/>
        <v>9500</v>
      </c>
      <c r="AC12" s="139">
        <v>8592</v>
      </c>
      <c r="AD12" s="12">
        <f t="shared" si="2"/>
        <v>10.567970204841712</v>
      </c>
    </row>
    <row r="13" spans="1:30" ht="18.75" x14ac:dyDescent="0.4">
      <c r="A13" s="4" t="s">
        <v>52</v>
      </c>
      <c r="B13" s="139">
        <f>558+252+26</f>
        <v>836</v>
      </c>
      <c r="C13" s="139">
        <f>557+252+26</f>
        <v>835</v>
      </c>
      <c r="D13" s="139">
        <f>538+270+33</f>
        <v>841</v>
      </c>
      <c r="E13" s="139">
        <f>542+268+35</f>
        <v>845</v>
      </c>
      <c r="F13" s="139">
        <f>591+291+38</f>
        <v>920</v>
      </c>
      <c r="G13" s="139">
        <f>591+291+45</f>
        <v>927</v>
      </c>
      <c r="H13" s="139">
        <f>563+352+111</f>
        <v>1026</v>
      </c>
      <c r="I13" s="139">
        <f>560+351+111</f>
        <v>1022</v>
      </c>
      <c r="J13" s="139">
        <f>549+279+47</f>
        <v>875</v>
      </c>
      <c r="K13" s="139">
        <f>551+279+47</f>
        <v>877</v>
      </c>
      <c r="L13" s="139">
        <f>556+264+26</f>
        <v>846</v>
      </c>
      <c r="M13" s="139">
        <f>557+267+26</f>
        <v>850</v>
      </c>
      <c r="N13" s="139">
        <f>554+41+269</f>
        <v>864</v>
      </c>
      <c r="O13" s="139">
        <f>553+41+270</f>
        <v>864</v>
      </c>
      <c r="P13" s="3">
        <f>562+280+28</f>
        <v>870</v>
      </c>
      <c r="Q13" s="3">
        <f>559+267+30</f>
        <v>856</v>
      </c>
      <c r="R13" s="139">
        <f>563+327+26</f>
        <v>916</v>
      </c>
      <c r="S13" s="139">
        <f>561+326+27</f>
        <v>914</v>
      </c>
      <c r="T13" s="12">
        <f>588+364+58</f>
        <v>1010</v>
      </c>
      <c r="U13" s="12">
        <f>589+354+59</f>
        <v>1002</v>
      </c>
      <c r="V13" s="139">
        <f>636+361</f>
        <v>997</v>
      </c>
      <c r="W13" s="139">
        <f>635+358</f>
        <v>993</v>
      </c>
      <c r="X13" s="12">
        <f>636+348+55</f>
        <v>1039</v>
      </c>
      <c r="Y13" s="12">
        <f>619+346+56</f>
        <v>1021</v>
      </c>
      <c r="Z13" s="12">
        <f t="shared" si="1"/>
        <v>11040</v>
      </c>
      <c r="AA13" s="12">
        <f t="shared" si="1"/>
        <v>11006</v>
      </c>
      <c r="AB13" s="21">
        <f t="shared" si="0"/>
        <v>22046</v>
      </c>
      <c r="AC13" s="139">
        <v>20782</v>
      </c>
      <c r="AD13" s="12">
        <f t="shared" si="2"/>
        <v>6.0821865075546144</v>
      </c>
    </row>
    <row r="14" spans="1:30" ht="18.75" x14ac:dyDescent="0.4">
      <c r="A14" s="4" t="s">
        <v>91</v>
      </c>
      <c r="B14" s="139">
        <f>58+48</f>
        <v>106</v>
      </c>
      <c r="C14" s="139">
        <f>58+48</f>
        <v>106</v>
      </c>
      <c r="D14" s="139">
        <f>45+43</f>
        <v>88</v>
      </c>
      <c r="E14" s="139">
        <f>45+43</f>
        <v>88</v>
      </c>
      <c r="F14" s="139">
        <f>60+41</f>
        <v>101</v>
      </c>
      <c r="G14" s="139">
        <f>60+41</f>
        <v>101</v>
      </c>
      <c r="H14" s="139">
        <f>57+50</f>
        <v>107</v>
      </c>
      <c r="I14" s="139">
        <f>57+50</f>
        <v>107</v>
      </c>
      <c r="J14" s="139">
        <f>62+39</f>
        <v>101</v>
      </c>
      <c r="K14" s="139">
        <f>62+40</f>
        <v>102</v>
      </c>
      <c r="L14" s="139">
        <f>60+56</f>
        <v>116</v>
      </c>
      <c r="M14" s="139">
        <f>60+58</f>
        <v>118</v>
      </c>
      <c r="N14" s="139">
        <f>61+49</f>
        <v>110</v>
      </c>
      <c r="O14" s="139">
        <f>61+48</f>
        <v>109</v>
      </c>
      <c r="P14" s="3">
        <f>62+34</f>
        <v>96</v>
      </c>
      <c r="Q14" s="3">
        <f>62+35</f>
        <v>97</v>
      </c>
      <c r="R14" s="139">
        <f>46+28</f>
        <v>74</v>
      </c>
      <c r="S14" s="139">
        <f>43+32</f>
        <v>75</v>
      </c>
      <c r="T14" s="12">
        <f>62+46</f>
        <v>108</v>
      </c>
      <c r="U14" s="12">
        <f>59+47</f>
        <v>106</v>
      </c>
      <c r="V14" s="139">
        <f>58+42</f>
        <v>100</v>
      </c>
      <c r="W14" s="139">
        <f>57+45</f>
        <v>102</v>
      </c>
      <c r="X14" s="12">
        <f>56+38</f>
        <v>94</v>
      </c>
      <c r="Y14" s="12">
        <f>56+58</f>
        <v>114</v>
      </c>
      <c r="Z14" s="12">
        <f t="shared" si="1"/>
        <v>1201</v>
      </c>
      <c r="AA14" s="12">
        <f t="shared" si="1"/>
        <v>1225</v>
      </c>
      <c r="AB14" s="21">
        <f t="shared" si="0"/>
        <v>2426</v>
      </c>
      <c r="AC14" s="139">
        <v>2845</v>
      </c>
      <c r="AD14" s="12">
        <f t="shared" si="2"/>
        <v>-14.727592267135325</v>
      </c>
    </row>
    <row r="15" spans="1:30" ht="18.75" x14ac:dyDescent="0.4">
      <c r="A15" s="4" t="s">
        <v>11</v>
      </c>
      <c r="B15" s="139">
        <f>94+52</f>
        <v>146</v>
      </c>
      <c r="C15" s="139">
        <f>94+48</f>
        <v>142</v>
      </c>
      <c r="D15" s="139">
        <f>98+56</f>
        <v>154</v>
      </c>
      <c r="E15" s="139">
        <f>99+57</f>
        <v>156</v>
      </c>
      <c r="F15" s="139">
        <f>107+44</f>
        <v>151</v>
      </c>
      <c r="G15" s="139">
        <f>107+45</f>
        <v>152</v>
      </c>
      <c r="H15" s="139">
        <f>155+62</f>
        <v>217</v>
      </c>
      <c r="I15" s="139">
        <f>155+61</f>
        <v>216</v>
      </c>
      <c r="J15" s="228">
        <f>188+56</f>
        <v>244</v>
      </c>
      <c r="K15" s="229">
        <f>190+48</f>
        <v>238</v>
      </c>
      <c r="L15" s="139">
        <f>213+77</f>
        <v>290</v>
      </c>
      <c r="M15" s="139">
        <f>210+77</f>
        <v>287</v>
      </c>
      <c r="N15" s="139">
        <f>209+44</f>
        <v>253</v>
      </c>
      <c r="O15" s="139">
        <f>208+37</f>
        <v>245</v>
      </c>
      <c r="P15" s="139">
        <f>206+57</f>
        <v>263</v>
      </c>
      <c r="Q15" s="139">
        <f>206+59</f>
        <v>265</v>
      </c>
      <c r="R15" s="139">
        <f>207+70</f>
        <v>277</v>
      </c>
      <c r="S15" s="139">
        <f>208+81</f>
        <v>289</v>
      </c>
      <c r="T15" s="12">
        <f>204+80</f>
        <v>284</v>
      </c>
      <c r="U15" s="12">
        <f>204+42</f>
        <v>246</v>
      </c>
      <c r="V15" s="139">
        <f>223+58</f>
        <v>281</v>
      </c>
      <c r="W15" s="139">
        <f>220+57</f>
        <v>277</v>
      </c>
      <c r="X15" s="12">
        <f>203+61</f>
        <v>264</v>
      </c>
      <c r="Y15" s="12">
        <f>208+58</f>
        <v>266</v>
      </c>
      <c r="Z15" s="12">
        <f t="shared" si="1"/>
        <v>2824</v>
      </c>
      <c r="AA15" s="12">
        <f t="shared" si="1"/>
        <v>2779</v>
      </c>
      <c r="AB15" s="21">
        <f t="shared" si="0"/>
        <v>5603</v>
      </c>
      <c r="AC15" s="139">
        <v>5117</v>
      </c>
      <c r="AD15" s="12">
        <f t="shared" si="2"/>
        <v>9.497752589407856</v>
      </c>
    </row>
    <row r="16" spans="1:30" ht="18.75" x14ac:dyDescent="0.4">
      <c r="A16" s="4" t="s">
        <v>12</v>
      </c>
      <c r="B16" s="139">
        <f>56+7+22</f>
        <v>85</v>
      </c>
      <c r="C16" s="139">
        <f>54+6+22</f>
        <v>82</v>
      </c>
      <c r="D16" s="139">
        <f>52+16+19</f>
        <v>87</v>
      </c>
      <c r="E16" s="139">
        <f>51+12+19</f>
        <v>82</v>
      </c>
      <c r="F16" s="139">
        <f>65+5+23</f>
        <v>93</v>
      </c>
      <c r="G16" s="139">
        <f>64+2+23</f>
        <v>89</v>
      </c>
      <c r="H16" s="139">
        <f>61+8+17</f>
        <v>86</v>
      </c>
      <c r="I16" s="139">
        <f>61+8+17</f>
        <v>86</v>
      </c>
      <c r="J16" s="228">
        <f>64+8+23</f>
        <v>95</v>
      </c>
      <c r="K16" s="229">
        <f>64+12+22</f>
        <v>98</v>
      </c>
      <c r="L16" s="139">
        <f>79+8+19</f>
        <v>106</v>
      </c>
      <c r="M16" s="139">
        <f>77+8+19</f>
        <v>104</v>
      </c>
      <c r="N16" s="139">
        <f>103+6+22</f>
        <v>131</v>
      </c>
      <c r="O16" s="139">
        <f>105+17+22</f>
        <v>144</v>
      </c>
      <c r="P16" s="139">
        <f>79+21+18</f>
        <v>118</v>
      </c>
      <c r="Q16" s="139">
        <f>79+15+18</f>
        <v>112</v>
      </c>
      <c r="R16" s="139">
        <f>129+10+16</f>
        <v>155</v>
      </c>
      <c r="S16" s="139">
        <f>119+13+16</f>
        <v>148</v>
      </c>
      <c r="T16" s="12">
        <f>98+12+13</f>
        <v>123</v>
      </c>
      <c r="U16" s="12">
        <f>138+6+13</f>
        <v>157</v>
      </c>
      <c r="V16" s="139">
        <f>64+5+21</f>
        <v>90</v>
      </c>
      <c r="W16" s="139">
        <f>65+4+20</f>
        <v>89</v>
      </c>
      <c r="X16" s="12">
        <f>61+9+13</f>
        <v>83</v>
      </c>
      <c r="Y16" s="12">
        <f>61+13+14</f>
        <v>88</v>
      </c>
      <c r="Z16" s="12">
        <f t="shared" si="1"/>
        <v>1252</v>
      </c>
      <c r="AA16" s="12">
        <f t="shared" si="1"/>
        <v>1279</v>
      </c>
      <c r="AB16" s="21">
        <f t="shared" si="0"/>
        <v>2531</v>
      </c>
      <c r="AC16" s="139">
        <v>1803</v>
      </c>
      <c r="AD16" s="12">
        <f t="shared" si="2"/>
        <v>40.377149195784803</v>
      </c>
    </row>
    <row r="17" spans="1:30" ht="18.75" x14ac:dyDescent="0.4">
      <c r="A17" s="4" t="s">
        <v>13</v>
      </c>
      <c r="B17" s="139">
        <f>130+37</f>
        <v>167</v>
      </c>
      <c r="C17" s="139">
        <f>130+39</f>
        <v>169</v>
      </c>
      <c r="D17" s="139">
        <f>108+71</f>
        <v>179</v>
      </c>
      <c r="E17" s="139">
        <f>108+67</f>
        <v>175</v>
      </c>
      <c r="F17" s="139">
        <f>118+71</f>
        <v>189</v>
      </c>
      <c r="G17" s="139">
        <f>118+71</f>
        <v>189</v>
      </c>
      <c r="H17" s="230">
        <v>227</v>
      </c>
      <c r="I17" s="231">
        <v>213</v>
      </c>
      <c r="J17" s="230">
        <v>164</v>
      </c>
      <c r="K17" s="231">
        <v>172</v>
      </c>
      <c r="L17" s="230">
        <v>160</v>
      </c>
      <c r="M17" s="231">
        <v>176</v>
      </c>
      <c r="N17" s="139">
        <v>172</v>
      </c>
      <c r="O17" s="139">
        <v>191</v>
      </c>
      <c r="P17" s="139">
        <v>180</v>
      </c>
      <c r="Q17" s="139">
        <v>196</v>
      </c>
      <c r="R17" s="238">
        <v>165</v>
      </c>
      <c r="S17" s="238">
        <v>170</v>
      </c>
      <c r="T17" s="3">
        <v>216</v>
      </c>
      <c r="U17" s="3">
        <v>212</v>
      </c>
      <c r="V17" s="3">
        <v>256</v>
      </c>
      <c r="W17" s="3">
        <v>253</v>
      </c>
      <c r="X17" s="3">
        <v>285</v>
      </c>
      <c r="Y17" s="3">
        <v>284</v>
      </c>
      <c r="Z17" s="12">
        <f t="shared" si="1"/>
        <v>2360</v>
      </c>
      <c r="AA17" s="12">
        <f t="shared" si="1"/>
        <v>2400</v>
      </c>
      <c r="AB17" s="21">
        <f t="shared" si="0"/>
        <v>4760</v>
      </c>
      <c r="AC17" s="139">
        <v>3631</v>
      </c>
      <c r="AD17" s="12">
        <f t="shared" si="2"/>
        <v>31.093362709997248</v>
      </c>
    </row>
    <row r="18" spans="1:30" ht="18.75" x14ac:dyDescent="0.4">
      <c r="A18" s="4" t="s">
        <v>14</v>
      </c>
      <c r="B18" s="139">
        <f>18</f>
        <v>18</v>
      </c>
      <c r="C18" s="139">
        <v>18</v>
      </c>
      <c r="D18" s="139">
        <v>13</v>
      </c>
      <c r="E18" s="139">
        <v>13</v>
      </c>
      <c r="F18" s="139">
        <v>21</v>
      </c>
      <c r="G18" s="139">
        <v>21</v>
      </c>
      <c r="H18" s="233">
        <v>14</v>
      </c>
      <c r="I18" s="231">
        <v>14</v>
      </c>
      <c r="J18" s="233">
        <v>15</v>
      </c>
      <c r="K18" s="231">
        <v>8</v>
      </c>
      <c r="L18" s="233">
        <v>18</v>
      </c>
      <c r="M18" s="231">
        <v>0</v>
      </c>
      <c r="N18" s="139">
        <v>17</v>
      </c>
      <c r="O18" s="139">
        <v>0</v>
      </c>
      <c r="P18" s="139">
        <v>18</v>
      </c>
      <c r="Q18" s="139">
        <v>0</v>
      </c>
      <c r="R18" s="238">
        <v>19</v>
      </c>
      <c r="S18" s="238">
        <v>20</v>
      </c>
      <c r="T18" s="3">
        <v>20</v>
      </c>
      <c r="U18" s="3">
        <v>20</v>
      </c>
      <c r="V18" s="3">
        <v>23</v>
      </c>
      <c r="W18" s="3">
        <v>23</v>
      </c>
      <c r="X18" s="3">
        <v>27</v>
      </c>
      <c r="Y18" s="3">
        <v>27</v>
      </c>
      <c r="Z18" s="12">
        <f t="shared" si="1"/>
        <v>223</v>
      </c>
      <c r="AA18" s="12">
        <f t="shared" si="1"/>
        <v>164</v>
      </c>
      <c r="AB18" s="21">
        <f t="shared" si="0"/>
        <v>387</v>
      </c>
      <c r="AC18" s="139">
        <v>166</v>
      </c>
      <c r="AD18" s="12">
        <f t="shared" si="2"/>
        <v>133.13253012048193</v>
      </c>
    </row>
    <row r="19" spans="1:30" ht="18.75" x14ac:dyDescent="0.4">
      <c r="A19" s="4" t="s">
        <v>15</v>
      </c>
      <c r="B19" s="139">
        <v>281</v>
      </c>
      <c r="C19" s="139">
        <v>280</v>
      </c>
      <c r="D19" s="139">
        <f>293+22</f>
        <v>315</v>
      </c>
      <c r="E19" s="139">
        <f>293+22</f>
        <v>315</v>
      </c>
      <c r="F19" s="139">
        <f>334+22</f>
        <v>356</v>
      </c>
      <c r="G19" s="139">
        <f>334+22</f>
        <v>356</v>
      </c>
      <c r="H19" s="139">
        <f>284+28</f>
        <v>312</v>
      </c>
      <c r="I19" s="139">
        <f>284+28</f>
        <v>312</v>
      </c>
      <c r="J19" s="139">
        <f>273+37</f>
        <v>310</v>
      </c>
      <c r="K19" s="139">
        <f>273+37</f>
        <v>310</v>
      </c>
      <c r="L19" s="139">
        <f>226+19</f>
        <v>245</v>
      </c>
      <c r="M19" s="139">
        <f>226+19</f>
        <v>245</v>
      </c>
      <c r="N19" s="139">
        <f>212+32</f>
        <v>244</v>
      </c>
      <c r="O19" s="139">
        <f>212+32</f>
        <v>244</v>
      </c>
      <c r="P19" s="139">
        <f>207+34</f>
        <v>241</v>
      </c>
      <c r="Q19" s="139">
        <f>207+34</f>
        <v>241</v>
      </c>
      <c r="R19" s="139">
        <f>268+38</f>
        <v>306</v>
      </c>
      <c r="S19" s="139">
        <f>268+68</f>
        <v>336</v>
      </c>
      <c r="T19" s="12">
        <f>220+70</f>
        <v>290</v>
      </c>
      <c r="U19" s="12">
        <f>220+70</f>
        <v>290</v>
      </c>
      <c r="V19" s="139">
        <f>269+64</f>
        <v>333</v>
      </c>
      <c r="W19" s="139">
        <f>269+64</f>
        <v>333</v>
      </c>
      <c r="X19" s="12">
        <f>273+73</f>
        <v>346</v>
      </c>
      <c r="Y19" s="12">
        <f>273+73</f>
        <v>346</v>
      </c>
      <c r="Z19" s="12">
        <f t="shared" si="1"/>
        <v>3579</v>
      </c>
      <c r="AA19" s="12">
        <f t="shared" si="1"/>
        <v>3608</v>
      </c>
      <c r="AB19" s="21">
        <f t="shared" si="0"/>
        <v>7187</v>
      </c>
      <c r="AC19" s="139">
        <v>8256</v>
      </c>
      <c r="AD19" s="12">
        <f t="shared" si="2"/>
        <v>-12.948158914728682</v>
      </c>
    </row>
    <row r="20" spans="1:30" ht="18.75" x14ac:dyDescent="0.4">
      <c r="A20" s="4" t="s">
        <v>16</v>
      </c>
      <c r="B20" s="139">
        <f>69+50</f>
        <v>119</v>
      </c>
      <c r="C20" s="139">
        <f>69+52</f>
        <v>121</v>
      </c>
      <c r="D20" s="139">
        <f>72+76</f>
        <v>148</v>
      </c>
      <c r="E20" s="139">
        <f>72+74</f>
        <v>146</v>
      </c>
      <c r="F20" s="139">
        <f>78+78</f>
        <v>156</v>
      </c>
      <c r="G20" s="139">
        <f>78+75</f>
        <v>153</v>
      </c>
      <c r="H20" s="139">
        <v>182</v>
      </c>
      <c r="I20" s="139">
        <v>189</v>
      </c>
      <c r="J20" s="139">
        <v>188</v>
      </c>
      <c r="K20" s="139">
        <v>184</v>
      </c>
      <c r="L20" s="139">
        <v>202</v>
      </c>
      <c r="M20" s="139">
        <v>197</v>
      </c>
      <c r="N20" s="139">
        <f>115+32</f>
        <v>147</v>
      </c>
      <c r="O20" s="139">
        <f>115+35</f>
        <v>150</v>
      </c>
      <c r="P20" s="238">
        <v>205</v>
      </c>
      <c r="Q20" s="238">
        <v>203</v>
      </c>
      <c r="R20" s="139">
        <f>127+42</f>
        <v>169</v>
      </c>
      <c r="S20" s="139">
        <f>127+38</f>
        <v>165</v>
      </c>
      <c r="T20" s="12">
        <f>113+57</f>
        <v>170</v>
      </c>
      <c r="U20" s="12">
        <f>115+63</f>
        <v>178</v>
      </c>
      <c r="V20" s="139">
        <f>131+56</f>
        <v>187</v>
      </c>
      <c r="W20" s="139">
        <f>131+48</f>
        <v>179</v>
      </c>
      <c r="X20" s="12">
        <f>118+63</f>
        <v>181</v>
      </c>
      <c r="Y20" s="12">
        <f>119+58</f>
        <v>177</v>
      </c>
      <c r="Z20" s="12">
        <f t="shared" si="1"/>
        <v>2054</v>
      </c>
      <c r="AA20" s="12">
        <f t="shared" si="1"/>
        <v>2042</v>
      </c>
      <c r="AB20" s="21">
        <f t="shared" si="0"/>
        <v>4096</v>
      </c>
      <c r="AC20" s="139">
        <v>3471</v>
      </c>
      <c r="AD20" s="12">
        <f t="shared" si="2"/>
        <v>18.006338231057331</v>
      </c>
    </row>
    <row r="21" spans="1:30" ht="18.75" x14ac:dyDescent="0.4">
      <c r="A21" s="4" t="s">
        <v>17</v>
      </c>
      <c r="B21" s="139">
        <v>0</v>
      </c>
      <c r="C21" s="139">
        <v>1</v>
      </c>
      <c r="D21" s="139">
        <v>0</v>
      </c>
      <c r="E21" s="139">
        <v>0</v>
      </c>
      <c r="F21" s="139">
        <v>2</v>
      </c>
      <c r="G21" s="139">
        <v>2</v>
      </c>
      <c r="H21" s="139">
        <v>0</v>
      </c>
      <c r="I21" s="139">
        <v>0</v>
      </c>
      <c r="J21" s="139">
        <v>0</v>
      </c>
      <c r="K21" s="139">
        <v>0</v>
      </c>
      <c r="L21" s="139">
        <v>0</v>
      </c>
      <c r="M21" s="139">
        <v>0</v>
      </c>
      <c r="N21" s="139">
        <v>0</v>
      </c>
      <c r="O21" s="139">
        <v>1</v>
      </c>
      <c r="P21" s="238">
        <v>0</v>
      </c>
      <c r="Q21" s="238">
        <v>0</v>
      </c>
      <c r="R21" s="139">
        <v>22</v>
      </c>
      <c r="S21" s="139">
        <v>22</v>
      </c>
      <c r="T21" s="12">
        <v>24</v>
      </c>
      <c r="U21" s="12">
        <v>25</v>
      </c>
      <c r="V21" s="139">
        <v>9</v>
      </c>
      <c r="W21" s="139">
        <v>8</v>
      </c>
      <c r="X21" s="12">
        <v>7</v>
      </c>
      <c r="Y21" s="12">
        <v>4</v>
      </c>
      <c r="Z21" s="12">
        <f t="shared" si="1"/>
        <v>64</v>
      </c>
      <c r="AA21" s="12">
        <f t="shared" si="1"/>
        <v>63</v>
      </c>
      <c r="AB21" s="21">
        <f t="shared" si="0"/>
        <v>127</v>
      </c>
      <c r="AC21" s="139">
        <v>138</v>
      </c>
      <c r="AD21" s="12">
        <f t="shared" si="2"/>
        <v>-7.9710144927536231</v>
      </c>
    </row>
    <row r="22" spans="1:30" ht="18.75" x14ac:dyDescent="0.4">
      <c r="A22" s="4" t="s">
        <v>92</v>
      </c>
      <c r="B22" s="139">
        <v>125</v>
      </c>
      <c r="C22" s="139">
        <v>125</v>
      </c>
      <c r="D22" s="139">
        <v>131</v>
      </c>
      <c r="E22" s="139">
        <v>131</v>
      </c>
      <c r="F22" s="139">
        <v>116</v>
      </c>
      <c r="G22" s="139">
        <v>117</v>
      </c>
      <c r="H22" s="139">
        <v>117</v>
      </c>
      <c r="I22" s="139">
        <v>117</v>
      </c>
      <c r="J22" s="139">
        <v>136</v>
      </c>
      <c r="K22" s="139">
        <v>136</v>
      </c>
      <c r="L22" s="139">
        <v>123</v>
      </c>
      <c r="M22" s="139">
        <v>124</v>
      </c>
      <c r="N22" s="139">
        <v>106</v>
      </c>
      <c r="O22" s="139">
        <v>107</v>
      </c>
      <c r="P22" s="238">
        <v>125</v>
      </c>
      <c r="Q22" s="238">
        <v>125</v>
      </c>
      <c r="R22" s="139">
        <f>110</f>
        <v>110</v>
      </c>
      <c r="S22" s="139">
        <v>110</v>
      </c>
      <c r="T22" s="12">
        <v>293</v>
      </c>
      <c r="U22" s="12">
        <v>292</v>
      </c>
      <c r="V22" s="139">
        <v>160</v>
      </c>
      <c r="W22" s="139">
        <v>160</v>
      </c>
      <c r="X22" s="12">
        <v>163</v>
      </c>
      <c r="Y22" s="12">
        <v>163</v>
      </c>
      <c r="Z22" s="12">
        <f t="shared" si="1"/>
        <v>1705</v>
      </c>
      <c r="AA22" s="12">
        <f t="shared" si="1"/>
        <v>1707</v>
      </c>
      <c r="AB22" s="21">
        <f t="shared" si="0"/>
        <v>3412</v>
      </c>
      <c r="AC22" s="139">
        <v>3126</v>
      </c>
      <c r="AD22" s="12">
        <f t="shared" si="2"/>
        <v>9.149072296865004</v>
      </c>
    </row>
    <row r="23" spans="1:30" ht="18.75" x14ac:dyDescent="0.4">
      <c r="A23" s="4" t="s">
        <v>93</v>
      </c>
      <c r="B23" s="139">
        <v>0</v>
      </c>
      <c r="C23" s="139">
        <v>0</v>
      </c>
      <c r="D23" s="139">
        <v>0</v>
      </c>
      <c r="E23" s="139">
        <v>0</v>
      </c>
      <c r="F23" s="139">
        <v>1</v>
      </c>
      <c r="G23" s="139">
        <v>0</v>
      </c>
      <c r="H23" s="139">
        <v>0</v>
      </c>
      <c r="I23" s="139">
        <v>0</v>
      </c>
      <c r="J23" s="139">
        <v>0</v>
      </c>
      <c r="K23" s="139">
        <v>0</v>
      </c>
      <c r="L23" s="139">
        <v>0</v>
      </c>
      <c r="M23" s="139">
        <v>2</v>
      </c>
      <c r="N23" s="139">
        <v>0</v>
      </c>
      <c r="O23" s="139">
        <v>0</v>
      </c>
      <c r="P23" s="238">
        <v>0</v>
      </c>
      <c r="Q23" s="238">
        <v>0</v>
      </c>
      <c r="R23" s="139">
        <v>4</v>
      </c>
      <c r="S23" s="139">
        <v>4</v>
      </c>
      <c r="T23" s="12">
        <v>0</v>
      </c>
      <c r="U23" s="12">
        <v>0</v>
      </c>
      <c r="V23" s="139">
        <v>0</v>
      </c>
      <c r="W23" s="139">
        <v>0</v>
      </c>
      <c r="X23" s="12">
        <v>0</v>
      </c>
      <c r="Y23" s="12">
        <v>0</v>
      </c>
      <c r="Z23" s="12">
        <f t="shared" si="1"/>
        <v>5</v>
      </c>
      <c r="AA23" s="12">
        <f t="shared" si="1"/>
        <v>6</v>
      </c>
      <c r="AB23" s="21">
        <f t="shared" si="0"/>
        <v>11</v>
      </c>
      <c r="AC23" s="139">
        <v>13</v>
      </c>
      <c r="AD23" s="12">
        <f t="shared" si="2"/>
        <v>-15.384615384615385</v>
      </c>
    </row>
    <row r="24" spans="1:30" ht="18.75" x14ac:dyDescent="0.4">
      <c r="A24" s="4" t="s">
        <v>94</v>
      </c>
      <c r="B24" s="139">
        <f>52+21</f>
        <v>73</v>
      </c>
      <c r="C24" s="139">
        <f>52+21</f>
        <v>73</v>
      </c>
      <c r="D24" s="139">
        <f>46+50</f>
        <v>96</v>
      </c>
      <c r="E24" s="139">
        <f>46+51</f>
        <v>97</v>
      </c>
      <c r="F24" s="139">
        <f>54+25</f>
        <v>79</v>
      </c>
      <c r="G24" s="139">
        <f>54+25</f>
        <v>79</v>
      </c>
      <c r="H24" s="139">
        <f>52+54</f>
        <v>106</v>
      </c>
      <c r="I24" s="139">
        <f>52+53</f>
        <v>105</v>
      </c>
      <c r="J24" s="139">
        <f>52+43</f>
        <v>95</v>
      </c>
      <c r="K24" s="139">
        <f>52+42+1</f>
        <v>95</v>
      </c>
      <c r="L24" s="139">
        <f>56+50</f>
        <v>106</v>
      </c>
      <c r="M24" s="139">
        <f>56+51</f>
        <v>107</v>
      </c>
      <c r="N24" s="139">
        <f>51+21</f>
        <v>72</v>
      </c>
      <c r="O24" s="139">
        <f>51+21</f>
        <v>72</v>
      </c>
      <c r="P24" s="139">
        <f>56+33</f>
        <v>89</v>
      </c>
      <c r="Q24" s="139">
        <f>56+35</f>
        <v>91</v>
      </c>
      <c r="R24" s="139">
        <f>56+66</f>
        <v>122</v>
      </c>
      <c r="S24" s="139">
        <f>56+64</f>
        <v>120</v>
      </c>
      <c r="T24" s="12">
        <f>56+33</f>
        <v>89</v>
      </c>
      <c r="U24" s="12">
        <f>56+34</f>
        <v>90</v>
      </c>
      <c r="V24" s="139">
        <v>101</v>
      </c>
      <c r="W24" s="139">
        <v>101</v>
      </c>
      <c r="X24" s="12">
        <f>54+48</f>
        <v>102</v>
      </c>
      <c r="Y24" s="12">
        <f>54+48</f>
        <v>102</v>
      </c>
      <c r="Z24" s="12">
        <f t="shared" si="1"/>
        <v>1130</v>
      </c>
      <c r="AA24" s="12">
        <f t="shared" si="1"/>
        <v>1132</v>
      </c>
      <c r="AB24" s="21">
        <f t="shared" si="0"/>
        <v>2262</v>
      </c>
      <c r="AC24" s="139">
        <v>2161</v>
      </c>
      <c r="AD24" s="12">
        <f t="shared" si="2"/>
        <v>4.6737621471540951</v>
      </c>
    </row>
    <row r="25" spans="1:30" ht="18.75" x14ac:dyDescent="0.4">
      <c r="A25" s="4" t="s">
        <v>95</v>
      </c>
      <c r="B25" s="139">
        <v>0</v>
      </c>
      <c r="C25" s="139">
        <v>0</v>
      </c>
      <c r="D25" s="139">
        <v>0</v>
      </c>
      <c r="E25" s="139">
        <v>1</v>
      </c>
      <c r="F25" s="139">
        <v>0</v>
      </c>
      <c r="G25" s="139">
        <v>0</v>
      </c>
      <c r="H25" s="139">
        <v>0</v>
      </c>
      <c r="I25" s="139">
        <v>0</v>
      </c>
      <c r="J25" s="139">
        <v>0</v>
      </c>
      <c r="K25" s="139">
        <v>0</v>
      </c>
      <c r="L25" s="139">
        <v>0</v>
      </c>
      <c r="M25" s="139">
        <v>1</v>
      </c>
      <c r="N25" s="139">
        <v>3</v>
      </c>
      <c r="O25" s="139">
        <v>2</v>
      </c>
      <c r="P25" s="139">
        <v>1</v>
      </c>
      <c r="Q25" s="139">
        <v>0</v>
      </c>
      <c r="R25" s="139">
        <v>16</v>
      </c>
      <c r="S25" s="139">
        <v>18</v>
      </c>
      <c r="T25" s="12">
        <f>1+16</f>
        <v>17</v>
      </c>
      <c r="U25" s="12">
        <f>2+14</f>
        <v>16</v>
      </c>
      <c r="V25" s="139">
        <v>0</v>
      </c>
      <c r="W25" s="139">
        <v>0</v>
      </c>
      <c r="X25" s="12">
        <v>1</v>
      </c>
      <c r="Y25" s="12">
        <v>1</v>
      </c>
      <c r="Z25" s="12">
        <f t="shared" si="1"/>
        <v>38</v>
      </c>
      <c r="AA25" s="12">
        <f t="shared" si="1"/>
        <v>39</v>
      </c>
      <c r="AB25" s="21">
        <f t="shared" si="0"/>
        <v>77</v>
      </c>
      <c r="AC25" s="139">
        <v>103</v>
      </c>
      <c r="AD25" s="12">
        <f t="shared" si="2"/>
        <v>-25.242718446601941</v>
      </c>
    </row>
    <row r="26" spans="1:30" ht="18.75" x14ac:dyDescent="0.4">
      <c r="A26" s="4" t="s">
        <v>22</v>
      </c>
      <c r="B26" s="139">
        <f>127+54</f>
        <v>181</v>
      </c>
      <c r="C26" s="139">
        <f>126+54</f>
        <v>180</v>
      </c>
      <c r="D26" s="139">
        <f>115+53</f>
        <v>168</v>
      </c>
      <c r="E26" s="139">
        <f>115+53</f>
        <v>168</v>
      </c>
      <c r="F26" s="139">
        <f>159+47</f>
        <v>206</v>
      </c>
      <c r="G26" s="139">
        <f>159+46</f>
        <v>205</v>
      </c>
      <c r="H26" s="139">
        <f>117+44</f>
        <v>161</v>
      </c>
      <c r="I26" s="139">
        <f>117+44</f>
        <v>161</v>
      </c>
      <c r="J26" s="139">
        <f>121+47</f>
        <v>168</v>
      </c>
      <c r="K26" s="139">
        <f>121+47</f>
        <v>168</v>
      </c>
      <c r="L26" s="139">
        <f>118+47</f>
        <v>165</v>
      </c>
      <c r="M26" s="139">
        <f>118+46</f>
        <v>164</v>
      </c>
      <c r="N26" s="139">
        <v>164</v>
      </c>
      <c r="O26" s="139">
        <v>164</v>
      </c>
      <c r="P26" s="139">
        <f>120+39</f>
        <v>159</v>
      </c>
      <c r="Q26" s="139">
        <f>120+39</f>
        <v>159</v>
      </c>
      <c r="R26" s="139">
        <f>117+85</f>
        <v>202</v>
      </c>
      <c r="S26" s="139">
        <f>117+86</f>
        <v>203</v>
      </c>
      <c r="T26" s="12">
        <f>123+76</f>
        <v>199</v>
      </c>
      <c r="U26" s="12">
        <f>123+74</f>
        <v>197</v>
      </c>
      <c r="V26" s="139">
        <f>151+114</f>
        <v>265</v>
      </c>
      <c r="W26" s="139">
        <f>151+114</f>
        <v>265</v>
      </c>
      <c r="X26" s="12">
        <f>173+79</f>
        <v>252</v>
      </c>
      <c r="Y26" s="12">
        <f>173+79</f>
        <v>252</v>
      </c>
      <c r="Z26" s="12">
        <f t="shared" si="1"/>
        <v>2290</v>
      </c>
      <c r="AA26" s="12">
        <f t="shared" si="1"/>
        <v>2286</v>
      </c>
      <c r="AB26" s="21">
        <f t="shared" si="0"/>
        <v>4576</v>
      </c>
      <c r="AC26" s="139">
        <v>4504</v>
      </c>
      <c r="AD26" s="12">
        <f t="shared" si="2"/>
        <v>1.5985790408525755</v>
      </c>
    </row>
    <row r="27" spans="1:30" ht="18.75" x14ac:dyDescent="0.4">
      <c r="A27" s="4" t="s">
        <v>96</v>
      </c>
      <c r="B27" s="139">
        <v>39</v>
      </c>
      <c r="C27" s="139">
        <v>40</v>
      </c>
      <c r="D27" s="139">
        <v>62</v>
      </c>
      <c r="E27" s="139">
        <v>68</v>
      </c>
      <c r="F27" s="139">
        <v>65</v>
      </c>
      <c r="G27" s="139">
        <v>65</v>
      </c>
      <c r="H27" s="139">
        <v>84</v>
      </c>
      <c r="I27" s="139">
        <v>83</v>
      </c>
      <c r="J27" s="139">
        <v>87</v>
      </c>
      <c r="K27" s="139">
        <v>87</v>
      </c>
      <c r="L27" s="139">
        <v>58</v>
      </c>
      <c r="M27" s="139">
        <v>58</v>
      </c>
      <c r="N27" s="139">
        <v>66</v>
      </c>
      <c r="O27" s="139">
        <v>66</v>
      </c>
      <c r="P27" s="139">
        <v>48</v>
      </c>
      <c r="Q27" s="139">
        <v>48</v>
      </c>
      <c r="R27" s="228">
        <v>808</v>
      </c>
      <c r="S27" s="229">
        <v>633</v>
      </c>
      <c r="T27" s="12">
        <v>94</v>
      </c>
      <c r="U27" s="12">
        <v>94</v>
      </c>
      <c r="V27" s="139">
        <v>62</v>
      </c>
      <c r="W27" s="139">
        <v>62</v>
      </c>
      <c r="X27" s="12">
        <v>64</v>
      </c>
      <c r="Y27" s="12">
        <v>64</v>
      </c>
      <c r="Z27" s="12">
        <f t="shared" si="1"/>
        <v>1537</v>
      </c>
      <c r="AA27" s="12">
        <f t="shared" si="1"/>
        <v>1368</v>
      </c>
      <c r="AB27" s="21">
        <f t="shared" si="0"/>
        <v>2905</v>
      </c>
      <c r="AC27" s="139">
        <v>1386</v>
      </c>
      <c r="AD27" s="12">
        <f t="shared" si="2"/>
        <v>109.5959595959596</v>
      </c>
    </row>
    <row r="28" spans="1:30" ht="18.75" x14ac:dyDescent="0.4">
      <c r="A28" s="4" t="s">
        <v>97</v>
      </c>
      <c r="B28" s="139">
        <v>0</v>
      </c>
      <c r="C28" s="139">
        <v>0</v>
      </c>
      <c r="D28" s="139">
        <v>0</v>
      </c>
      <c r="E28" s="139">
        <v>0</v>
      </c>
      <c r="F28" s="139">
        <v>0</v>
      </c>
      <c r="G28" s="139">
        <v>0</v>
      </c>
      <c r="H28" s="139">
        <v>0</v>
      </c>
      <c r="I28" s="139">
        <v>0</v>
      </c>
      <c r="J28" s="139">
        <v>0</v>
      </c>
      <c r="K28" s="139">
        <v>0</v>
      </c>
      <c r="L28" s="139">
        <v>0</v>
      </c>
      <c r="M28" s="139">
        <v>0</v>
      </c>
      <c r="N28" s="139">
        <v>0</v>
      </c>
      <c r="O28" s="139">
        <v>0</v>
      </c>
      <c r="P28" s="139">
        <v>0</v>
      </c>
      <c r="Q28" s="139">
        <v>0</v>
      </c>
      <c r="R28" s="228">
        <v>0</v>
      </c>
      <c r="S28" s="229">
        <v>0</v>
      </c>
      <c r="T28" s="12">
        <v>0</v>
      </c>
      <c r="U28" s="12">
        <v>0</v>
      </c>
      <c r="V28" s="139">
        <v>0</v>
      </c>
      <c r="W28" s="139">
        <v>0</v>
      </c>
      <c r="X28" s="12">
        <v>0</v>
      </c>
      <c r="Y28" s="12">
        <v>0</v>
      </c>
      <c r="Z28" s="12">
        <f t="shared" si="1"/>
        <v>0</v>
      </c>
      <c r="AA28" s="12">
        <f t="shared" si="1"/>
        <v>0</v>
      </c>
      <c r="AB28" s="21">
        <f t="shared" si="0"/>
        <v>0</v>
      </c>
      <c r="AC28" s="139">
        <v>80</v>
      </c>
      <c r="AD28" s="12">
        <f t="shared" si="2"/>
        <v>-100</v>
      </c>
    </row>
    <row r="29" spans="1:30" ht="18.75" x14ac:dyDescent="0.4">
      <c r="A29" s="4" t="s">
        <v>25</v>
      </c>
      <c r="B29" s="139">
        <v>49</v>
      </c>
      <c r="C29" s="139">
        <v>49</v>
      </c>
      <c r="D29" s="139">
        <v>40</v>
      </c>
      <c r="E29" s="139">
        <v>40</v>
      </c>
      <c r="F29" s="139">
        <v>68</v>
      </c>
      <c r="G29" s="139">
        <v>68</v>
      </c>
      <c r="H29" s="139">
        <v>56</v>
      </c>
      <c r="I29" s="139">
        <v>56</v>
      </c>
      <c r="J29" s="139">
        <v>62</v>
      </c>
      <c r="K29" s="139">
        <v>62</v>
      </c>
      <c r="L29" s="139">
        <v>42</v>
      </c>
      <c r="M29" s="139">
        <v>42</v>
      </c>
      <c r="N29" s="139">
        <v>39</v>
      </c>
      <c r="O29" s="139">
        <v>39</v>
      </c>
      <c r="P29" s="139">
        <v>46</v>
      </c>
      <c r="Q29" s="139">
        <v>46</v>
      </c>
      <c r="R29" s="139">
        <v>36</v>
      </c>
      <c r="S29" s="139">
        <v>36</v>
      </c>
      <c r="T29" s="3">
        <v>48</v>
      </c>
      <c r="U29" s="3">
        <v>48</v>
      </c>
      <c r="V29" s="139">
        <v>53</v>
      </c>
      <c r="W29" s="139">
        <v>53</v>
      </c>
      <c r="X29" s="12">
        <v>53</v>
      </c>
      <c r="Y29" s="12">
        <v>53</v>
      </c>
      <c r="Z29" s="12">
        <f t="shared" si="1"/>
        <v>592</v>
      </c>
      <c r="AA29" s="12">
        <f t="shared" si="1"/>
        <v>592</v>
      </c>
      <c r="AB29" s="21">
        <f t="shared" si="0"/>
        <v>1184</v>
      </c>
      <c r="AC29" s="139">
        <v>1202</v>
      </c>
      <c r="AD29" s="12">
        <f t="shared" si="2"/>
        <v>-1.497504159733777</v>
      </c>
    </row>
    <row r="30" spans="1:30" ht="18.75" x14ac:dyDescent="0.4">
      <c r="A30" s="4" t="s">
        <v>26</v>
      </c>
      <c r="B30" s="139">
        <f>157+30</f>
        <v>187</v>
      </c>
      <c r="C30" s="139">
        <f>157+30</f>
        <v>187</v>
      </c>
      <c r="D30" s="139">
        <f>143+70</f>
        <v>213</v>
      </c>
      <c r="E30" s="139">
        <f>143+70</f>
        <v>213</v>
      </c>
      <c r="F30" s="139">
        <f>207+51</f>
        <v>258</v>
      </c>
      <c r="G30" s="139">
        <f>207+51</f>
        <v>258</v>
      </c>
      <c r="H30" s="139">
        <f>242+44</f>
        <v>286</v>
      </c>
      <c r="I30" s="139">
        <f>242+44</f>
        <v>286</v>
      </c>
      <c r="J30" s="139">
        <f>263+50</f>
        <v>313</v>
      </c>
      <c r="K30" s="139">
        <f>263+49</f>
        <v>312</v>
      </c>
      <c r="L30" s="139">
        <v>220</v>
      </c>
      <c r="M30" s="139">
        <v>220</v>
      </c>
      <c r="N30" s="139">
        <v>179</v>
      </c>
      <c r="O30" s="139">
        <v>179</v>
      </c>
      <c r="P30" s="139">
        <v>231</v>
      </c>
      <c r="Q30" s="139">
        <v>230</v>
      </c>
      <c r="R30" s="139">
        <f>153+49</f>
        <v>202</v>
      </c>
      <c r="S30" s="139">
        <f>153+49</f>
        <v>202</v>
      </c>
      <c r="T30" s="12">
        <f>168+77</f>
        <v>245</v>
      </c>
      <c r="U30" s="12">
        <f>168+77</f>
        <v>245</v>
      </c>
      <c r="V30" s="139">
        <f>211+78</f>
        <v>289</v>
      </c>
      <c r="W30" s="139">
        <f>211+78</f>
        <v>289</v>
      </c>
      <c r="X30" s="12">
        <v>395</v>
      </c>
      <c r="Y30" s="12">
        <v>395</v>
      </c>
      <c r="Z30" s="12">
        <f t="shared" si="1"/>
        <v>3018</v>
      </c>
      <c r="AA30" s="12">
        <f t="shared" si="1"/>
        <v>3016</v>
      </c>
      <c r="AB30" s="21">
        <f t="shared" si="0"/>
        <v>6034</v>
      </c>
      <c r="AC30" s="139">
        <v>4560</v>
      </c>
      <c r="AD30" s="12">
        <f t="shared" si="2"/>
        <v>32.324561403508774</v>
      </c>
    </row>
    <row r="31" spans="1:30" ht="18.75" x14ac:dyDescent="0.4">
      <c r="A31" s="4" t="s">
        <v>27</v>
      </c>
      <c r="B31" s="139">
        <f>62+153</f>
        <v>215</v>
      </c>
      <c r="C31" s="139">
        <f>62+153</f>
        <v>215</v>
      </c>
      <c r="D31" s="139">
        <f>55+153</f>
        <v>208</v>
      </c>
      <c r="E31" s="139">
        <f>55+153</f>
        <v>208</v>
      </c>
      <c r="F31" s="139">
        <f>61+80</f>
        <v>141</v>
      </c>
      <c r="G31" s="139">
        <f>61+88</f>
        <v>149</v>
      </c>
      <c r="H31" s="139">
        <f>60+75</f>
        <v>135</v>
      </c>
      <c r="I31" s="139">
        <f>60+78</f>
        <v>138</v>
      </c>
      <c r="J31" s="139">
        <f>63+80</f>
        <v>143</v>
      </c>
      <c r="K31" s="139">
        <f>63+81</f>
        <v>144</v>
      </c>
      <c r="L31" s="139">
        <v>161</v>
      </c>
      <c r="M31" s="139">
        <v>159</v>
      </c>
      <c r="N31" s="139">
        <f>53+87</f>
        <v>140</v>
      </c>
      <c r="O31" s="139">
        <f>53+88</f>
        <v>141</v>
      </c>
      <c r="P31" s="139">
        <f>64+88</f>
        <v>152</v>
      </c>
      <c r="Q31" s="139">
        <f>64+88</f>
        <v>152</v>
      </c>
      <c r="R31" s="139">
        <f>60+105</f>
        <v>165</v>
      </c>
      <c r="S31" s="139">
        <f>60+107</f>
        <v>167</v>
      </c>
      <c r="T31" s="12">
        <f>58+29</f>
        <v>87</v>
      </c>
      <c r="U31" s="12">
        <f>58+30</f>
        <v>88</v>
      </c>
      <c r="V31" s="139">
        <f>85+21</f>
        <v>106</v>
      </c>
      <c r="W31" s="139">
        <f>85+21</f>
        <v>106</v>
      </c>
      <c r="X31" s="12">
        <f>83+27</f>
        <v>110</v>
      </c>
      <c r="Y31" s="12">
        <f>83+27</f>
        <v>110</v>
      </c>
      <c r="Z31" s="12">
        <f t="shared" si="1"/>
        <v>1763</v>
      </c>
      <c r="AA31" s="12">
        <f t="shared" si="1"/>
        <v>1777</v>
      </c>
      <c r="AB31" s="21">
        <f t="shared" si="0"/>
        <v>3540</v>
      </c>
      <c r="AC31" s="139">
        <v>3172</v>
      </c>
      <c r="AD31" s="12">
        <f t="shared" si="2"/>
        <v>11.601513240857503</v>
      </c>
    </row>
    <row r="32" spans="1:30" ht="18.75" x14ac:dyDescent="0.4">
      <c r="A32" s="4" t="s">
        <v>28</v>
      </c>
      <c r="B32" s="139">
        <v>2</v>
      </c>
      <c r="C32" s="139">
        <v>2</v>
      </c>
      <c r="D32" s="139">
        <v>0</v>
      </c>
      <c r="E32" s="139">
        <v>0</v>
      </c>
      <c r="F32" s="139">
        <v>6</v>
      </c>
      <c r="G32" s="139">
        <v>6</v>
      </c>
      <c r="H32" s="139">
        <v>0</v>
      </c>
      <c r="I32" s="139">
        <v>0</v>
      </c>
      <c r="J32" s="139">
        <v>0</v>
      </c>
      <c r="K32" s="139">
        <v>0</v>
      </c>
      <c r="L32" s="139">
        <v>0</v>
      </c>
      <c r="M32" s="139">
        <v>0</v>
      </c>
      <c r="N32" s="139">
        <v>0</v>
      </c>
      <c r="O32" s="139">
        <v>0</v>
      </c>
      <c r="P32" s="139">
        <v>0</v>
      </c>
      <c r="Q32" s="139">
        <v>0</v>
      </c>
      <c r="R32" s="139">
        <v>7</v>
      </c>
      <c r="S32" s="139">
        <v>7</v>
      </c>
      <c r="T32" s="12">
        <f>6</f>
        <v>6</v>
      </c>
      <c r="U32" s="12">
        <v>6</v>
      </c>
      <c r="V32" s="139">
        <v>10</v>
      </c>
      <c r="W32" s="139">
        <v>10</v>
      </c>
      <c r="X32" s="12">
        <v>5</v>
      </c>
      <c r="Y32" s="12">
        <v>5</v>
      </c>
      <c r="Z32" s="12">
        <f t="shared" si="1"/>
        <v>36</v>
      </c>
      <c r="AA32" s="12">
        <f t="shared" si="1"/>
        <v>36</v>
      </c>
      <c r="AB32" s="21">
        <f t="shared" si="0"/>
        <v>72</v>
      </c>
      <c r="AC32" s="139">
        <v>43</v>
      </c>
      <c r="AD32" s="12">
        <f t="shared" si="2"/>
        <v>67.441860465116278</v>
      </c>
    </row>
    <row r="33" spans="1:30" ht="18.75" x14ac:dyDescent="0.4">
      <c r="A33" s="4" t="s">
        <v>29</v>
      </c>
      <c r="B33" s="139">
        <f>109+17</f>
        <v>126</v>
      </c>
      <c r="C33" s="139">
        <f>109+17</f>
        <v>126</v>
      </c>
      <c r="D33" s="139">
        <v>157</v>
      </c>
      <c r="E33" s="139">
        <v>156</v>
      </c>
      <c r="F33" s="139">
        <f>106+37</f>
        <v>143</v>
      </c>
      <c r="G33" s="139">
        <f>106+37</f>
        <v>143</v>
      </c>
      <c r="H33" s="139">
        <f>95+38</f>
        <v>133</v>
      </c>
      <c r="I33" s="139">
        <f>95+38</f>
        <v>133</v>
      </c>
      <c r="J33" s="228">
        <f>105+30</f>
        <v>135</v>
      </c>
      <c r="K33" s="229">
        <f>105+30</f>
        <v>135</v>
      </c>
      <c r="L33" s="229">
        <v>144</v>
      </c>
      <c r="M33" s="234">
        <v>144</v>
      </c>
      <c r="N33" s="139">
        <f>97+18</f>
        <v>115</v>
      </c>
      <c r="O33" s="139">
        <f>97+18</f>
        <v>115</v>
      </c>
      <c r="P33" s="139">
        <f>86+51</f>
        <v>137</v>
      </c>
      <c r="Q33" s="139">
        <f>86+51</f>
        <v>137</v>
      </c>
      <c r="R33" s="139">
        <f>94+46</f>
        <v>140</v>
      </c>
      <c r="S33" s="139">
        <f>94+46</f>
        <v>140</v>
      </c>
      <c r="T33" s="12">
        <v>199</v>
      </c>
      <c r="U33" s="12">
        <v>199</v>
      </c>
      <c r="V33" s="139">
        <f>108+52</f>
        <v>160</v>
      </c>
      <c r="W33" s="139">
        <f>107+52</f>
        <v>159</v>
      </c>
      <c r="X33" s="12">
        <f>101+38</f>
        <v>139</v>
      </c>
      <c r="Y33" s="12">
        <f>101+38</f>
        <v>139</v>
      </c>
      <c r="Z33" s="12">
        <f t="shared" si="1"/>
        <v>1728</v>
      </c>
      <c r="AA33" s="12">
        <f t="shared" si="1"/>
        <v>1726</v>
      </c>
      <c r="AB33" s="21">
        <f t="shared" si="0"/>
        <v>3454</v>
      </c>
      <c r="AC33" s="139">
        <v>2479</v>
      </c>
      <c r="AD33" s="12">
        <f t="shared" si="2"/>
        <v>39.330375151270673</v>
      </c>
    </row>
    <row r="34" spans="1:30" ht="18.75" x14ac:dyDescent="0.4">
      <c r="A34" s="4" t="s">
        <v>30</v>
      </c>
      <c r="B34" s="139">
        <v>0</v>
      </c>
      <c r="C34" s="139">
        <v>0</v>
      </c>
      <c r="D34" s="139">
        <v>0</v>
      </c>
      <c r="E34" s="139">
        <v>0</v>
      </c>
      <c r="F34" s="139">
        <v>0</v>
      </c>
      <c r="G34" s="139">
        <v>0</v>
      </c>
      <c r="H34" s="139">
        <v>0</v>
      </c>
      <c r="I34" s="139">
        <v>0</v>
      </c>
      <c r="J34" s="228">
        <v>0</v>
      </c>
      <c r="K34" s="229">
        <v>0</v>
      </c>
      <c r="L34" s="229">
        <v>0</v>
      </c>
      <c r="M34" s="234">
        <v>0</v>
      </c>
      <c r="N34" s="139">
        <v>0</v>
      </c>
      <c r="O34" s="139">
        <v>0</v>
      </c>
      <c r="P34" s="139">
        <v>0</v>
      </c>
      <c r="Q34" s="139">
        <v>0</v>
      </c>
      <c r="R34" s="139">
        <v>0</v>
      </c>
      <c r="S34" s="139">
        <v>0</v>
      </c>
      <c r="T34" s="12">
        <v>6</v>
      </c>
      <c r="U34" s="12">
        <v>6</v>
      </c>
      <c r="V34" s="139">
        <v>0</v>
      </c>
      <c r="W34" s="139">
        <v>0</v>
      </c>
      <c r="X34" s="12">
        <v>0</v>
      </c>
      <c r="Y34" s="12">
        <v>0</v>
      </c>
      <c r="Z34" s="12">
        <f t="shared" si="1"/>
        <v>6</v>
      </c>
      <c r="AA34" s="12">
        <f t="shared" si="1"/>
        <v>6</v>
      </c>
      <c r="AB34" s="21">
        <f t="shared" si="0"/>
        <v>12</v>
      </c>
      <c r="AC34" s="139">
        <v>0</v>
      </c>
      <c r="AD34" s="12" t="e">
        <f t="shared" si="2"/>
        <v>#DIV/0!</v>
      </c>
    </row>
    <row r="35" spans="1:30" ht="18.75" x14ac:dyDescent="0.4">
      <c r="A35" s="4" t="s">
        <v>31</v>
      </c>
      <c r="B35" s="139">
        <f>74+12</f>
        <v>86</v>
      </c>
      <c r="C35" s="139">
        <f>72+13</f>
        <v>85</v>
      </c>
      <c r="D35" s="139">
        <f>60+31</f>
        <v>91</v>
      </c>
      <c r="E35" s="139">
        <f>60+31</f>
        <v>91</v>
      </c>
      <c r="F35" s="139">
        <f>76+32</f>
        <v>108</v>
      </c>
      <c r="G35" s="139">
        <f>75+32</f>
        <v>107</v>
      </c>
      <c r="H35" s="139">
        <f>75+47</f>
        <v>122</v>
      </c>
      <c r="I35" s="139">
        <f>78+47</f>
        <v>125</v>
      </c>
      <c r="J35" s="228">
        <f>84+30</f>
        <v>114</v>
      </c>
      <c r="K35" s="229">
        <f>84+30</f>
        <v>114</v>
      </c>
      <c r="L35" s="231">
        <f>81+36</f>
        <v>117</v>
      </c>
      <c r="M35" s="234">
        <f>81+36</f>
        <v>117</v>
      </c>
      <c r="N35" s="139">
        <f>66+27</f>
        <v>93</v>
      </c>
      <c r="O35" s="139">
        <f>66+27</f>
        <v>93</v>
      </c>
      <c r="P35" s="139">
        <f>67+38</f>
        <v>105</v>
      </c>
      <c r="Q35" s="139">
        <f>65+38</f>
        <v>103</v>
      </c>
      <c r="R35" s="238">
        <v>101</v>
      </c>
      <c r="S35" s="238">
        <v>101</v>
      </c>
      <c r="T35" s="12">
        <f>67+34</f>
        <v>101</v>
      </c>
      <c r="U35" s="12">
        <f>81+34</f>
        <v>115</v>
      </c>
      <c r="V35" s="139">
        <f>94+42</f>
        <v>136</v>
      </c>
      <c r="W35" s="139">
        <f>94+42</f>
        <v>136</v>
      </c>
      <c r="X35" s="12">
        <f>84+28</f>
        <v>112</v>
      </c>
      <c r="Y35" s="12">
        <f>84+28</f>
        <v>112</v>
      </c>
      <c r="Z35" s="12">
        <f t="shared" si="1"/>
        <v>1286</v>
      </c>
      <c r="AA35" s="12">
        <f t="shared" si="1"/>
        <v>1299</v>
      </c>
      <c r="AB35" s="21">
        <f t="shared" si="0"/>
        <v>2585</v>
      </c>
      <c r="AC35" s="139">
        <v>2356</v>
      </c>
      <c r="AD35" s="12">
        <f t="shared" si="2"/>
        <v>9.719864176570459</v>
      </c>
    </row>
    <row r="36" spans="1:30" ht="18.75" x14ac:dyDescent="0.4">
      <c r="A36" s="4" t="s">
        <v>98</v>
      </c>
      <c r="B36" s="139">
        <f>37+14</f>
        <v>51</v>
      </c>
      <c r="C36" s="139">
        <f>37+14</f>
        <v>51</v>
      </c>
      <c r="D36" s="139">
        <v>50</v>
      </c>
      <c r="E36" s="139">
        <v>50</v>
      </c>
      <c r="F36" s="139">
        <v>74</v>
      </c>
      <c r="G36" s="139">
        <v>74</v>
      </c>
      <c r="H36" s="139">
        <f>46</f>
        <v>46</v>
      </c>
      <c r="I36" s="139">
        <v>46</v>
      </c>
      <c r="J36" s="228">
        <f>36</f>
        <v>36</v>
      </c>
      <c r="K36" s="229">
        <v>36</v>
      </c>
      <c r="L36" s="229">
        <v>51</v>
      </c>
      <c r="M36" s="234">
        <v>51</v>
      </c>
      <c r="N36" s="139">
        <v>39</v>
      </c>
      <c r="O36" s="139">
        <v>39</v>
      </c>
      <c r="P36" s="229">
        <v>34</v>
      </c>
      <c r="Q36" s="229">
        <v>33</v>
      </c>
      <c r="R36" s="229">
        <v>43</v>
      </c>
      <c r="S36" s="229">
        <v>43</v>
      </c>
      <c r="T36" s="3">
        <v>5</v>
      </c>
      <c r="U36" s="3">
        <v>5</v>
      </c>
      <c r="V36" s="139">
        <f>23+45</f>
        <v>68</v>
      </c>
      <c r="W36" s="139">
        <f>23+45</f>
        <v>68</v>
      </c>
      <c r="X36" s="12">
        <v>28</v>
      </c>
      <c r="Y36" s="12">
        <v>28</v>
      </c>
      <c r="Z36" s="12">
        <f t="shared" si="1"/>
        <v>525</v>
      </c>
      <c r="AA36" s="12">
        <f t="shared" si="1"/>
        <v>524</v>
      </c>
      <c r="AB36" s="21">
        <f t="shared" si="0"/>
        <v>1049</v>
      </c>
      <c r="AC36" s="139">
        <v>520</v>
      </c>
      <c r="AD36" s="12">
        <f t="shared" si="2"/>
        <v>101.73076923076923</v>
      </c>
    </row>
    <row r="37" spans="1:30" ht="18.75" x14ac:dyDescent="0.4">
      <c r="A37" s="4" t="s">
        <v>33</v>
      </c>
      <c r="B37" s="139">
        <v>0</v>
      </c>
      <c r="C37" s="139">
        <v>0</v>
      </c>
      <c r="D37" s="139">
        <v>0</v>
      </c>
      <c r="E37" s="139">
        <v>0</v>
      </c>
      <c r="F37" s="139">
        <v>0</v>
      </c>
      <c r="G37" s="139">
        <v>0</v>
      </c>
      <c r="H37" s="139">
        <v>0</v>
      </c>
      <c r="I37" s="139">
        <v>0</v>
      </c>
      <c r="J37" s="230">
        <v>0</v>
      </c>
      <c r="K37" s="231">
        <v>0</v>
      </c>
      <c r="L37" s="229">
        <v>0</v>
      </c>
      <c r="M37" s="234">
        <v>0</v>
      </c>
      <c r="N37" s="139">
        <v>0</v>
      </c>
      <c r="O37" s="139">
        <v>0</v>
      </c>
      <c r="P37" s="229">
        <v>0</v>
      </c>
      <c r="Q37" s="229">
        <v>0</v>
      </c>
      <c r="R37" s="229">
        <v>6</v>
      </c>
      <c r="S37" s="229">
        <v>6</v>
      </c>
      <c r="T37" s="3">
        <v>20</v>
      </c>
      <c r="U37" s="3">
        <v>20</v>
      </c>
      <c r="V37" s="139">
        <v>0</v>
      </c>
      <c r="W37" s="139">
        <v>0</v>
      </c>
      <c r="X37" s="12">
        <v>0</v>
      </c>
      <c r="Y37" s="12">
        <v>0</v>
      </c>
      <c r="Z37" s="12">
        <f t="shared" si="1"/>
        <v>26</v>
      </c>
      <c r="AA37" s="12">
        <f t="shared" si="1"/>
        <v>26</v>
      </c>
      <c r="AB37" s="21">
        <f t="shared" si="0"/>
        <v>52</v>
      </c>
      <c r="AC37" s="139">
        <v>0</v>
      </c>
      <c r="AD37" s="12" t="e">
        <f t="shared" si="2"/>
        <v>#DIV/0!</v>
      </c>
    </row>
    <row r="38" spans="1:30" ht="18.75" x14ac:dyDescent="0.4">
      <c r="A38" s="4" t="s">
        <v>34</v>
      </c>
      <c r="B38" s="139">
        <v>36</v>
      </c>
      <c r="C38" s="139">
        <v>36</v>
      </c>
      <c r="D38" s="139">
        <v>46</v>
      </c>
      <c r="E38" s="139">
        <v>46</v>
      </c>
      <c r="F38" s="139">
        <v>63</v>
      </c>
      <c r="G38" s="139">
        <v>63</v>
      </c>
      <c r="H38" s="139">
        <f>10+54+2</f>
        <v>66</v>
      </c>
      <c r="I38" s="139">
        <f>10+54+2</f>
        <v>66</v>
      </c>
      <c r="J38" s="228">
        <v>64</v>
      </c>
      <c r="K38" s="229">
        <v>64</v>
      </c>
      <c r="L38" s="229">
        <f>6+80</f>
        <v>86</v>
      </c>
      <c r="M38" s="234">
        <f>6+80</f>
        <v>86</v>
      </c>
      <c r="N38" s="139">
        <f>9+18</f>
        <v>27</v>
      </c>
      <c r="O38" s="139">
        <f>9+18</f>
        <v>27</v>
      </c>
      <c r="P38" s="139">
        <f>9+20+2</f>
        <v>31</v>
      </c>
      <c r="Q38" s="139">
        <f>9+20+2</f>
        <v>31</v>
      </c>
      <c r="R38" s="139">
        <f>5+16</f>
        <v>21</v>
      </c>
      <c r="S38" s="139">
        <f>5+16</f>
        <v>21</v>
      </c>
      <c r="T38" s="12">
        <v>59</v>
      </c>
      <c r="U38" s="12">
        <v>59</v>
      </c>
      <c r="V38" s="139">
        <f>12+52</f>
        <v>64</v>
      </c>
      <c r="W38" s="139">
        <f>12+52</f>
        <v>64</v>
      </c>
      <c r="X38" s="12">
        <v>36</v>
      </c>
      <c r="Y38" s="12">
        <v>36</v>
      </c>
      <c r="Z38" s="12">
        <f t="shared" si="1"/>
        <v>599</v>
      </c>
      <c r="AA38" s="12">
        <f t="shared" si="1"/>
        <v>599</v>
      </c>
      <c r="AB38" s="21">
        <f t="shared" si="0"/>
        <v>1198</v>
      </c>
      <c r="AC38" s="139">
        <v>1254</v>
      </c>
      <c r="AD38" s="12">
        <f t="shared" si="2"/>
        <v>-4.4657097288676235</v>
      </c>
    </row>
    <row r="39" spans="1:30" ht="18.75" x14ac:dyDescent="0.4">
      <c r="A39" s="4" t="s">
        <v>99</v>
      </c>
      <c r="B39" s="139">
        <v>23</v>
      </c>
      <c r="C39" s="139">
        <v>23</v>
      </c>
      <c r="D39" s="139">
        <v>10</v>
      </c>
      <c r="E39" s="139">
        <v>10</v>
      </c>
      <c r="F39" s="139">
        <v>35</v>
      </c>
      <c r="G39" s="139">
        <v>34</v>
      </c>
      <c r="H39" s="139">
        <f>13+4</f>
        <v>17</v>
      </c>
      <c r="I39" s="139">
        <f>13+4</f>
        <v>17</v>
      </c>
      <c r="J39" s="228">
        <v>11</v>
      </c>
      <c r="K39" s="229">
        <v>11</v>
      </c>
      <c r="L39" s="229">
        <v>20</v>
      </c>
      <c r="M39" s="234">
        <v>20</v>
      </c>
      <c r="N39" s="139">
        <v>11</v>
      </c>
      <c r="O39" s="139">
        <v>11</v>
      </c>
      <c r="P39" s="139">
        <f>15+5</f>
        <v>20</v>
      </c>
      <c r="Q39" s="139">
        <f>15+5</f>
        <v>20</v>
      </c>
      <c r="R39" s="139">
        <f>19+2</f>
        <v>21</v>
      </c>
      <c r="S39" s="139">
        <f>19+2</f>
        <v>21</v>
      </c>
      <c r="T39" s="12">
        <f>19</f>
        <v>19</v>
      </c>
      <c r="U39" s="12">
        <v>20</v>
      </c>
      <c r="V39" s="139">
        <v>22</v>
      </c>
      <c r="W39" s="139">
        <v>23</v>
      </c>
      <c r="X39" s="12">
        <v>15</v>
      </c>
      <c r="Y39" s="12">
        <v>15</v>
      </c>
      <c r="Z39" s="12">
        <f t="shared" si="1"/>
        <v>224</v>
      </c>
      <c r="AA39" s="12">
        <f t="shared" si="1"/>
        <v>225</v>
      </c>
      <c r="AB39" s="21">
        <f t="shared" si="0"/>
        <v>449</v>
      </c>
      <c r="AC39" s="139">
        <v>475</v>
      </c>
      <c r="AD39" s="12">
        <f t="shared" si="2"/>
        <v>-5.4736842105263159</v>
      </c>
    </row>
    <row r="40" spans="1:30" ht="18.75" x14ac:dyDescent="0.4">
      <c r="A40" s="4" t="s">
        <v>36</v>
      </c>
      <c r="B40" s="139">
        <v>0</v>
      </c>
      <c r="C40" s="139">
        <v>0</v>
      </c>
      <c r="D40" s="139">
        <v>0</v>
      </c>
      <c r="E40" s="139">
        <v>0</v>
      </c>
      <c r="F40" s="139">
        <v>0</v>
      </c>
      <c r="G40" s="139">
        <v>1</v>
      </c>
      <c r="H40" s="139">
        <v>0</v>
      </c>
      <c r="I40" s="139">
        <v>0</v>
      </c>
      <c r="J40" s="228">
        <v>0</v>
      </c>
      <c r="K40" s="229">
        <v>0</v>
      </c>
      <c r="L40" s="229">
        <v>0</v>
      </c>
      <c r="M40" s="234">
        <v>0</v>
      </c>
      <c r="N40" s="139">
        <v>0</v>
      </c>
      <c r="O40" s="139">
        <v>0</v>
      </c>
      <c r="P40" s="139">
        <v>0</v>
      </c>
      <c r="Q40" s="139">
        <v>0</v>
      </c>
      <c r="R40" s="139">
        <f>9+2</f>
        <v>11</v>
      </c>
      <c r="S40" s="139">
        <f>9+2</f>
        <v>11</v>
      </c>
      <c r="T40" s="12">
        <f>11+2</f>
        <v>13</v>
      </c>
      <c r="U40" s="12">
        <v>13</v>
      </c>
      <c r="V40" s="139">
        <v>0</v>
      </c>
      <c r="W40" s="139">
        <v>0</v>
      </c>
      <c r="X40" s="12">
        <v>0</v>
      </c>
      <c r="Y40" s="12">
        <v>0</v>
      </c>
      <c r="Z40" s="12">
        <f t="shared" si="1"/>
        <v>24</v>
      </c>
      <c r="AA40" s="12">
        <f t="shared" si="1"/>
        <v>25</v>
      </c>
      <c r="AB40" s="21">
        <f t="shared" si="0"/>
        <v>49</v>
      </c>
      <c r="AC40" s="139">
        <v>10</v>
      </c>
      <c r="AD40" s="12">
        <f t="shared" si="2"/>
        <v>390</v>
      </c>
    </row>
    <row r="41" spans="1:30" ht="18.75" x14ac:dyDescent="0.4">
      <c r="A41" s="4" t="s">
        <v>37</v>
      </c>
      <c r="B41" s="139">
        <v>12</v>
      </c>
      <c r="C41" s="139">
        <v>12</v>
      </c>
      <c r="D41" s="139">
        <v>15</v>
      </c>
      <c r="E41" s="139">
        <v>15</v>
      </c>
      <c r="F41" s="139">
        <v>22</v>
      </c>
      <c r="G41" s="139">
        <v>22</v>
      </c>
      <c r="H41" s="139">
        <v>15</v>
      </c>
      <c r="I41" s="139">
        <v>15</v>
      </c>
      <c r="J41" s="139">
        <v>11</v>
      </c>
      <c r="K41" s="139">
        <v>11</v>
      </c>
      <c r="L41" s="139">
        <v>10</v>
      </c>
      <c r="M41" s="139">
        <v>10</v>
      </c>
      <c r="N41" s="139">
        <v>10</v>
      </c>
      <c r="O41" s="139">
        <v>10</v>
      </c>
      <c r="P41" s="231">
        <v>6</v>
      </c>
      <c r="Q41" s="231">
        <v>6</v>
      </c>
      <c r="R41" s="236">
        <v>5</v>
      </c>
      <c r="S41" s="236">
        <v>5</v>
      </c>
      <c r="T41" s="12">
        <v>10</v>
      </c>
      <c r="U41" s="12">
        <v>11</v>
      </c>
      <c r="V41" s="139">
        <v>33</v>
      </c>
      <c r="W41" s="139">
        <v>33</v>
      </c>
      <c r="X41" s="12">
        <v>10</v>
      </c>
      <c r="Y41" s="12">
        <v>10</v>
      </c>
      <c r="Z41" s="12">
        <f t="shared" si="1"/>
        <v>159</v>
      </c>
      <c r="AA41" s="12">
        <f t="shared" si="1"/>
        <v>160</v>
      </c>
      <c r="AB41" s="21">
        <f t="shared" si="0"/>
        <v>319</v>
      </c>
      <c r="AC41" s="139">
        <v>289</v>
      </c>
      <c r="AD41" s="12">
        <f t="shared" si="2"/>
        <v>10.380622837370241</v>
      </c>
    </row>
    <row r="42" spans="1:30" ht="18.75" x14ac:dyDescent="0.4">
      <c r="A42" s="4" t="s">
        <v>100</v>
      </c>
      <c r="B42" s="139">
        <f t="shared" ref="B42:Q42" si="3">SUM(B9:B41)</f>
        <v>9294</v>
      </c>
      <c r="C42" s="139">
        <f t="shared" si="3"/>
        <v>9161</v>
      </c>
      <c r="D42" s="139">
        <f t="shared" si="3"/>
        <v>9390</v>
      </c>
      <c r="E42" s="139">
        <f t="shared" si="3"/>
        <v>9406</v>
      </c>
      <c r="F42" s="139">
        <f t="shared" si="3"/>
        <v>10181</v>
      </c>
      <c r="G42" s="139">
        <f t="shared" si="3"/>
        <v>10250</v>
      </c>
      <c r="H42" s="139">
        <f t="shared" si="3"/>
        <v>10837</v>
      </c>
      <c r="I42" s="139">
        <f t="shared" si="3"/>
        <v>10821</v>
      </c>
      <c r="J42" s="139">
        <f t="shared" si="3"/>
        <v>10644</v>
      </c>
      <c r="K42" s="139">
        <f t="shared" si="3"/>
        <v>10635</v>
      </c>
      <c r="L42" s="139">
        <f t="shared" si="3"/>
        <v>10696</v>
      </c>
      <c r="M42" s="139">
        <f t="shared" si="3"/>
        <v>10712</v>
      </c>
      <c r="N42" s="140">
        <f t="shared" si="3"/>
        <v>10038</v>
      </c>
      <c r="O42" s="140">
        <f t="shared" si="3"/>
        <v>9987</v>
      </c>
      <c r="P42" s="140">
        <f t="shared" si="3"/>
        <v>10536</v>
      </c>
      <c r="Q42" s="140">
        <f t="shared" si="3"/>
        <v>10534</v>
      </c>
      <c r="R42" s="140">
        <v>11354</v>
      </c>
      <c r="S42" s="140">
        <v>11168</v>
      </c>
      <c r="T42" s="25">
        <f t="shared" ref="T42:AA42" si="4">SUM(T9:T41)</f>
        <v>11486</v>
      </c>
      <c r="U42" s="25">
        <f t="shared" si="4"/>
        <v>11499</v>
      </c>
      <c r="V42" s="140">
        <f t="shared" si="4"/>
        <v>11795</v>
      </c>
      <c r="W42" s="140">
        <f t="shared" si="4"/>
        <v>11887</v>
      </c>
      <c r="X42" s="25">
        <f t="shared" si="4"/>
        <v>12342</v>
      </c>
      <c r="Y42" s="25">
        <f t="shared" si="4"/>
        <v>12343</v>
      </c>
      <c r="Z42" s="25">
        <f t="shared" si="4"/>
        <v>128958</v>
      </c>
      <c r="AA42" s="25">
        <f t="shared" si="4"/>
        <v>128776</v>
      </c>
      <c r="AB42" s="21">
        <f t="shared" si="0"/>
        <v>257734</v>
      </c>
      <c r="AC42" s="140">
        <f>SUM(AC9:AC41)</f>
        <v>227644</v>
      </c>
      <c r="AD42" s="12">
        <f t="shared" si="2"/>
        <v>13.218007063660803</v>
      </c>
    </row>
    <row r="43" spans="1:30" x14ac:dyDescent="0.25"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</row>
  </sheetData>
  <mergeCells count="16">
    <mergeCell ref="P7:Q7"/>
    <mergeCell ref="R7:S7"/>
    <mergeCell ref="T7:U7"/>
    <mergeCell ref="V7:W7"/>
    <mergeCell ref="X7:Y7"/>
    <mergeCell ref="A1:O1"/>
    <mergeCell ref="A2:O2"/>
    <mergeCell ref="A3:O3"/>
    <mergeCell ref="A4:O4"/>
    <mergeCell ref="N7:O7"/>
    <mergeCell ref="B7:C7"/>
    <mergeCell ref="D7:E7"/>
    <mergeCell ref="F7:G7"/>
    <mergeCell ref="H7:I7"/>
    <mergeCell ref="J7:K7"/>
    <mergeCell ref="L7:M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44"/>
  <sheetViews>
    <sheetView zoomScale="90" zoomScaleNormal="90" workbookViewId="0">
      <selection activeCell="A2" sqref="A2:N2"/>
    </sheetView>
  </sheetViews>
  <sheetFormatPr defaultRowHeight="15" x14ac:dyDescent="0.25"/>
  <cols>
    <col min="1" max="1" width="20.5703125" customWidth="1"/>
    <col min="2" max="28" width="11.7109375" customWidth="1"/>
    <col min="29" max="29" width="11.42578125" customWidth="1"/>
  </cols>
  <sheetData>
    <row r="1" spans="1:33" ht="24.75" x14ac:dyDescent="0.5">
      <c r="A1" s="329"/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00"/>
    </row>
    <row r="2" spans="1:33" s="2" customFormat="1" ht="24.75" x14ac:dyDescent="0.5">
      <c r="A2" s="329"/>
      <c r="B2" s="329"/>
      <c r="C2" s="329"/>
      <c r="D2" s="329"/>
      <c r="E2" s="329"/>
      <c r="F2" s="329"/>
      <c r="G2" s="329"/>
      <c r="H2" s="329"/>
      <c r="I2" s="329"/>
      <c r="J2" s="329"/>
      <c r="K2" s="329"/>
      <c r="L2" s="329"/>
      <c r="M2" s="329"/>
      <c r="N2" s="329"/>
    </row>
    <row r="3" spans="1:33" s="2" customFormat="1" ht="24.75" x14ac:dyDescent="0.5">
      <c r="A3" s="329" t="s">
        <v>117</v>
      </c>
      <c r="B3" s="329"/>
      <c r="C3" s="329"/>
      <c r="D3" s="329"/>
      <c r="E3" s="329"/>
      <c r="F3" s="329"/>
      <c r="G3" s="329"/>
      <c r="H3" s="329"/>
      <c r="I3" s="329"/>
      <c r="J3" s="329"/>
      <c r="K3" s="329"/>
      <c r="L3" s="329"/>
      <c r="M3" s="329"/>
      <c r="N3" s="300"/>
    </row>
    <row r="4" spans="1:33" ht="18.75" x14ac:dyDescent="0.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33" ht="23.25" thickBot="1" x14ac:dyDescent="0.5">
      <c r="A5" s="330" t="s">
        <v>118</v>
      </c>
      <c r="B5" s="330"/>
      <c r="C5" s="330"/>
      <c r="D5" s="330"/>
      <c r="E5" s="330"/>
      <c r="F5" s="330"/>
      <c r="G5" s="330"/>
      <c r="H5" s="330"/>
      <c r="I5" s="330"/>
      <c r="J5" s="330"/>
      <c r="K5" s="330"/>
      <c r="L5" s="330"/>
      <c r="M5" s="330"/>
      <c r="N5" s="330"/>
    </row>
    <row r="6" spans="1:33" ht="19.5" x14ac:dyDescent="0.4">
      <c r="A6" s="141"/>
      <c r="B6" s="331" t="s">
        <v>1</v>
      </c>
      <c r="C6" s="332"/>
      <c r="D6" s="331" t="s">
        <v>39</v>
      </c>
      <c r="E6" s="332"/>
      <c r="F6" s="331" t="s">
        <v>2</v>
      </c>
      <c r="G6" s="332"/>
      <c r="H6" s="331" t="s">
        <v>40</v>
      </c>
      <c r="I6" s="332"/>
      <c r="J6" s="331" t="s">
        <v>3</v>
      </c>
      <c r="K6" s="332"/>
      <c r="L6" s="331" t="s">
        <v>4</v>
      </c>
      <c r="M6" s="332"/>
      <c r="N6" s="322" t="s">
        <v>5</v>
      </c>
      <c r="O6" s="323"/>
      <c r="P6" s="322" t="s">
        <v>41</v>
      </c>
      <c r="Q6" s="323"/>
      <c r="R6" s="322" t="s">
        <v>42</v>
      </c>
      <c r="S6" s="323"/>
      <c r="T6" s="322" t="s">
        <v>43</v>
      </c>
      <c r="U6" s="324"/>
      <c r="V6" s="142" t="s">
        <v>44</v>
      </c>
      <c r="W6" s="143"/>
      <c r="X6" s="314" t="s">
        <v>45</v>
      </c>
      <c r="Y6" s="315"/>
      <c r="Z6" s="333" t="s">
        <v>46</v>
      </c>
      <c r="AA6" s="334"/>
      <c r="AB6" s="335"/>
      <c r="AC6" s="28" t="s">
        <v>47</v>
      </c>
      <c r="AD6" s="28" t="s">
        <v>6</v>
      </c>
    </row>
    <row r="7" spans="1:33" ht="19.5" x14ac:dyDescent="0.4">
      <c r="A7" s="141" t="s">
        <v>0</v>
      </c>
      <c r="B7" s="144" t="s">
        <v>49</v>
      </c>
      <c r="C7" s="145" t="s">
        <v>50</v>
      </c>
      <c r="D7" s="144" t="s">
        <v>49</v>
      </c>
      <c r="E7" s="145" t="s">
        <v>50</v>
      </c>
      <c r="F7" s="144" t="s">
        <v>49</v>
      </c>
      <c r="G7" s="145" t="s">
        <v>50</v>
      </c>
      <c r="H7" s="144" t="s">
        <v>49</v>
      </c>
      <c r="I7" s="145" t="s">
        <v>50</v>
      </c>
      <c r="J7" s="146" t="s">
        <v>49</v>
      </c>
      <c r="K7" s="145" t="s">
        <v>50</v>
      </c>
      <c r="L7" s="144" t="s">
        <v>49</v>
      </c>
      <c r="M7" s="147" t="s">
        <v>50</v>
      </c>
      <c r="N7" s="33" t="s">
        <v>49</v>
      </c>
      <c r="O7" s="33" t="s">
        <v>50</v>
      </c>
      <c r="P7" s="33" t="s">
        <v>49</v>
      </c>
      <c r="Q7" s="33" t="s">
        <v>50</v>
      </c>
      <c r="R7" s="33" t="s">
        <v>49</v>
      </c>
      <c r="S7" s="33" t="s">
        <v>50</v>
      </c>
      <c r="T7" s="33" t="s">
        <v>49</v>
      </c>
      <c r="U7" s="33" t="s">
        <v>50</v>
      </c>
      <c r="V7" s="33" t="s">
        <v>49</v>
      </c>
      <c r="W7" s="33" t="s">
        <v>50</v>
      </c>
      <c r="X7" s="33" t="s">
        <v>49</v>
      </c>
      <c r="Y7" s="34" t="s">
        <v>50</v>
      </c>
      <c r="Z7" s="148" t="s">
        <v>49</v>
      </c>
      <c r="AA7" s="148" t="s">
        <v>50</v>
      </c>
      <c r="AB7" s="148" t="s">
        <v>38</v>
      </c>
      <c r="AC7" s="28">
        <v>2014</v>
      </c>
      <c r="AD7" s="149">
        <v>2015</v>
      </c>
    </row>
    <row r="8" spans="1:33" ht="19.5" x14ac:dyDescent="0.4">
      <c r="A8" s="141" t="s">
        <v>7</v>
      </c>
      <c r="B8" s="150">
        <v>3139</v>
      </c>
      <c r="C8" s="150">
        <v>3163</v>
      </c>
      <c r="D8" s="150">
        <v>3085</v>
      </c>
      <c r="E8" s="150">
        <v>3121</v>
      </c>
      <c r="F8" s="150">
        <v>3082</v>
      </c>
      <c r="G8" s="150">
        <v>3163</v>
      </c>
      <c r="H8" s="150">
        <v>2931</v>
      </c>
      <c r="I8" s="150">
        <v>2977</v>
      </c>
      <c r="J8" s="150">
        <v>2730</v>
      </c>
      <c r="K8" s="150">
        <v>2790</v>
      </c>
      <c r="L8" s="150">
        <v>2862</v>
      </c>
      <c r="M8" s="150">
        <v>2859</v>
      </c>
      <c r="N8" s="35">
        <v>2858</v>
      </c>
      <c r="O8" s="35">
        <v>2831</v>
      </c>
      <c r="P8" s="35">
        <v>2832</v>
      </c>
      <c r="Q8" s="35">
        <v>2873</v>
      </c>
      <c r="R8" s="151">
        <v>2881</v>
      </c>
      <c r="S8" s="151">
        <v>2931</v>
      </c>
      <c r="T8" s="48">
        <v>3030</v>
      </c>
      <c r="U8" s="48">
        <v>3008</v>
      </c>
      <c r="V8" s="49">
        <v>3015</v>
      </c>
      <c r="W8" s="49">
        <v>2999</v>
      </c>
      <c r="X8" s="48">
        <v>3004</v>
      </c>
      <c r="Y8" s="50">
        <v>3004</v>
      </c>
      <c r="Z8" s="39">
        <f>B8+D8+F8+H8+J8+L8+N8+P8+R8+T8+V8+X8</f>
        <v>35449</v>
      </c>
      <c r="AA8" s="39">
        <f>C8+E8+G8+I8+K8+M8+O8+Q8+S8+U8+W8+Y8</f>
        <v>35719</v>
      </c>
      <c r="AB8" s="39">
        <f t="shared" ref="AB8:AB40" si="0">SUM(Z8:AA8)</f>
        <v>71168</v>
      </c>
      <c r="AC8" s="35">
        <v>76489</v>
      </c>
      <c r="AD8" s="40">
        <f>(AB8-AC8)*100/AC8</f>
        <v>-6.9565558446312545</v>
      </c>
      <c r="AG8" s="59"/>
    </row>
    <row r="9" spans="1:33" ht="19.5" x14ac:dyDescent="0.4">
      <c r="A9" s="141" t="s">
        <v>51</v>
      </c>
      <c r="B9" s="150">
        <v>1281</v>
      </c>
      <c r="C9" s="150">
        <v>1262</v>
      </c>
      <c r="D9" s="150">
        <v>1105</v>
      </c>
      <c r="E9" s="150">
        <v>1081</v>
      </c>
      <c r="F9" s="150">
        <v>1258</v>
      </c>
      <c r="G9" s="150">
        <v>1240</v>
      </c>
      <c r="H9" s="150">
        <v>1184</v>
      </c>
      <c r="I9" s="150">
        <v>1170</v>
      </c>
      <c r="J9" s="150">
        <v>1245</v>
      </c>
      <c r="K9" s="150">
        <v>989</v>
      </c>
      <c r="L9" s="150">
        <v>1342</v>
      </c>
      <c r="M9" s="150">
        <v>1281</v>
      </c>
      <c r="N9" s="35">
        <v>1307</v>
      </c>
      <c r="O9" s="35">
        <v>1361</v>
      </c>
      <c r="P9" s="35">
        <v>1282</v>
      </c>
      <c r="Q9" s="35">
        <v>1255</v>
      </c>
      <c r="R9" s="151">
        <v>1311</v>
      </c>
      <c r="S9" s="151">
        <v>1236</v>
      </c>
      <c r="T9" s="48">
        <v>1288</v>
      </c>
      <c r="U9" s="48">
        <v>1308</v>
      </c>
      <c r="V9" s="49">
        <v>1264</v>
      </c>
      <c r="W9" s="49">
        <v>1263</v>
      </c>
      <c r="X9" s="48">
        <v>1278</v>
      </c>
      <c r="Y9" s="50">
        <v>1282</v>
      </c>
      <c r="Z9" s="39">
        <f t="shared" ref="Z9:AA24" si="1">B9+D9+F9+H9+J9+L9+N9+P9+R9+T9+V9+X9</f>
        <v>15145</v>
      </c>
      <c r="AA9" s="39">
        <f t="shared" si="1"/>
        <v>14728</v>
      </c>
      <c r="AB9" s="39">
        <f t="shared" si="0"/>
        <v>29873</v>
      </c>
      <c r="AC9" s="35">
        <v>32931</v>
      </c>
      <c r="AD9" s="40">
        <f t="shared" ref="AD9:AD43" si="2">(AB9-AC9)*100/AC9</f>
        <v>-9.286083022076463</v>
      </c>
      <c r="AG9" s="59"/>
    </row>
    <row r="10" spans="1:33" ht="19.5" x14ac:dyDescent="0.4">
      <c r="A10" s="141" t="s">
        <v>8</v>
      </c>
      <c r="B10" s="150">
        <v>2572</v>
      </c>
      <c r="C10" s="150">
        <v>2571</v>
      </c>
      <c r="D10" s="150">
        <v>2438</v>
      </c>
      <c r="E10" s="150">
        <v>2438</v>
      </c>
      <c r="F10" s="150">
        <v>2542</v>
      </c>
      <c r="G10" s="150">
        <v>2542</v>
      </c>
      <c r="H10" s="150">
        <v>3077</v>
      </c>
      <c r="I10" s="150">
        <v>3077</v>
      </c>
      <c r="J10" s="150">
        <v>1930</v>
      </c>
      <c r="K10" s="150">
        <v>1930</v>
      </c>
      <c r="L10" s="152">
        <v>2380</v>
      </c>
      <c r="M10" s="153">
        <v>2380</v>
      </c>
      <c r="N10" s="35">
        <v>2357</v>
      </c>
      <c r="O10" s="35">
        <v>2357</v>
      </c>
      <c r="P10" s="35">
        <v>2696</v>
      </c>
      <c r="Q10" s="35">
        <v>2696</v>
      </c>
      <c r="R10" s="151">
        <v>2327</v>
      </c>
      <c r="S10" s="151">
        <v>2327</v>
      </c>
      <c r="T10" s="48">
        <v>3366</v>
      </c>
      <c r="U10" s="48">
        <v>3366</v>
      </c>
      <c r="V10" s="49">
        <v>2668</v>
      </c>
      <c r="W10" s="49">
        <v>2668</v>
      </c>
      <c r="X10" s="48">
        <v>2528</v>
      </c>
      <c r="Y10" s="50">
        <v>2532</v>
      </c>
      <c r="Z10" s="39">
        <f t="shared" si="1"/>
        <v>30881</v>
      </c>
      <c r="AA10" s="39">
        <f t="shared" si="1"/>
        <v>30884</v>
      </c>
      <c r="AB10" s="39">
        <f t="shared" si="0"/>
        <v>61765</v>
      </c>
      <c r="AC10" s="35">
        <v>56411</v>
      </c>
      <c r="AD10" s="40">
        <f t="shared" si="2"/>
        <v>9.4910567087979292</v>
      </c>
      <c r="AG10" s="59"/>
    </row>
    <row r="11" spans="1:33" ht="19.5" x14ac:dyDescent="0.4">
      <c r="A11" s="141" t="s">
        <v>9</v>
      </c>
      <c r="B11" s="150">
        <v>417</v>
      </c>
      <c r="C11" s="150">
        <v>417</v>
      </c>
      <c r="D11" s="150">
        <v>394</v>
      </c>
      <c r="E11" s="150">
        <v>394</v>
      </c>
      <c r="F11" s="150">
        <v>500</v>
      </c>
      <c r="G11" s="150">
        <v>500</v>
      </c>
      <c r="H11" s="150">
        <v>422</v>
      </c>
      <c r="I11" s="150">
        <v>422</v>
      </c>
      <c r="J11" s="150">
        <v>450</v>
      </c>
      <c r="K11" s="150">
        <v>451</v>
      </c>
      <c r="L11" s="152">
        <v>426</v>
      </c>
      <c r="M11" s="153">
        <v>426</v>
      </c>
      <c r="N11" s="35">
        <v>378</v>
      </c>
      <c r="O11" s="35">
        <v>378</v>
      </c>
      <c r="P11" s="35">
        <v>370</v>
      </c>
      <c r="Q11" s="35">
        <v>370</v>
      </c>
      <c r="R11" s="151">
        <v>421</v>
      </c>
      <c r="S11" s="151">
        <v>421</v>
      </c>
      <c r="T11" s="48">
        <v>293</v>
      </c>
      <c r="U11" s="48">
        <v>293</v>
      </c>
      <c r="V11" s="49">
        <v>303</v>
      </c>
      <c r="W11" s="49">
        <v>303</v>
      </c>
      <c r="X11" s="48">
        <v>374</v>
      </c>
      <c r="Y11" s="50">
        <v>374</v>
      </c>
      <c r="Z11" s="39">
        <f t="shared" si="1"/>
        <v>4748</v>
      </c>
      <c r="AA11" s="39">
        <f t="shared" si="1"/>
        <v>4749</v>
      </c>
      <c r="AB11" s="39">
        <f t="shared" si="0"/>
        <v>9497</v>
      </c>
      <c r="AC11" s="35">
        <v>9500</v>
      </c>
      <c r="AD11" s="40">
        <f t="shared" si="2"/>
        <v>-3.1578947368421054E-2</v>
      </c>
      <c r="AG11" s="59"/>
    </row>
    <row r="12" spans="1:33" ht="19.5" x14ac:dyDescent="0.4">
      <c r="A12" s="141" t="s">
        <v>52</v>
      </c>
      <c r="B12" s="150">
        <v>963</v>
      </c>
      <c r="C12" s="150">
        <v>957</v>
      </c>
      <c r="D12" s="150">
        <v>957</v>
      </c>
      <c r="E12" s="150">
        <v>946</v>
      </c>
      <c r="F12" s="150">
        <v>968</v>
      </c>
      <c r="G12" s="150">
        <v>862</v>
      </c>
      <c r="H12" s="150">
        <v>839</v>
      </c>
      <c r="I12" s="150">
        <v>814</v>
      </c>
      <c r="J12" s="150">
        <v>855</v>
      </c>
      <c r="K12" s="150">
        <v>837</v>
      </c>
      <c r="L12" s="150">
        <v>843</v>
      </c>
      <c r="M12" s="150">
        <v>835</v>
      </c>
      <c r="N12" s="35">
        <v>883</v>
      </c>
      <c r="O12" s="35">
        <v>881</v>
      </c>
      <c r="P12" s="35">
        <v>923</v>
      </c>
      <c r="Q12" s="35">
        <v>904</v>
      </c>
      <c r="R12" s="35">
        <v>929</v>
      </c>
      <c r="S12" s="35">
        <v>923</v>
      </c>
      <c r="T12" s="48">
        <v>934</v>
      </c>
      <c r="U12" s="48">
        <v>928</v>
      </c>
      <c r="V12" s="49">
        <v>902</v>
      </c>
      <c r="W12" s="49">
        <v>894</v>
      </c>
      <c r="X12" s="48">
        <v>996</v>
      </c>
      <c r="Y12" s="50">
        <v>988</v>
      </c>
      <c r="Z12" s="39">
        <f t="shared" si="1"/>
        <v>10992</v>
      </c>
      <c r="AA12" s="39">
        <f t="shared" si="1"/>
        <v>10769</v>
      </c>
      <c r="AB12" s="39">
        <f t="shared" si="0"/>
        <v>21761</v>
      </c>
      <c r="AC12" s="35">
        <v>22046</v>
      </c>
      <c r="AD12" s="40">
        <f t="shared" si="2"/>
        <v>-1.2927515195500316</v>
      </c>
      <c r="AG12" s="59"/>
    </row>
    <row r="13" spans="1:33" ht="19.5" x14ac:dyDescent="0.4">
      <c r="A13" s="141" t="s">
        <v>10</v>
      </c>
      <c r="B13" s="150">
        <v>104</v>
      </c>
      <c r="C13" s="150">
        <v>102</v>
      </c>
      <c r="D13" s="150">
        <v>78</v>
      </c>
      <c r="E13" s="150">
        <v>86</v>
      </c>
      <c r="F13" s="150">
        <v>84</v>
      </c>
      <c r="G13" s="150">
        <v>103</v>
      </c>
      <c r="H13" s="150">
        <v>89</v>
      </c>
      <c r="I13" s="150">
        <v>112</v>
      </c>
      <c r="J13" s="150">
        <v>140</v>
      </c>
      <c r="K13" s="150">
        <v>157</v>
      </c>
      <c r="L13" s="150">
        <v>85</v>
      </c>
      <c r="M13" s="150">
        <v>96</v>
      </c>
      <c r="N13" s="35">
        <v>105</v>
      </c>
      <c r="O13" s="35">
        <v>116</v>
      </c>
      <c r="P13" s="35">
        <v>91</v>
      </c>
      <c r="Q13" s="35">
        <v>112</v>
      </c>
      <c r="R13" s="35">
        <v>96</v>
      </c>
      <c r="S13" s="35">
        <v>113</v>
      </c>
      <c r="T13" s="48">
        <v>104</v>
      </c>
      <c r="U13" s="48">
        <v>116</v>
      </c>
      <c r="V13" s="49">
        <v>86</v>
      </c>
      <c r="W13" s="49">
        <v>97</v>
      </c>
      <c r="X13" s="48">
        <v>90</v>
      </c>
      <c r="Y13" s="50">
        <v>110</v>
      </c>
      <c r="Z13" s="39">
        <f t="shared" si="1"/>
        <v>1152</v>
      </c>
      <c r="AA13" s="39">
        <f t="shared" si="1"/>
        <v>1320</v>
      </c>
      <c r="AB13" s="39">
        <f t="shared" si="0"/>
        <v>2472</v>
      </c>
      <c r="AC13" s="35">
        <v>2426</v>
      </c>
      <c r="AD13" s="40">
        <f t="shared" si="2"/>
        <v>1.8961253091508656</v>
      </c>
      <c r="AG13" s="59"/>
    </row>
    <row r="14" spans="1:33" ht="19.5" x14ac:dyDescent="0.4">
      <c r="A14" s="141" t="s">
        <v>11</v>
      </c>
      <c r="B14" s="150">
        <v>229</v>
      </c>
      <c r="C14" s="150">
        <v>232</v>
      </c>
      <c r="D14" s="150">
        <v>236</v>
      </c>
      <c r="E14" s="150">
        <v>236</v>
      </c>
      <c r="F14" s="150">
        <v>231</v>
      </c>
      <c r="G14" s="150">
        <v>234</v>
      </c>
      <c r="H14" s="150">
        <v>166</v>
      </c>
      <c r="I14" s="150">
        <v>165</v>
      </c>
      <c r="J14" s="152">
        <v>190</v>
      </c>
      <c r="K14" s="153">
        <v>190</v>
      </c>
      <c r="L14" s="150">
        <v>180</v>
      </c>
      <c r="M14" s="150">
        <v>181</v>
      </c>
      <c r="N14" s="35">
        <v>193</v>
      </c>
      <c r="O14" s="35">
        <v>189</v>
      </c>
      <c r="P14" s="35">
        <v>203</v>
      </c>
      <c r="Q14" s="35">
        <v>220</v>
      </c>
      <c r="R14" s="35">
        <v>178</v>
      </c>
      <c r="S14" s="35">
        <v>205</v>
      </c>
      <c r="T14" s="48">
        <v>242</v>
      </c>
      <c r="U14" s="48">
        <v>211</v>
      </c>
      <c r="V14" s="49">
        <v>209</v>
      </c>
      <c r="W14" s="49">
        <v>206</v>
      </c>
      <c r="X14" s="48">
        <v>179</v>
      </c>
      <c r="Y14" s="50">
        <v>174</v>
      </c>
      <c r="Z14" s="39">
        <f t="shared" si="1"/>
        <v>2436</v>
      </c>
      <c r="AA14" s="39">
        <f t="shared" si="1"/>
        <v>2443</v>
      </c>
      <c r="AB14" s="39">
        <f t="shared" si="0"/>
        <v>4879</v>
      </c>
      <c r="AC14" s="35">
        <v>5603</v>
      </c>
      <c r="AD14" s="40">
        <f t="shared" si="2"/>
        <v>-12.921649116544708</v>
      </c>
      <c r="AG14" s="59"/>
    </row>
    <row r="15" spans="1:33" ht="19.5" x14ac:dyDescent="0.4">
      <c r="A15" s="141" t="s">
        <v>12</v>
      </c>
      <c r="B15" s="150">
        <v>98</v>
      </c>
      <c r="C15" s="150">
        <v>96</v>
      </c>
      <c r="D15" s="150">
        <v>96</v>
      </c>
      <c r="E15" s="150">
        <v>95</v>
      </c>
      <c r="F15" s="150">
        <v>104</v>
      </c>
      <c r="G15" s="150">
        <v>109</v>
      </c>
      <c r="H15" s="150">
        <v>95</v>
      </c>
      <c r="I15" s="150">
        <v>101</v>
      </c>
      <c r="J15" s="152">
        <v>99</v>
      </c>
      <c r="K15" s="153">
        <v>112</v>
      </c>
      <c r="L15" s="150">
        <v>112</v>
      </c>
      <c r="M15" s="150">
        <v>112</v>
      </c>
      <c r="N15" s="35">
        <v>100</v>
      </c>
      <c r="O15" s="35">
        <v>102</v>
      </c>
      <c r="P15" s="35">
        <v>106</v>
      </c>
      <c r="Q15" s="35">
        <v>93</v>
      </c>
      <c r="R15" s="35">
        <v>148</v>
      </c>
      <c r="S15" s="35">
        <v>129</v>
      </c>
      <c r="T15" s="48">
        <v>125</v>
      </c>
      <c r="U15" s="48">
        <v>153</v>
      </c>
      <c r="V15" s="49">
        <v>76</v>
      </c>
      <c r="W15" s="49">
        <v>74</v>
      </c>
      <c r="X15" s="48">
        <v>92</v>
      </c>
      <c r="Y15" s="50">
        <v>97</v>
      </c>
      <c r="Z15" s="39">
        <f t="shared" si="1"/>
        <v>1251</v>
      </c>
      <c r="AA15" s="39">
        <f t="shared" si="1"/>
        <v>1273</v>
      </c>
      <c r="AB15" s="39">
        <f t="shared" si="0"/>
        <v>2524</v>
      </c>
      <c r="AC15" s="35">
        <v>2531</v>
      </c>
      <c r="AD15" s="40">
        <f t="shared" si="2"/>
        <v>-0.27657052548399841</v>
      </c>
      <c r="AG15" s="59"/>
    </row>
    <row r="16" spans="1:33" ht="19.5" x14ac:dyDescent="0.4">
      <c r="A16" s="141" t="s">
        <v>13</v>
      </c>
      <c r="B16" s="150">
        <v>341</v>
      </c>
      <c r="C16" s="150">
        <v>340</v>
      </c>
      <c r="D16" s="150">
        <v>172</v>
      </c>
      <c r="E16" s="150">
        <v>170</v>
      </c>
      <c r="F16" s="150">
        <v>350</v>
      </c>
      <c r="G16" s="150">
        <v>298</v>
      </c>
      <c r="H16" s="154">
        <v>228</v>
      </c>
      <c r="I16" s="155">
        <v>225</v>
      </c>
      <c r="J16" s="154">
        <v>224</v>
      </c>
      <c r="K16" s="155">
        <v>222</v>
      </c>
      <c r="L16" s="154">
        <v>220</v>
      </c>
      <c r="M16" s="155">
        <v>226</v>
      </c>
      <c r="N16" s="35">
        <v>223</v>
      </c>
      <c r="O16" s="35">
        <v>222</v>
      </c>
      <c r="P16" s="35"/>
      <c r="Q16" s="35"/>
      <c r="R16" s="151">
        <v>161</v>
      </c>
      <c r="S16" s="151">
        <v>160</v>
      </c>
      <c r="T16" s="28">
        <v>218</v>
      </c>
      <c r="U16" s="28">
        <v>218</v>
      </c>
      <c r="V16" s="28">
        <v>152</v>
      </c>
      <c r="W16" s="28">
        <v>152</v>
      </c>
      <c r="X16" s="28">
        <v>253</v>
      </c>
      <c r="Y16" s="27">
        <v>252</v>
      </c>
      <c r="Z16" s="39">
        <f t="shared" si="1"/>
        <v>2542</v>
      </c>
      <c r="AA16" s="39">
        <f t="shared" si="1"/>
        <v>2485</v>
      </c>
      <c r="AB16" s="39">
        <f t="shared" si="0"/>
        <v>5027</v>
      </c>
      <c r="AC16" s="35">
        <v>4760</v>
      </c>
      <c r="AD16" s="40">
        <f t="shared" si="2"/>
        <v>5.6092436974789912</v>
      </c>
      <c r="AG16" s="59"/>
    </row>
    <row r="17" spans="1:33" ht="19.5" x14ac:dyDescent="0.4">
      <c r="A17" s="141" t="s">
        <v>14</v>
      </c>
      <c r="B17" s="150">
        <v>18</v>
      </c>
      <c r="C17" s="150">
        <v>18</v>
      </c>
      <c r="D17" s="150">
        <v>18</v>
      </c>
      <c r="E17" s="150">
        <v>18</v>
      </c>
      <c r="F17" s="150">
        <v>30</v>
      </c>
      <c r="G17" s="150">
        <v>30</v>
      </c>
      <c r="H17" s="156">
        <v>13</v>
      </c>
      <c r="I17" s="155">
        <v>13</v>
      </c>
      <c r="J17" s="156">
        <v>13</v>
      </c>
      <c r="K17" s="155">
        <v>13</v>
      </c>
      <c r="L17" s="156">
        <v>13</v>
      </c>
      <c r="M17" s="155">
        <v>13</v>
      </c>
      <c r="N17" s="35">
        <v>12</v>
      </c>
      <c r="O17" s="35">
        <v>12</v>
      </c>
      <c r="P17" s="35"/>
      <c r="Q17" s="35"/>
      <c r="R17" s="151">
        <v>15</v>
      </c>
      <c r="S17" s="151">
        <v>15</v>
      </c>
      <c r="T17" s="28">
        <v>15</v>
      </c>
      <c r="U17" s="28">
        <v>15</v>
      </c>
      <c r="V17" s="28">
        <v>12</v>
      </c>
      <c r="W17" s="28">
        <v>12</v>
      </c>
      <c r="X17" s="28">
        <v>14</v>
      </c>
      <c r="Y17" s="27">
        <v>14</v>
      </c>
      <c r="Z17" s="39">
        <f>B17+D17+F17+H17+J17+L17+N17+P17+R17+T17+V17+X17</f>
        <v>173</v>
      </c>
      <c r="AA17" s="39">
        <f t="shared" si="1"/>
        <v>173</v>
      </c>
      <c r="AB17" s="39">
        <f t="shared" si="0"/>
        <v>346</v>
      </c>
      <c r="AC17" s="35">
        <v>387</v>
      </c>
      <c r="AD17" s="40">
        <f t="shared" si="2"/>
        <v>-10.594315245478036</v>
      </c>
      <c r="AG17" s="59"/>
    </row>
    <row r="18" spans="1:33" ht="19.5" x14ac:dyDescent="0.4">
      <c r="A18" s="141" t="s">
        <v>15</v>
      </c>
      <c r="B18" s="150">
        <v>283</v>
      </c>
      <c r="C18" s="150">
        <v>283</v>
      </c>
      <c r="D18" s="150">
        <v>252</v>
      </c>
      <c r="E18" s="150">
        <v>252</v>
      </c>
      <c r="F18" s="150">
        <v>280</v>
      </c>
      <c r="G18" s="150">
        <v>280</v>
      </c>
      <c r="H18" s="150">
        <v>243</v>
      </c>
      <c r="I18" s="150">
        <v>243</v>
      </c>
      <c r="J18" s="150">
        <v>242</v>
      </c>
      <c r="K18" s="150">
        <v>242</v>
      </c>
      <c r="L18" s="150"/>
      <c r="M18" s="150"/>
      <c r="N18" s="35">
        <v>328</v>
      </c>
      <c r="O18" s="35">
        <v>271</v>
      </c>
      <c r="P18" s="35">
        <v>285</v>
      </c>
      <c r="Q18" s="35">
        <v>285</v>
      </c>
      <c r="R18" s="35">
        <v>251</v>
      </c>
      <c r="S18" s="35">
        <v>251</v>
      </c>
      <c r="T18" s="48">
        <v>252</v>
      </c>
      <c r="U18" s="48">
        <v>252</v>
      </c>
      <c r="V18" s="49">
        <v>226</v>
      </c>
      <c r="W18" s="49">
        <v>226</v>
      </c>
      <c r="X18" s="48"/>
      <c r="Y18" s="50"/>
      <c r="Z18" s="39">
        <f>B18+D18+F18+H18+J18+L18+N18+P18+R18+T18+V18+X18</f>
        <v>2642</v>
      </c>
      <c r="AA18" s="39">
        <f t="shared" si="1"/>
        <v>2585</v>
      </c>
      <c r="AB18" s="39">
        <f t="shared" si="0"/>
        <v>5227</v>
      </c>
      <c r="AC18" s="35">
        <v>7187</v>
      </c>
      <c r="AD18" s="40">
        <f t="shared" si="2"/>
        <v>-27.271462362599138</v>
      </c>
      <c r="AG18" s="59"/>
    </row>
    <row r="19" spans="1:33" ht="19.5" x14ac:dyDescent="0.4">
      <c r="A19" s="141" t="s">
        <v>16</v>
      </c>
      <c r="B19" s="150">
        <v>160</v>
      </c>
      <c r="C19" s="150">
        <v>169</v>
      </c>
      <c r="D19" s="150">
        <v>146</v>
      </c>
      <c r="E19" s="150">
        <v>147</v>
      </c>
      <c r="F19" s="150">
        <v>149</v>
      </c>
      <c r="G19" s="150">
        <v>149</v>
      </c>
      <c r="H19" s="150">
        <v>119</v>
      </c>
      <c r="I19" s="150">
        <v>119</v>
      </c>
      <c r="J19" s="150">
        <v>116</v>
      </c>
      <c r="K19" s="150">
        <v>117</v>
      </c>
      <c r="L19" s="150">
        <f>60+39</f>
        <v>99</v>
      </c>
      <c r="M19" s="150">
        <f>60+47</f>
        <v>107</v>
      </c>
      <c r="N19" s="35">
        <v>111</v>
      </c>
      <c r="O19" s="35">
        <v>112</v>
      </c>
      <c r="P19" s="151">
        <v>94</v>
      </c>
      <c r="Q19" s="151">
        <v>94</v>
      </c>
      <c r="R19" s="35">
        <f>57+35</f>
        <v>92</v>
      </c>
      <c r="S19" s="35">
        <f>56+32</f>
        <v>88</v>
      </c>
      <c r="T19" s="48">
        <f>63+29</f>
        <v>92</v>
      </c>
      <c r="U19" s="48">
        <f>64+33</f>
        <v>97</v>
      </c>
      <c r="V19" s="49">
        <v>97</v>
      </c>
      <c r="W19" s="49">
        <v>96</v>
      </c>
      <c r="X19" s="48">
        <v>61</v>
      </c>
      <c r="Y19" s="50">
        <v>61</v>
      </c>
      <c r="Z19" s="39">
        <f t="shared" ref="Z19:AA40" si="3">B19+D19+F19+H19+J19+L19+N19+P19+R19+T19+V19+X19</f>
        <v>1336</v>
      </c>
      <c r="AA19" s="39">
        <f t="shared" si="1"/>
        <v>1356</v>
      </c>
      <c r="AB19" s="39">
        <f t="shared" si="0"/>
        <v>2692</v>
      </c>
      <c r="AC19" s="35">
        <v>4096</v>
      </c>
      <c r="AD19" s="40">
        <f t="shared" si="2"/>
        <v>-34.27734375</v>
      </c>
      <c r="AG19" s="59"/>
    </row>
    <row r="20" spans="1:33" ht="19.5" x14ac:dyDescent="0.4">
      <c r="A20" s="141" t="s">
        <v>17</v>
      </c>
      <c r="B20" s="150">
        <v>4</v>
      </c>
      <c r="C20" s="150">
        <v>2</v>
      </c>
      <c r="D20" s="150">
        <v>0</v>
      </c>
      <c r="E20" s="150">
        <v>0</v>
      </c>
      <c r="F20" s="150">
        <v>1</v>
      </c>
      <c r="G20" s="150">
        <v>5</v>
      </c>
      <c r="H20" s="150">
        <v>0</v>
      </c>
      <c r="I20" s="150">
        <v>0</v>
      </c>
      <c r="J20" s="150">
        <v>1</v>
      </c>
      <c r="K20" s="150">
        <v>1</v>
      </c>
      <c r="L20" s="150">
        <v>1</v>
      </c>
      <c r="M20" s="150">
        <v>1</v>
      </c>
      <c r="N20" s="35">
        <v>0</v>
      </c>
      <c r="O20" s="35">
        <v>0</v>
      </c>
      <c r="P20" s="151">
        <v>16</v>
      </c>
      <c r="Q20" s="151">
        <v>17</v>
      </c>
      <c r="R20" s="35">
        <v>6</v>
      </c>
      <c r="S20" s="35">
        <v>6</v>
      </c>
      <c r="T20" s="48">
        <v>13</v>
      </c>
      <c r="U20" s="48">
        <v>13</v>
      </c>
      <c r="V20" s="49">
        <v>1</v>
      </c>
      <c r="W20" s="49">
        <v>1</v>
      </c>
      <c r="X20" s="48">
        <v>0</v>
      </c>
      <c r="Y20" s="50">
        <v>0</v>
      </c>
      <c r="Z20" s="39">
        <f t="shared" si="3"/>
        <v>43</v>
      </c>
      <c r="AA20" s="39">
        <f t="shared" si="1"/>
        <v>46</v>
      </c>
      <c r="AB20" s="39">
        <f t="shared" si="0"/>
        <v>89</v>
      </c>
      <c r="AC20" s="35">
        <v>127</v>
      </c>
      <c r="AD20" s="40">
        <f t="shared" si="2"/>
        <v>-29.921259842519685</v>
      </c>
      <c r="AG20" s="59"/>
    </row>
    <row r="21" spans="1:33" ht="19.5" x14ac:dyDescent="0.4">
      <c r="A21" s="141" t="s">
        <v>18</v>
      </c>
      <c r="B21" s="150">
        <v>147</v>
      </c>
      <c r="C21" s="150">
        <v>146</v>
      </c>
      <c r="D21" s="150">
        <v>156</v>
      </c>
      <c r="E21" s="150">
        <v>157</v>
      </c>
      <c r="F21" s="150">
        <v>131</v>
      </c>
      <c r="G21" s="150">
        <v>131</v>
      </c>
      <c r="H21" s="150">
        <v>103</v>
      </c>
      <c r="I21" s="150">
        <v>103</v>
      </c>
      <c r="J21" s="150">
        <v>99</v>
      </c>
      <c r="K21" s="150">
        <v>99</v>
      </c>
      <c r="L21" s="150">
        <v>106</v>
      </c>
      <c r="M21" s="150">
        <v>106</v>
      </c>
      <c r="N21" s="35">
        <v>102</v>
      </c>
      <c r="O21" s="35">
        <v>102</v>
      </c>
      <c r="P21" s="151">
        <v>176</v>
      </c>
      <c r="Q21" s="151">
        <v>176</v>
      </c>
      <c r="R21" s="35">
        <v>144</v>
      </c>
      <c r="S21" s="35">
        <v>143</v>
      </c>
      <c r="T21" s="48">
        <v>160</v>
      </c>
      <c r="U21" s="48">
        <v>160</v>
      </c>
      <c r="V21" s="49">
        <v>156</v>
      </c>
      <c r="W21" s="49">
        <v>156</v>
      </c>
      <c r="X21" s="48">
        <v>169</v>
      </c>
      <c r="Y21" s="50">
        <v>169</v>
      </c>
      <c r="Z21" s="39">
        <f t="shared" si="3"/>
        <v>1649</v>
      </c>
      <c r="AA21" s="39">
        <f t="shared" si="1"/>
        <v>1648</v>
      </c>
      <c r="AB21" s="39">
        <f t="shared" si="0"/>
        <v>3297</v>
      </c>
      <c r="AC21" s="35">
        <v>3412</v>
      </c>
      <c r="AD21" s="40">
        <f t="shared" si="2"/>
        <v>-3.3704572098475967</v>
      </c>
      <c r="AG21" s="59"/>
    </row>
    <row r="22" spans="1:33" ht="19.5" x14ac:dyDescent="0.4">
      <c r="A22" s="141" t="s">
        <v>19</v>
      </c>
      <c r="B22" s="150">
        <v>0</v>
      </c>
      <c r="C22" s="150">
        <v>0</v>
      </c>
      <c r="D22" s="150">
        <v>0</v>
      </c>
      <c r="E22" s="150">
        <v>0</v>
      </c>
      <c r="F22" s="150">
        <v>0</v>
      </c>
      <c r="G22" s="150">
        <v>0</v>
      </c>
      <c r="H22" s="150">
        <v>0</v>
      </c>
      <c r="I22" s="150">
        <v>0</v>
      </c>
      <c r="J22" s="150">
        <v>0</v>
      </c>
      <c r="K22" s="150">
        <v>0</v>
      </c>
      <c r="L22" s="150">
        <v>0</v>
      </c>
      <c r="M22" s="150">
        <v>0</v>
      </c>
      <c r="N22" s="35">
        <v>0</v>
      </c>
      <c r="O22" s="35">
        <v>0</v>
      </c>
      <c r="P22" s="151">
        <v>0</v>
      </c>
      <c r="Q22" s="151">
        <v>0</v>
      </c>
      <c r="R22" s="35">
        <v>0</v>
      </c>
      <c r="S22" s="35">
        <v>0</v>
      </c>
      <c r="T22" s="48">
        <v>0</v>
      </c>
      <c r="U22" s="48">
        <v>0</v>
      </c>
      <c r="V22" s="49">
        <v>1</v>
      </c>
      <c r="W22" s="49">
        <v>1</v>
      </c>
      <c r="X22" s="48">
        <v>0</v>
      </c>
      <c r="Y22" s="50">
        <v>0</v>
      </c>
      <c r="Z22" s="39">
        <f t="shared" si="3"/>
        <v>1</v>
      </c>
      <c r="AA22" s="39">
        <f t="shared" si="1"/>
        <v>1</v>
      </c>
      <c r="AB22" s="39">
        <f t="shared" si="0"/>
        <v>2</v>
      </c>
      <c r="AC22" s="35">
        <v>11</v>
      </c>
      <c r="AD22" s="40">
        <f t="shared" si="2"/>
        <v>-81.818181818181813</v>
      </c>
      <c r="AG22" s="59"/>
    </row>
    <row r="23" spans="1:33" ht="19.5" x14ac:dyDescent="0.4">
      <c r="A23" s="141" t="s">
        <v>20</v>
      </c>
      <c r="B23" s="150">
        <v>104</v>
      </c>
      <c r="C23" s="150">
        <v>102</v>
      </c>
      <c r="D23" s="150">
        <v>111</v>
      </c>
      <c r="E23" s="150">
        <v>113</v>
      </c>
      <c r="F23" s="150">
        <v>112</v>
      </c>
      <c r="G23" s="150">
        <v>112</v>
      </c>
      <c r="H23" s="150"/>
      <c r="I23" s="150"/>
      <c r="J23" s="150">
        <v>95</v>
      </c>
      <c r="K23" s="150">
        <v>94</v>
      </c>
      <c r="L23" s="150">
        <v>84</v>
      </c>
      <c r="M23" s="150">
        <v>84</v>
      </c>
      <c r="N23" s="35">
        <v>72</v>
      </c>
      <c r="O23" s="35">
        <v>73</v>
      </c>
      <c r="P23" s="35">
        <v>91</v>
      </c>
      <c r="Q23" s="35">
        <v>86</v>
      </c>
      <c r="R23" s="35">
        <v>79</v>
      </c>
      <c r="S23" s="35">
        <v>77</v>
      </c>
      <c r="T23" s="48"/>
      <c r="U23" s="48"/>
      <c r="V23" s="49">
        <v>91</v>
      </c>
      <c r="W23" s="49">
        <v>91</v>
      </c>
      <c r="X23" s="48">
        <v>72</v>
      </c>
      <c r="Y23" s="50">
        <v>72</v>
      </c>
      <c r="Z23" s="39">
        <f t="shared" si="3"/>
        <v>911</v>
      </c>
      <c r="AA23" s="39">
        <f t="shared" si="1"/>
        <v>904</v>
      </c>
      <c r="AB23" s="39">
        <f t="shared" si="0"/>
        <v>1815</v>
      </c>
      <c r="AC23" s="35">
        <v>2262</v>
      </c>
      <c r="AD23" s="40">
        <f t="shared" si="2"/>
        <v>-19.761273209549071</v>
      </c>
      <c r="AG23" s="59"/>
    </row>
    <row r="24" spans="1:33" ht="19.5" x14ac:dyDescent="0.4">
      <c r="A24" s="141" t="s">
        <v>21</v>
      </c>
      <c r="B24" s="150">
        <v>0</v>
      </c>
      <c r="C24" s="150">
        <v>0</v>
      </c>
      <c r="D24" s="150">
        <v>0</v>
      </c>
      <c r="E24" s="150">
        <v>0</v>
      </c>
      <c r="F24" s="150">
        <v>0</v>
      </c>
      <c r="G24" s="150">
        <v>0</v>
      </c>
      <c r="H24" s="150"/>
      <c r="I24" s="150"/>
      <c r="J24" s="150">
        <v>0</v>
      </c>
      <c r="K24" s="150">
        <v>1</v>
      </c>
      <c r="L24" s="150">
        <v>0</v>
      </c>
      <c r="M24" s="150">
        <v>0</v>
      </c>
      <c r="N24" s="35">
        <v>1</v>
      </c>
      <c r="O24" s="35">
        <v>1</v>
      </c>
      <c r="P24" s="35">
        <v>2</v>
      </c>
      <c r="Q24" s="35">
        <v>7</v>
      </c>
      <c r="R24" s="35">
        <v>10</v>
      </c>
      <c r="S24" s="35">
        <v>8</v>
      </c>
      <c r="T24" s="48"/>
      <c r="U24" s="48"/>
      <c r="V24" s="49">
        <v>0</v>
      </c>
      <c r="W24" s="49">
        <v>0</v>
      </c>
      <c r="X24" s="48">
        <v>0</v>
      </c>
      <c r="Y24" s="50">
        <v>0</v>
      </c>
      <c r="Z24" s="39">
        <f t="shared" si="3"/>
        <v>13</v>
      </c>
      <c r="AA24" s="39">
        <f t="shared" si="1"/>
        <v>17</v>
      </c>
      <c r="AB24" s="39">
        <f t="shared" si="0"/>
        <v>30</v>
      </c>
      <c r="AC24" s="35">
        <v>77</v>
      </c>
      <c r="AD24" s="40">
        <f t="shared" si="2"/>
        <v>-61.038961038961041</v>
      </c>
      <c r="AG24" s="59"/>
    </row>
    <row r="25" spans="1:33" ht="19.5" x14ac:dyDescent="0.4">
      <c r="A25" s="141" t="s">
        <v>22</v>
      </c>
      <c r="B25" s="150">
        <v>184</v>
      </c>
      <c r="C25" s="150">
        <v>184</v>
      </c>
      <c r="D25" s="150">
        <v>209</v>
      </c>
      <c r="E25" s="150">
        <v>207</v>
      </c>
      <c r="F25" s="150">
        <v>206</v>
      </c>
      <c r="G25" s="150">
        <v>208</v>
      </c>
      <c r="H25" s="150">
        <v>188</v>
      </c>
      <c r="I25" s="150">
        <v>188</v>
      </c>
      <c r="J25" s="150"/>
      <c r="K25" s="150"/>
      <c r="L25" s="150">
        <v>102</v>
      </c>
      <c r="M25" s="150">
        <v>102</v>
      </c>
      <c r="N25" s="35"/>
      <c r="O25" s="35"/>
      <c r="P25" s="35"/>
      <c r="Q25" s="35"/>
      <c r="R25" s="35">
        <v>110</v>
      </c>
      <c r="S25" s="35">
        <v>110</v>
      </c>
      <c r="T25" s="48">
        <v>160</v>
      </c>
      <c r="U25" s="48">
        <v>160</v>
      </c>
      <c r="V25" s="49">
        <v>199</v>
      </c>
      <c r="W25" s="49">
        <v>199</v>
      </c>
      <c r="X25" s="48">
        <v>144</v>
      </c>
      <c r="Y25" s="50">
        <v>143</v>
      </c>
      <c r="Z25" s="39">
        <f t="shared" si="3"/>
        <v>1502</v>
      </c>
      <c r="AA25" s="39">
        <f t="shared" si="3"/>
        <v>1501</v>
      </c>
      <c r="AB25" s="39">
        <f t="shared" si="0"/>
        <v>3003</v>
      </c>
      <c r="AC25" s="35">
        <v>4576</v>
      </c>
      <c r="AD25" s="40">
        <f t="shared" si="2"/>
        <v>-34.375</v>
      </c>
      <c r="AG25" s="59"/>
    </row>
    <row r="26" spans="1:33" ht="19.5" x14ac:dyDescent="0.4">
      <c r="A26" s="141" t="s">
        <v>23</v>
      </c>
      <c r="B26" s="150">
        <v>87</v>
      </c>
      <c r="C26" s="150">
        <v>87</v>
      </c>
      <c r="D26" s="150">
        <v>26</v>
      </c>
      <c r="E26" s="150">
        <v>26</v>
      </c>
      <c r="F26" s="150">
        <v>135</v>
      </c>
      <c r="G26" s="150">
        <v>135</v>
      </c>
      <c r="H26" s="150">
        <v>128</v>
      </c>
      <c r="I26" s="150">
        <v>128</v>
      </c>
      <c r="J26" s="150">
        <v>122</v>
      </c>
      <c r="K26" s="150">
        <v>122</v>
      </c>
      <c r="L26" s="150">
        <v>88</v>
      </c>
      <c r="M26" s="150">
        <v>88</v>
      </c>
      <c r="N26" s="35">
        <v>119</v>
      </c>
      <c r="O26" s="35">
        <v>119</v>
      </c>
      <c r="P26" s="35">
        <v>171</v>
      </c>
      <c r="Q26" s="35">
        <v>171</v>
      </c>
      <c r="R26" s="41"/>
      <c r="S26" s="42"/>
      <c r="T26" s="48">
        <v>182</v>
      </c>
      <c r="U26" s="48">
        <v>183</v>
      </c>
      <c r="V26" s="49">
        <f>46+90</f>
        <v>136</v>
      </c>
      <c r="W26" s="49">
        <f>46+90</f>
        <v>136</v>
      </c>
      <c r="X26" s="48">
        <f>47+84</f>
        <v>131</v>
      </c>
      <c r="Y26" s="50">
        <f>47+84</f>
        <v>131</v>
      </c>
      <c r="Z26" s="39">
        <f t="shared" si="3"/>
        <v>1325</v>
      </c>
      <c r="AA26" s="39">
        <f t="shared" si="3"/>
        <v>1326</v>
      </c>
      <c r="AB26" s="39">
        <f t="shared" si="0"/>
        <v>2651</v>
      </c>
      <c r="AC26" s="35">
        <v>2905</v>
      </c>
      <c r="AD26" s="40">
        <f>(AB26-AC26)*100/AC26</f>
        <v>-8.7435456110154899</v>
      </c>
      <c r="AG26" s="59"/>
    </row>
    <row r="27" spans="1:33" ht="19.5" x14ac:dyDescent="0.4">
      <c r="A27" s="141" t="s">
        <v>24</v>
      </c>
      <c r="B27" s="150">
        <v>0</v>
      </c>
      <c r="C27" s="150">
        <v>0</v>
      </c>
      <c r="D27" s="150">
        <v>0</v>
      </c>
      <c r="E27" s="150">
        <v>0</v>
      </c>
      <c r="F27" s="150">
        <v>0</v>
      </c>
      <c r="G27" s="150">
        <v>0</v>
      </c>
      <c r="H27" s="150">
        <v>0</v>
      </c>
      <c r="I27" s="150">
        <v>0</v>
      </c>
      <c r="J27" s="150">
        <v>0</v>
      </c>
      <c r="K27" s="150">
        <v>0</v>
      </c>
      <c r="L27" s="150">
        <v>0</v>
      </c>
      <c r="M27" s="150">
        <v>0</v>
      </c>
      <c r="N27" s="35">
        <v>0</v>
      </c>
      <c r="O27" s="35">
        <v>0</v>
      </c>
      <c r="P27" s="35">
        <v>0</v>
      </c>
      <c r="Q27" s="35">
        <v>0</v>
      </c>
      <c r="R27" s="41"/>
      <c r="S27" s="42"/>
      <c r="T27" s="48">
        <v>13</v>
      </c>
      <c r="U27" s="48">
        <v>12</v>
      </c>
      <c r="V27" s="49">
        <v>0</v>
      </c>
      <c r="W27" s="49">
        <v>0</v>
      </c>
      <c r="X27" s="48">
        <v>0</v>
      </c>
      <c r="Y27" s="50">
        <v>0</v>
      </c>
      <c r="Z27" s="39">
        <f t="shared" si="3"/>
        <v>13</v>
      </c>
      <c r="AA27" s="39">
        <f t="shared" si="3"/>
        <v>12</v>
      </c>
      <c r="AB27" s="39">
        <f t="shared" si="0"/>
        <v>25</v>
      </c>
      <c r="AC27" s="35">
        <v>0</v>
      </c>
      <c r="AD27" s="40">
        <v>0</v>
      </c>
      <c r="AG27" s="59"/>
    </row>
    <row r="28" spans="1:33" ht="19.5" x14ac:dyDescent="0.4">
      <c r="A28" s="141" t="s">
        <v>25</v>
      </c>
      <c r="B28" s="150">
        <v>67</v>
      </c>
      <c r="C28" s="150">
        <v>67</v>
      </c>
      <c r="D28" s="150">
        <v>42</v>
      </c>
      <c r="E28" s="150">
        <v>42</v>
      </c>
      <c r="F28" s="150">
        <v>51</v>
      </c>
      <c r="G28" s="150">
        <v>51</v>
      </c>
      <c r="H28" s="150">
        <v>44</v>
      </c>
      <c r="I28" s="150">
        <v>43</v>
      </c>
      <c r="J28" s="150">
        <v>59</v>
      </c>
      <c r="K28" s="150">
        <v>60</v>
      </c>
      <c r="L28" s="150">
        <v>50</v>
      </c>
      <c r="M28" s="150">
        <v>50</v>
      </c>
      <c r="N28" s="35">
        <v>56</v>
      </c>
      <c r="O28" s="35">
        <v>56</v>
      </c>
      <c r="P28" s="35">
        <v>44</v>
      </c>
      <c r="Q28" s="35">
        <v>44</v>
      </c>
      <c r="R28" s="35"/>
      <c r="S28" s="35"/>
      <c r="T28" s="33">
        <v>39</v>
      </c>
      <c r="U28" s="33">
        <v>39</v>
      </c>
      <c r="V28" s="49">
        <v>50</v>
      </c>
      <c r="W28" s="49">
        <v>50</v>
      </c>
      <c r="X28" s="48">
        <v>33</v>
      </c>
      <c r="Y28" s="50">
        <v>33</v>
      </c>
      <c r="Z28" s="39">
        <f t="shared" si="3"/>
        <v>535</v>
      </c>
      <c r="AA28" s="39">
        <f t="shared" si="3"/>
        <v>535</v>
      </c>
      <c r="AB28" s="39">
        <f t="shared" si="0"/>
        <v>1070</v>
      </c>
      <c r="AC28" s="35">
        <v>1184</v>
      </c>
      <c r="AD28" s="40">
        <f t="shared" si="2"/>
        <v>-9.628378378378379</v>
      </c>
      <c r="AG28" s="59"/>
    </row>
    <row r="29" spans="1:33" ht="19.5" x14ac:dyDescent="0.4">
      <c r="A29" s="141" t="s">
        <v>26</v>
      </c>
      <c r="B29" s="150">
        <v>352</v>
      </c>
      <c r="C29" s="150">
        <v>352</v>
      </c>
      <c r="D29" s="150">
        <v>263</v>
      </c>
      <c r="E29" s="150">
        <v>263</v>
      </c>
      <c r="F29" s="150">
        <v>263</v>
      </c>
      <c r="G29" s="150">
        <v>263</v>
      </c>
      <c r="H29" s="150">
        <v>314</v>
      </c>
      <c r="I29" s="150">
        <v>314</v>
      </c>
      <c r="J29" s="150">
        <v>200</v>
      </c>
      <c r="K29" s="150">
        <v>200</v>
      </c>
      <c r="L29" s="150">
        <v>231</v>
      </c>
      <c r="M29" s="150">
        <v>231</v>
      </c>
      <c r="N29" s="35"/>
      <c r="O29" s="35"/>
      <c r="P29" s="35"/>
      <c r="Q29" s="35"/>
      <c r="R29" s="35">
        <v>215</v>
      </c>
      <c r="S29" s="35">
        <v>215</v>
      </c>
      <c r="T29" s="48">
        <v>250</v>
      </c>
      <c r="U29" s="48">
        <v>250</v>
      </c>
      <c r="V29" s="49">
        <v>235</v>
      </c>
      <c r="W29" s="49">
        <v>235</v>
      </c>
      <c r="X29" s="48">
        <v>328</v>
      </c>
      <c r="Y29" s="50">
        <v>328</v>
      </c>
      <c r="Z29" s="39">
        <f t="shared" si="3"/>
        <v>2651</v>
      </c>
      <c r="AA29" s="39">
        <f t="shared" si="3"/>
        <v>2651</v>
      </c>
      <c r="AB29" s="39">
        <f t="shared" si="0"/>
        <v>5302</v>
      </c>
      <c r="AC29" s="35">
        <v>6034</v>
      </c>
      <c r="AD29" s="40">
        <f t="shared" si="2"/>
        <v>-12.131256214782898</v>
      </c>
      <c r="AG29" s="59"/>
    </row>
    <row r="30" spans="1:33" ht="19.5" x14ac:dyDescent="0.4">
      <c r="A30" s="141" t="s">
        <v>27</v>
      </c>
      <c r="B30" s="150"/>
      <c r="C30" s="150"/>
      <c r="D30" s="150">
        <v>100</v>
      </c>
      <c r="E30" s="150">
        <v>100</v>
      </c>
      <c r="F30" s="150">
        <v>106</v>
      </c>
      <c r="G30" s="150">
        <v>106</v>
      </c>
      <c r="H30" s="150">
        <v>96</v>
      </c>
      <c r="I30" s="150">
        <v>96</v>
      </c>
      <c r="J30" s="150">
        <v>107</v>
      </c>
      <c r="K30" s="150">
        <v>107</v>
      </c>
      <c r="L30" s="150">
        <v>101</v>
      </c>
      <c r="M30" s="150">
        <v>102</v>
      </c>
      <c r="N30" s="35">
        <v>113</v>
      </c>
      <c r="O30" s="35">
        <v>112</v>
      </c>
      <c r="P30" s="35">
        <v>114</v>
      </c>
      <c r="Q30" s="35">
        <v>114</v>
      </c>
      <c r="R30" s="35">
        <f>75+26</f>
        <v>101</v>
      </c>
      <c r="S30" s="35">
        <f>75+26</f>
        <v>101</v>
      </c>
      <c r="T30" s="48">
        <v>113</v>
      </c>
      <c r="U30" s="48">
        <v>112</v>
      </c>
      <c r="V30" s="49">
        <v>140</v>
      </c>
      <c r="W30" s="49">
        <v>140</v>
      </c>
      <c r="X30" s="48">
        <v>114</v>
      </c>
      <c r="Y30" s="50">
        <v>113</v>
      </c>
      <c r="Z30" s="39">
        <f>B30+D30+F30+H30+J30+L30+N30+P30+R30+T30+V30+X30</f>
        <v>1205</v>
      </c>
      <c r="AA30" s="39">
        <f t="shared" si="3"/>
        <v>1203</v>
      </c>
      <c r="AB30" s="39">
        <f t="shared" si="0"/>
        <v>2408</v>
      </c>
      <c r="AC30" s="35">
        <v>3540</v>
      </c>
      <c r="AD30" s="40">
        <f t="shared" si="2"/>
        <v>-31.977401129943502</v>
      </c>
      <c r="AG30" s="59"/>
    </row>
    <row r="31" spans="1:33" ht="19.5" x14ac:dyDescent="0.4">
      <c r="A31" s="141" t="s">
        <v>28</v>
      </c>
      <c r="B31" s="150"/>
      <c r="C31" s="150"/>
      <c r="D31" s="150">
        <v>0</v>
      </c>
      <c r="E31" s="150">
        <v>0</v>
      </c>
      <c r="F31" s="150">
        <v>0</v>
      </c>
      <c r="G31" s="150">
        <v>0</v>
      </c>
      <c r="H31" s="150">
        <v>0</v>
      </c>
      <c r="I31" s="150">
        <v>0</v>
      </c>
      <c r="J31" s="150">
        <v>0</v>
      </c>
      <c r="K31" s="150">
        <v>0</v>
      </c>
      <c r="L31" s="150">
        <v>0</v>
      </c>
      <c r="M31" s="150">
        <v>0</v>
      </c>
      <c r="N31" s="35">
        <v>0</v>
      </c>
      <c r="O31" s="35">
        <v>0</v>
      </c>
      <c r="P31" s="35">
        <v>0</v>
      </c>
      <c r="Q31" s="35">
        <v>0</v>
      </c>
      <c r="R31" s="35">
        <f>10</f>
        <v>10</v>
      </c>
      <c r="S31" s="35">
        <v>11</v>
      </c>
      <c r="T31" s="48">
        <v>7</v>
      </c>
      <c r="U31" s="48">
        <v>7</v>
      </c>
      <c r="V31" s="49">
        <v>4</v>
      </c>
      <c r="W31" s="49">
        <v>4</v>
      </c>
      <c r="X31" s="48">
        <v>2</v>
      </c>
      <c r="Y31" s="50">
        <v>2</v>
      </c>
      <c r="Z31" s="39">
        <f t="shared" si="3"/>
        <v>23</v>
      </c>
      <c r="AA31" s="39">
        <f t="shared" si="3"/>
        <v>24</v>
      </c>
      <c r="AB31" s="39">
        <f t="shared" si="0"/>
        <v>47</v>
      </c>
      <c r="AC31" s="35">
        <v>72</v>
      </c>
      <c r="AD31" s="40">
        <f t="shared" si="2"/>
        <v>-34.722222222222221</v>
      </c>
      <c r="AG31" s="59"/>
    </row>
    <row r="32" spans="1:33" ht="19.5" x14ac:dyDescent="0.4">
      <c r="A32" s="141" t="s">
        <v>29</v>
      </c>
      <c r="B32" s="150">
        <v>146</v>
      </c>
      <c r="C32" s="150">
        <v>146</v>
      </c>
      <c r="D32" s="150">
        <v>129</v>
      </c>
      <c r="E32" s="150">
        <v>129</v>
      </c>
      <c r="F32" s="150">
        <v>141</v>
      </c>
      <c r="G32" s="150">
        <v>141</v>
      </c>
      <c r="H32" s="150"/>
      <c r="I32" s="150"/>
      <c r="J32" s="152">
        <v>108</v>
      </c>
      <c r="K32" s="153">
        <v>108</v>
      </c>
      <c r="L32" s="153">
        <v>116</v>
      </c>
      <c r="M32" s="157">
        <v>116</v>
      </c>
      <c r="N32" s="35">
        <v>115</v>
      </c>
      <c r="O32" s="35">
        <v>115</v>
      </c>
      <c r="P32" s="35">
        <v>115</v>
      </c>
      <c r="Q32" s="35">
        <v>115</v>
      </c>
      <c r="R32" s="35">
        <v>119</v>
      </c>
      <c r="S32" s="35">
        <v>119</v>
      </c>
      <c r="T32" s="48"/>
      <c r="U32" s="48"/>
      <c r="V32" s="49">
        <v>111</v>
      </c>
      <c r="W32" s="49">
        <v>111</v>
      </c>
      <c r="X32" s="48">
        <v>96</v>
      </c>
      <c r="Y32" s="50">
        <v>96</v>
      </c>
      <c r="Z32" s="39">
        <f t="shared" si="3"/>
        <v>1196</v>
      </c>
      <c r="AA32" s="39">
        <f t="shared" si="3"/>
        <v>1196</v>
      </c>
      <c r="AB32" s="39">
        <f t="shared" si="0"/>
        <v>2392</v>
      </c>
      <c r="AC32" s="35">
        <v>3454</v>
      </c>
      <c r="AD32" s="40">
        <f t="shared" si="2"/>
        <v>-30.746960046323103</v>
      </c>
      <c r="AG32" s="59"/>
    </row>
    <row r="33" spans="1:33" ht="19.5" x14ac:dyDescent="0.4">
      <c r="A33" s="141" t="s">
        <v>30</v>
      </c>
      <c r="B33" s="150">
        <v>0</v>
      </c>
      <c r="C33" s="150">
        <v>0</v>
      </c>
      <c r="D33" s="150">
        <v>0</v>
      </c>
      <c r="E33" s="150">
        <v>0</v>
      </c>
      <c r="F33" s="150">
        <v>0</v>
      </c>
      <c r="G33" s="150">
        <v>0</v>
      </c>
      <c r="H33" s="150"/>
      <c r="I33" s="150"/>
      <c r="J33" s="152">
        <v>0</v>
      </c>
      <c r="K33" s="153">
        <v>0</v>
      </c>
      <c r="L33" s="153">
        <v>0</v>
      </c>
      <c r="M33" s="157">
        <v>0</v>
      </c>
      <c r="N33" s="35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48"/>
      <c r="U33" s="48"/>
      <c r="V33" s="49">
        <v>0</v>
      </c>
      <c r="W33" s="49">
        <v>0</v>
      </c>
      <c r="X33" s="48">
        <v>0</v>
      </c>
      <c r="Y33" s="50">
        <v>0</v>
      </c>
      <c r="Z33" s="39">
        <f t="shared" si="3"/>
        <v>0</v>
      </c>
      <c r="AA33" s="39">
        <f t="shared" si="3"/>
        <v>0</v>
      </c>
      <c r="AB33" s="39">
        <f t="shared" si="0"/>
        <v>0</v>
      </c>
      <c r="AC33" s="35">
        <v>12</v>
      </c>
      <c r="AD33" s="40">
        <f t="shared" si="2"/>
        <v>-100</v>
      </c>
      <c r="AG33" s="59"/>
    </row>
    <row r="34" spans="1:33" ht="19.5" x14ac:dyDescent="0.4">
      <c r="A34" s="141" t="s">
        <v>31</v>
      </c>
      <c r="B34" s="150"/>
      <c r="C34" s="150"/>
      <c r="D34" s="150">
        <v>95</v>
      </c>
      <c r="E34" s="150">
        <v>95</v>
      </c>
      <c r="F34" s="150"/>
      <c r="G34" s="150"/>
      <c r="H34" s="150">
        <v>96</v>
      </c>
      <c r="I34" s="150">
        <v>96</v>
      </c>
      <c r="J34" s="152">
        <v>86</v>
      </c>
      <c r="K34" s="153">
        <v>87</v>
      </c>
      <c r="L34" s="155">
        <v>96</v>
      </c>
      <c r="M34" s="157">
        <v>96</v>
      </c>
      <c r="N34" s="35">
        <v>91</v>
      </c>
      <c r="O34" s="35">
        <v>91</v>
      </c>
      <c r="P34" s="35">
        <v>100</v>
      </c>
      <c r="Q34" s="35">
        <v>100</v>
      </c>
      <c r="R34" s="158"/>
      <c r="S34" s="151"/>
      <c r="T34" s="48"/>
      <c r="U34" s="48"/>
      <c r="V34" s="49">
        <v>109</v>
      </c>
      <c r="W34" s="49">
        <v>108</v>
      </c>
      <c r="X34" s="48">
        <v>94</v>
      </c>
      <c r="Y34" s="50">
        <v>96</v>
      </c>
      <c r="Z34" s="39">
        <f>B34+D34+F34+H34+J34+L34+N34+P34+R34+T34+V34+X34</f>
        <v>767</v>
      </c>
      <c r="AA34" s="39">
        <f t="shared" si="3"/>
        <v>769</v>
      </c>
      <c r="AB34" s="39">
        <f t="shared" si="0"/>
        <v>1536</v>
      </c>
      <c r="AC34" s="35">
        <v>2585</v>
      </c>
      <c r="AD34" s="40">
        <f t="shared" si="2"/>
        <v>-40.580270793036753</v>
      </c>
      <c r="AG34" s="59"/>
    </row>
    <row r="35" spans="1:33" ht="19.5" x14ac:dyDescent="0.4">
      <c r="A35" s="141" t="s">
        <v>32</v>
      </c>
      <c r="B35" s="150">
        <v>31</v>
      </c>
      <c r="C35" s="150">
        <v>31</v>
      </c>
      <c r="D35" s="150">
        <v>40</v>
      </c>
      <c r="E35" s="150">
        <v>40</v>
      </c>
      <c r="F35" s="150">
        <v>26</v>
      </c>
      <c r="G35" s="150">
        <v>26</v>
      </c>
      <c r="H35" s="150">
        <v>21</v>
      </c>
      <c r="I35" s="150">
        <v>21</v>
      </c>
      <c r="J35" s="152">
        <v>37</v>
      </c>
      <c r="K35" s="153">
        <v>37</v>
      </c>
      <c r="L35" s="153">
        <v>20</v>
      </c>
      <c r="M35" s="157">
        <v>20</v>
      </c>
      <c r="N35" s="35">
        <v>28</v>
      </c>
      <c r="O35" s="35">
        <v>28</v>
      </c>
      <c r="P35" s="42"/>
      <c r="Q35" s="42"/>
      <c r="R35" s="42">
        <v>17</v>
      </c>
      <c r="S35" s="42">
        <v>19</v>
      </c>
      <c r="T35" s="33">
        <v>51</v>
      </c>
      <c r="U35" s="33">
        <v>48</v>
      </c>
      <c r="V35" s="49">
        <v>35</v>
      </c>
      <c r="W35" s="49">
        <v>35</v>
      </c>
      <c r="X35" s="48">
        <v>23</v>
      </c>
      <c r="Y35" s="50">
        <v>23</v>
      </c>
      <c r="Z35" s="39">
        <f t="shared" si="3"/>
        <v>329</v>
      </c>
      <c r="AA35" s="39">
        <f t="shared" si="3"/>
        <v>328</v>
      </c>
      <c r="AB35" s="39">
        <f t="shared" si="0"/>
        <v>657</v>
      </c>
      <c r="AC35" s="35">
        <v>1049</v>
      </c>
      <c r="AD35" s="40">
        <f t="shared" si="2"/>
        <v>-37.368922783603431</v>
      </c>
      <c r="AG35" s="59"/>
    </row>
    <row r="36" spans="1:33" ht="19.5" x14ac:dyDescent="0.4">
      <c r="A36" s="141" t="s">
        <v>33</v>
      </c>
      <c r="B36" s="150">
        <v>0</v>
      </c>
      <c r="C36" s="150">
        <v>0</v>
      </c>
      <c r="D36" s="150">
        <v>0</v>
      </c>
      <c r="E36" s="150">
        <v>0</v>
      </c>
      <c r="F36" s="150">
        <v>0</v>
      </c>
      <c r="G36" s="150">
        <v>0</v>
      </c>
      <c r="H36" s="150">
        <v>0</v>
      </c>
      <c r="I36" s="150">
        <v>0</v>
      </c>
      <c r="J36" s="154">
        <v>0</v>
      </c>
      <c r="K36" s="155">
        <v>0</v>
      </c>
      <c r="L36" s="153">
        <v>0</v>
      </c>
      <c r="M36" s="157">
        <v>0</v>
      </c>
      <c r="N36" s="35">
        <v>0</v>
      </c>
      <c r="O36" s="35">
        <v>0</v>
      </c>
      <c r="P36" s="42"/>
      <c r="Q36" s="42"/>
      <c r="R36" s="42">
        <v>10</v>
      </c>
      <c r="S36" s="42">
        <v>8</v>
      </c>
      <c r="T36" s="49">
        <v>0</v>
      </c>
      <c r="U36" s="49">
        <v>0</v>
      </c>
      <c r="V36" s="49">
        <v>0</v>
      </c>
      <c r="W36" s="49">
        <v>0</v>
      </c>
      <c r="X36" s="48">
        <v>0</v>
      </c>
      <c r="Y36" s="50">
        <v>0</v>
      </c>
      <c r="Z36" s="39">
        <f t="shared" si="3"/>
        <v>10</v>
      </c>
      <c r="AA36" s="39">
        <f t="shared" si="3"/>
        <v>8</v>
      </c>
      <c r="AB36" s="39">
        <f t="shared" si="0"/>
        <v>18</v>
      </c>
      <c r="AC36" s="35">
        <v>52</v>
      </c>
      <c r="AD36" s="40">
        <f t="shared" si="2"/>
        <v>-65.384615384615387</v>
      </c>
      <c r="AG36" s="59"/>
    </row>
    <row r="37" spans="1:33" ht="19.5" x14ac:dyDescent="0.4">
      <c r="A37" s="141" t="s">
        <v>34</v>
      </c>
      <c r="B37" s="150">
        <v>42</v>
      </c>
      <c r="C37" s="150">
        <v>42</v>
      </c>
      <c r="D37" s="150">
        <v>33</v>
      </c>
      <c r="E37" s="150">
        <v>33</v>
      </c>
      <c r="F37" s="150">
        <v>54</v>
      </c>
      <c r="G37" s="150">
        <v>54</v>
      </c>
      <c r="H37" s="150">
        <v>23</v>
      </c>
      <c r="I37" s="150">
        <v>23</v>
      </c>
      <c r="J37" s="152">
        <v>27</v>
      </c>
      <c r="K37" s="153">
        <v>27</v>
      </c>
      <c r="L37" s="153">
        <v>21</v>
      </c>
      <c r="M37" s="157">
        <v>21</v>
      </c>
      <c r="N37" s="35">
        <v>10</v>
      </c>
      <c r="O37" s="35">
        <v>10</v>
      </c>
      <c r="P37" s="35">
        <v>19</v>
      </c>
      <c r="Q37" s="35">
        <v>19</v>
      </c>
      <c r="R37" s="35">
        <v>18</v>
      </c>
      <c r="S37" s="35">
        <v>18</v>
      </c>
      <c r="T37" s="48">
        <v>48</v>
      </c>
      <c r="U37" s="48">
        <v>48</v>
      </c>
      <c r="V37" s="49">
        <v>40</v>
      </c>
      <c r="W37" s="49">
        <v>40</v>
      </c>
      <c r="X37" s="48">
        <v>21</v>
      </c>
      <c r="Y37" s="50">
        <v>21</v>
      </c>
      <c r="Z37" s="39">
        <f t="shared" si="3"/>
        <v>356</v>
      </c>
      <c r="AA37" s="39">
        <f t="shared" si="3"/>
        <v>356</v>
      </c>
      <c r="AB37" s="39">
        <f t="shared" si="0"/>
        <v>712</v>
      </c>
      <c r="AC37" s="35">
        <v>1198</v>
      </c>
      <c r="AD37" s="40">
        <f t="shared" si="2"/>
        <v>-40.567612687813025</v>
      </c>
      <c r="AG37" s="59"/>
    </row>
    <row r="38" spans="1:33" ht="19.5" x14ac:dyDescent="0.4">
      <c r="A38" s="141" t="s">
        <v>35</v>
      </c>
      <c r="B38" s="159">
        <v>17</v>
      </c>
      <c r="C38" s="159">
        <v>17</v>
      </c>
      <c r="D38" s="150"/>
      <c r="E38" s="150"/>
      <c r="F38" s="150">
        <v>29</v>
      </c>
      <c r="G38" s="150">
        <v>29</v>
      </c>
      <c r="H38" s="150">
        <v>38</v>
      </c>
      <c r="I38" s="150">
        <v>38</v>
      </c>
      <c r="J38" s="152">
        <v>23</v>
      </c>
      <c r="K38" s="153">
        <v>23</v>
      </c>
      <c r="L38" s="153">
        <v>16</v>
      </c>
      <c r="M38" s="157">
        <v>16</v>
      </c>
      <c r="N38" s="35">
        <v>12</v>
      </c>
      <c r="O38" s="35">
        <v>12</v>
      </c>
      <c r="P38" s="35">
        <v>10</v>
      </c>
      <c r="Q38" s="35">
        <v>10</v>
      </c>
      <c r="R38" s="35"/>
      <c r="S38" s="35"/>
      <c r="T38" s="48">
        <v>24</v>
      </c>
      <c r="U38" s="48">
        <v>24</v>
      </c>
      <c r="V38" s="49">
        <v>9</v>
      </c>
      <c r="W38" s="49">
        <v>9</v>
      </c>
      <c r="X38" s="48">
        <v>11</v>
      </c>
      <c r="Y38" s="50">
        <v>11</v>
      </c>
      <c r="Z38" s="39">
        <f t="shared" si="3"/>
        <v>189</v>
      </c>
      <c r="AA38" s="39">
        <f t="shared" si="3"/>
        <v>189</v>
      </c>
      <c r="AB38" s="39">
        <f t="shared" si="0"/>
        <v>378</v>
      </c>
      <c r="AC38" s="35">
        <v>449</v>
      </c>
      <c r="AD38" s="40">
        <f t="shared" si="2"/>
        <v>-15.812917594654788</v>
      </c>
      <c r="AG38" s="59"/>
    </row>
    <row r="39" spans="1:33" ht="19.5" x14ac:dyDescent="0.4">
      <c r="A39" s="141" t="s">
        <v>36</v>
      </c>
      <c r="B39" s="159">
        <v>0</v>
      </c>
      <c r="C39" s="159">
        <v>0</v>
      </c>
      <c r="D39" s="150"/>
      <c r="E39" s="150"/>
      <c r="F39" s="150">
        <v>0</v>
      </c>
      <c r="G39" s="150">
        <v>0</v>
      </c>
      <c r="H39" s="150">
        <v>0</v>
      </c>
      <c r="I39" s="150">
        <v>0</v>
      </c>
      <c r="J39" s="152">
        <v>0</v>
      </c>
      <c r="K39" s="153">
        <v>0</v>
      </c>
      <c r="L39" s="153">
        <v>1</v>
      </c>
      <c r="M39" s="157">
        <v>1</v>
      </c>
      <c r="N39" s="35">
        <v>0</v>
      </c>
      <c r="O39" s="35">
        <v>0</v>
      </c>
      <c r="P39" s="35">
        <v>0</v>
      </c>
      <c r="Q39" s="35">
        <v>0</v>
      </c>
      <c r="R39" s="35"/>
      <c r="S39" s="35"/>
      <c r="T39" s="48">
        <v>0</v>
      </c>
      <c r="U39" s="48">
        <v>0</v>
      </c>
      <c r="V39" s="49">
        <v>0</v>
      </c>
      <c r="W39" s="49">
        <v>0</v>
      </c>
      <c r="X39" s="48">
        <v>0</v>
      </c>
      <c r="Y39" s="50">
        <v>0</v>
      </c>
      <c r="Z39" s="39">
        <f t="shared" si="3"/>
        <v>1</v>
      </c>
      <c r="AA39" s="39">
        <f t="shared" si="3"/>
        <v>1</v>
      </c>
      <c r="AB39" s="39">
        <f t="shared" si="0"/>
        <v>2</v>
      </c>
      <c r="AC39" s="35">
        <v>49</v>
      </c>
      <c r="AD39" s="40">
        <f t="shared" si="2"/>
        <v>-95.91836734693878</v>
      </c>
      <c r="AG39" s="59"/>
    </row>
    <row r="40" spans="1:33" ht="19.5" x14ac:dyDescent="0.4">
      <c r="A40" s="160" t="s">
        <v>37</v>
      </c>
      <c r="B40" s="150">
        <v>33</v>
      </c>
      <c r="C40" s="150">
        <v>33</v>
      </c>
      <c r="D40" s="150">
        <v>10</v>
      </c>
      <c r="E40" s="150">
        <v>10</v>
      </c>
      <c r="F40" s="150">
        <v>6</v>
      </c>
      <c r="G40" s="150">
        <v>6</v>
      </c>
      <c r="H40" s="150">
        <v>4</v>
      </c>
      <c r="I40" s="150">
        <v>4</v>
      </c>
      <c r="J40" s="150">
        <v>6</v>
      </c>
      <c r="K40" s="150">
        <v>6</v>
      </c>
      <c r="L40" s="150">
        <v>2</v>
      </c>
      <c r="M40" s="150">
        <v>2</v>
      </c>
      <c r="N40" s="35">
        <v>2</v>
      </c>
      <c r="O40" s="35">
        <v>2</v>
      </c>
      <c r="P40" s="44">
        <v>3</v>
      </c>
      <c r="Q40" s="44">
        <v>3</v>
      </c>
      <c r="R40" s="161">
        <v>4</v>
      </c>
      <c r="S40" s="161">
        <v>4</v>
      </c>
      <c r="T40" s="48">
        <v>2</v>
      </c>
      <c r="U40" s="48">
        <v>2</v>
      </c>
      <c r="V40" s="49">
        <v>5</v>
      </c>
      <c r="W40" s="49">
        <v>5</v>
      </c>
      <c r="X40" s="48">
        <v>6</v>
      </c>
      <c r="Y40" s="50">
        <v>6</v>
      </c>
      <c r="Z40" s="39">
        <f t="shared" si="3"/>
        <v>83</v>
      </c>
      <c r="AA40" s="39">
        <f t="shared" si="3"/>
        <v>83</v>
      </c>
      <c r="AB40" s="39">
        <f t="shared" si="0"/>
        <v>166</v>
      </c>
      <c r="AC40" s="35">
        <v>319</v>
      </c>
      <c r="AD40" s="40">
        <f t="shared" si="2"/>
        <v>-47.962382445141067</v>
      </c>
      <c r="AG40" s="59"/>
    </row>
    <row r="41" spans="1:33" ht="19.5" x14ac:dyDescent="0.4">
      <c r="A41" s="160" t="s">
        <v>53</v>
      </c>
      <c r="B41" s="150">
        <f>B8+B10+B12+B14+B16+B18+B19+B21+B23+B25+B26+B28+B29+B32+B35+B37+B38+B40+B30+B34</f>
        <v>8897</v>
      </c>
      <c r="C41" s="150">
        <f t="shared" ref="C41:AC41" si="4">C8+C10+C12+C14+C16+C18+C19+C21+C23+C25+C26+C28+C29+C32+C35+C37+C38+C40+C30+C34</f>
        <v>8922</v>
      </c>
      <c r="D41" s="150">
        <f t="shared" si="4"/>
        <v>8500</v>
      </c>
      <c r="E41" s="150">
        <f t="shared" si="4"/>
        <v>8525</v>
      </c>
      <c r="F41" s="150">
        <f t="shared" si="4"/>
        <v>8862</v>
      </c>
      <c r="G41" s="150">
        <f t="shared" si="4"/>
        <v>8790</v>
      </c>
      <c r="H41" s="150">
        <f t="shared" si="4"/>
        <v>8658</v>
      </c>
      <c r="I41" s="150">
        <f t="shared" si="4"/>
        <v>8674</v>
      </c>
      <c r="J41" s="150">
        <f t="shared" si="4"/>
        <v>7256</v>
      </c>
      <c r="K41" s="150">
        <f t="shared" si="4"/>
        <v>7298</v>
      </c>
      <c r="L41" s="150">
        <f t="shared" si="4"/>
        <v>7617</v>
      </c>
      <c r="M41" s="150">
        <f t="shared" si="4"/>
        <v>7622</v>
      </c>
      <c r="N41" s="150">
        <f t="shared" si="4"/>
        <v>7673</v>
      </c>
      <c r="O41" s="150">
        <f t="shared" si="4"/>
        <v>7583</v>
      </c>
      <c r="P41" s="150">
        <f t="shared" si="4"/>
        <v>7876</v>
      </c>
      <c r="Q41" s="150">
        <f t="shared" si="4"/>
        <v>7910</v>
      </c>
      <c r="R41" s="150">
        <f t="shared" si="4"/>
        <v>7626</v>
      </c>
      <c r="S41" s="150">
        <f t="shared" si="4"/>
        <v>7691</v>
      </c>
      <c r="T41" s="150">
        <f t="shared" si="4"/>
        <v>9163</v>
      </c>
      <c r="U41" s="150">
        <f t="shared" si="4"/>
        <v>9106</v>
      </c>
      <c r="V41" s="150">
        <f t="shared" si="4"/>
        <v>8585</v>
      </c>
      <c r="W41" s="150">
        <f t="shared" si="4"/>
        <v>8556</v>
      </c>
      <c r="X41" s="150">
        <f t="shared" si="4"/>
        <v>8263</v>
      </c>
      <c r="Y41" s="150">
        <f t="shared" si="4"/>
        <v>8253</v>
      </c>
      <c r="Z41" s="150">
        <f t="shared" si="4"/>
        <v>98976</v>
      </c>
      <c r="AA41" s="150">
        <f t="shared" si="4"/>
        <v>98930</v>
      </c>
      <c r="AB41" s="150">
        <f t="shared" si="4"/>
        <v>197906</v>
      </c>
      <c r="AC41" s="150">
        <f t="shared" si="4"/>
        <v>209559</v>
      </c>
      <c r="AD41" s="40">
        <f t="shared" si="2"/>
        <v>-5.5607251418454942</v>
      </c>
    </row>
    <row r="42" spans="1:33" x14ac:dyDescent="0.25">
      <c r="A42" s="28" t="s">
        <v>54</v>
      </c>
      <c r="B42" s="35">
        <f>B9+B11+B13+B15+B17+B20+B22+B24+B27+B31+B33+B36+B39</f>
        <v>1922</v>
      </c>
      <c r="C42" s="35">
        <f t="shared" ref="C42:AB42" si="5">C9+C11+C13+C15+C17+C20+C22+C24+C27+C31+C33+C36+C39</f>
        <v>1897</v>
      </c>
      <c r="D42" s="35">
        <f t="shared" si="5"/>
        <v>1691</v>
      </c>
      <c r="E42" s="35">
        <f t="shared" si="5"/>
        <v>1674</v>
      </c>
      <c r="F42" s="35">
        <f t="shared" si="5"/>
        <v>1977</v>
      </c>
      <c r="G42" s="35">
        <f t="shared" si="5"/>
        <v>1987</v>
      </c>
      <c r="H42" s="35">
        <f t="shared" si="5"/>
        <v>1803</v>
      </c>
      <c r="I42" s="35">
        <f t="shared" si="5"/>
        <v>1818</v>
      </c>
      <c r="J42" s="35">
        <f t="shared" si="5"/>
        <v>1948</v>
      </c>
      <c r="K42" s="35">
        <f t="shared" si="5"/>
        <v>1724</v>
      </c>
      <c r="L42" s="35">
        <f t="shared" si="5"/>
        <v>1980</v>
      </c>
      <c r="M42" s="35">
        <f t="shared" si="5"/>
        <v>1930</v>
      </c>
      <c r="N42" s="35">
        <f t="shared" si="5"/>
        <v>1903</v>
      </c>
      <c r="O42" s="35">
        <f t="shared" si="5"/>
        <v>1970</v>
      </c>
      <c r="P42" s="35">
        <f t="shared" si="5"/>
        <v>1867</v>
      </c>
      <c r="Q42" s="35">
        <f t="shared" si="5"/>
        <v>1854</v>
      </c>
      <c r="R42" s="35">
        <f t="shared" si="5"/>
        <v>2027</v>
      </c>
      <c r="S42" s="35">
        <f t="shared" si="5"/>
        <v>1947</v>
      </c>
      <c r="T42" s="35">
        <f t="shared" si="5"/>
        <v>1858</v>
      </c>
      <c r="U42" s="35">
        <f t="shared" si="5"/>
        <v>1917</v>
      </c>
      <c r="V42" s="35">
        <f t="shared" si="5"/>
        <v>1747</v>
      </c>
      <c r="W42" s="35">
        <f t="shared" si="5"/>
        <v>1755</v>
      </c>
      <c r="X42" s="35">
        <f t="shared" si="5"/>
        <v>1850</v>
      </c>
      <c r="Y42" s="35">
        <f t="shared" si="5"/>
        <v>1879</v>
      </c>
      <c r="Z42" s="35">
        <f t="shared" si="5"/>
        <v>22573</v>
      </c>
      <c r="AA42" s="35">
        <f t="shared" si="5"/>
        <v>22352</v>
      </c>
      <c r="AB42" s="35">
        <f t="shared" si="5"/>
        <v>44925</v>
      </c>
      <c r="AC42" s="35">
        <f t="shared" ref="AC42" si="6">AC9+AC11+AC13+AC15+AC17+AC20+AC22+AC24+AC27+AC31+AC33+AC36+AC39</f>
        <v>48175</v>
      </c>
      <c r="AD42" s="40">
        <f t="shared" si="2"/>
        <v>-6.7462376751427087</v>
      </c>
    </row>
    <row r="43" spans="1:33" ht="15.75" x14ac:dyDescent="0.25">
      <c r="A43" s="28" t="s">
        <v>55</v>
      </c>
      <c r="B43" s="35">
        <f t="shared" ref="B43:AC43" si="7">SUM(B41:B42)</f>
        <v>10819</v>
      </c>
      <c r="C43" s="35">
        <f t="shared" si="7"/>
        <v>10819</v>
      </c>
      <c r="D43" s="39">
        <f t="shared" si="7"/>
        <v>10191</v>
      </c>
      <c r="E43" s="39">
        <f t="shared" si="7"/>
        <v>10199</v>
      </c>
      <c r="F43" s="39">
        <f t="shared" si="7"/>
        <v>10839</v>
      </c>
      <c r="G43" s="39">
        <f t="shared" si="7"/>
        <v>10777</v>
      </c>
      <c r="H43" s="39">
        <f t="shared" si="7"/>
        <v>10461</v>
      </c>
      <c r="I43" s="39">
        <f t="shared" si="7"/>
        <v>10492</v>
      </c>
      <c r="J43" s="39">
        <f t="shared" si="7"/>
        <v>9204</v>
      </c>
      <c r="K43" s="39">
        <f t="shared" si="7"/>
        <v>9022</v>
      </c>
      <c r="L43" s="39">
        <f t="shared" si="7"/>
        <v>9597</v>
      </c>
      <c r="M43" s="39">
        <f t="shared" si="7"/>
        <v>9552</v>
      </c>
      <c r="N43" s="39">
        <f t="shared" si="7"/>
        <v>9576</v>
      </c>
      <c r="O43" s="39">
        <f t="shared" si="7"/>
        <v>9553</v>
      </c>
      <c r="P43" s="39">
        <f t="shared" si="7"/>
        <v>9743</v>
      </c>
      <c r="Q43" s="39">
        <f t="shared" si="7"/>
        <v>9764</v>
      </c>
      <c r="R43" s="39">
        <f t="shared" si="7"/>
        <v>9653</v>
      </c>
      <c r="S43" s="39">
        <f t="shared" si="7"/>
        <v>9638</v>
      </c>
      <c r="T43" s="48">
        <f t="shared" si="7"/>
        <v>11021</v>
      </c>
      <c r="U43" s="162">
        <f t="shared" si="7"/>
        <v>11023</v>
      </c>
      <c r="V43" s="49">
        <f t="shared" si="7"/>
        <v>10332</v>
      </c>
      <c r="W43" s="49">
        <f t="shared" si="7"/>
        <v>10311</v>
      </c>
      <c r="X43" s="162">
        <f t="shared" si="7"/>
        <v>10113</v>
      </c>
      <c r="Y43" s="162">
        <f t="shared" si="7"/>
        <v>10132</v>
      </c>
      <c r="Z43" s="39">
        <f t="shared" si="7"/>
        <v>121549</v>
      </c>
      <c r="AA43" s="39">
        <f t="shared" si="7"/>
        <v>121282</v>
      </c>
      <c r="AB43" s="39">
        <f>SUM(AB41:AB42)</f>
        <v>242831</v>
      </c>
      <c r="AC43" s="35">
        <f t="shared" si="7"/>
        <v>257734</v>
      </c>
      <c r="AD43" s="40">
        <f t="shared" si="2"/>
        <v>-5.7823182040398242</v>
      </c>
      <c r="AG43" s="59"/>
    </row>
    <row r="44" spans="1:33" x14ac:dyDescent="0.25"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</row>
  </sheetData>
  <mergeCells count="16">
    <mergeCell ref="P6:Q6"/>
    <mergeCell ref="R6:S6"/>
    <mergeCell ref="T6:U6"/>
    <mergeCell ref="X6:Y6"/>
    <mergeCell ref="Z6:AB6"/>
    <mergeCell ref="A1:M1"/>
    <mergeCell ref="A2:N2"/>
    <mergeCell ref="A3:M3"/>
    <mergeCell ref="A5:N5"/>
    <mergeCell ref="N6:O6"/>
    <mergeCell ref="B6:C6"/>
    <mergeCell ref="D6:E6"/>
    <mergeCell ref="F6:G6"/>
    <mergeCell ref="H6:I6"/>
    <mergeCell ref="J6:K6"/>
    <mergeCell ref="L6:M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76"/>
  <sheetViews>
    <sheetView workbookViewId="0"/>
  </sheetViews>
  <sheetFormatPr defaultRowHeight="15" x14ac:dyDescent="0.25"/>
  <sheetData>
    <row r="1" spans="1:28" s="2" customFormat="1" ht="26.25" x14ac:dyDescent="0.4">
      <c r="A1" s="301"/>
      <c r="B1" s="302" t="s">
        <v>119</v>
      </c>
    </row>
    <row r="2" spans="1:28" s="2" customFormat="1" ht="26.25" x14ac:dyDescent="0.4">
      <c r="A2" s="301" t="s">
        <v>120</v>
      </c>
      <c r="B2" s="301"/>
    </row>
    <row r="3" spans="1:28" s="2" customFormat="1" x14ac:dyDescent="0.25"/>
    <row r="6" spans="1:28" ht="15.75" thickBot="1" x14ac:dyDescent="0.3"/>
    <row r="7" spans="1:28" ht="16.5" thickBot="1" x14ac:dyDescent="0.3">
      <c r="A7" s="61"/>
      <c r="B7" s="62" t="s">
        <v>1</v>
      </c>
      <c r="C7" s="63"/>
      <c r="D7" s="62" t="s">
        <v>39</v>
      </c>
      <c r="E7" s="63"/>
      <c r="F7" s="62" t="s">
        <v>2</v>
      </c>
      <c r="G7" s="63"/>
      <c r="H7" s="62" t="s">
        <v>40</v>
      </c>
      <c r="I7" s="63"/>
      <c r="J7" s="62" t="s">
        <v>3</v>
      </c>
      <c r="K7" s="63"/>
      <c r="L7" s="62" t="s">
        <v>4</v>
      </c>
      <c r="M7" s="63"/>
      <c r="N7" s="62" t="s">
        <v>5</v>
      </c>
      <c r="O7" s="63"/>
      <c r="P7" s="62" t="s">
        <v>41</v>
      </c>
      <c r="Q7" s="63"/>
      <c r="R7" s="62" t="s">
        <v>42</v>
      </c>
      <c r="S7" s="63"/>
      <c r="T7" s="62" t="s">
        <v>43</v>
      </c>
      <c r="U7" s="63"/>
      <c r="V7" s="62" t="s">
        <v>44</v>
      </c>
      <c r="W7" s="63"/>
      <c r="X7" s="62" t="s">
        <v>45</v>
      </c>
      <c r="Y7" s="63"/>
      <c r="Z7" s="62" t="s">
        <v>38</v>
      </c>
      <c r="AA7" s="63"/>
      <c r="AB7" s="64" t="s">
        <v>56</v>
      </c>
    </row>
    <row r="8" spans="1:28" ht="16.5" thickBot="1" x14ac:dyDescent="0.3">
      <c r="A8" s="163" t="s">
        <v>57</v>
      </c>
      <c r="B8" s="164" t="s">
        <v>49</v>
      </c>
      <c r="C8" s="165" t="s">
        <v>50</v>
      </c>
      <c r="D8" s="164" t="s">
        <v>49</v>
      </c>
      <c r="E8" s="165" t="s">
        <v>50</v>
      </c>
      <c r="F8" s="164" t="s">
        <v>49</v>
      </c>
      <c r="G8" s="165" t="s">
        <v>50</v>
      </c>
      <c r="H8" s="164" t="s">
        <v>49</v>
      </c>
      <c r="I8" s="165" t="s">
        <v>50</v>
      </c>
      <c r="J8" s="164" t="s">
        <v>49</v>
      </c>
      <c r="K8" s="165" t="s">
        <v>50</v>
      </c>
      <c r="L8" s="164" t="s">
        <v>49</v>
      </c>
      <c r="M8" s="165" t="s">
        <v>50</v>
      </c>
      <c r="N8" s="164" t="s">
        <v>49</v>
      </c>
      <c r="O8" s="165" t="s">
        <v>50</v>
      </c>
      <c r="P8" s="164" t="s">
        <v>49</v>
      </c>
      <c r="Q8" s="165" t="s">
        <v>50</v>
      </c>
      <c r="R8" s="164" t="s">
        <v>49</v>
      </c>
      <c r="S8" s="165" t="s">
        <v>50</v>
      </c>
      <c r="T8" s="164" t="s">
        <v>49</v>
      </c>
      <c r="U8" s="165" t="s">
        <v>50</v>
      </c>
      <c r="V8" s="164" t="s">
        <v>49</v>
      </c>
      <c r="W8" s="165" t="s">
        <v>50</v>
      </c>
      <c r="X8" s="164" t="s">
        <v>49</v>
      </c>
      <c r="Y8" s="165" t="s">
        <v>50</v>
      </c>
      <c r="Z8" s="129" t="s">
        <v>49</v>
      </c>
      <c r="AA8" s="166" t="s">
        <v>50</v>
      </c>
      <c r="AB8" s="70" t="s">
        <v>38</v>
      </c>
    </row>
    <row r="9" spans="1:28" ht="16.5" thickBot="1" x14ac:dyDescent="0.3">
      <c r="A9" s="167" t="s">
        <v>58</v>
      </c>
      <c r="B9" s="168">
        <v>2325</v>
      </c>
      <c r="C9" s="169">
        <v>2325</v>
      </c>
      <c r="D9" s="168">
        <v>2359</v>
      </c>
      <c r="E9" s="169">
        <v>2359</v>
      </c>
      <c r="F9" s="168">
        <v>2622</v>
      </c>
      <c r="G9" s="169">
        <v>3222</v>
      </c>
      <c r="H9" s="85">
        <v>2441</v>
      </c>
      <c r="I9" s="85">
        <v>2464</v>
      </c>
      <c r="J9" s="85">
        <v>2322</v>
      </c>
      <c r="K9" s="85">
        <v>2269</v>
      </c>
      <c r="L9" s="85">
        <v>2183</v>
      </c>
      <c r="M9" s="85">
        <v>2183</v>
      </c>
      <c r="N9" s="93">
        <v>2144</v>
      </c>
      <c r="O9" s="93">
        <v>2142</v>
      </c>
      <c r="P9" s="93">
        <v>2166</v>
      </c>
      <c r="Q9" s="93">
        <v>2165</v>
      </c>
      <c r="R9" s="93">
        <v>2014</v>
      </c>
      <c r="S9" s="93">
        <v>1962</v>
      </c>
      <c r="T9" s="170">
        <v>2229</v>
      </c>
      <c r="U9" s="171">
        <v>2188</v>
      </c>
      <c r="V9" s="172">
        <v>2206</v>
      </c>
      <c r="W9" s="171">
        <v>2216</v>
      </c>
      <c r="X9" s="172">
        <v>1951</v>
      </c>
      <c r="Y9" s="173">
        <v>1974</v>
      </c>
      <c r="Z9" s="174">
        <f>SUM(B9,D9,F9,H9,J9,L9,N9,P9,R9,T9,V9,X9)</f>
        <v>26962</v>
      </c>
      <c r="AA9" s="80">
        <f>SUM(C9,E9,G9,I9,K9,M9,O9,Q9,S9,U9,W9,Y9)</f>
        <v>27469</v>
      </c>
      <c r="AB9" s="81">
        <f>SUM(Z9:AA9)</f>
        <v>54431</v>
      </c>
    </row>
    <row r="10" spans="1:28" ht="16.5" thickBot="1" x14ac:dyDescent="0.3">
      <c r="A10" s="175" t="s">
        <v>34</v>
      </c>
      <c r="B10" s="168">
        <v>14</v>
      </c>
      <c r="C10" s="169">
        <v>15</v>
      </c>
      <c r="D10" s="168">
        <v>18</v>
      </c>
      <c r="E10" s="169">
        <v>18</v>
      </c>
      <c r="F10" s="168">
        <v>32</v>
      </c>
      <c r="G10" s="169">
        <v>31</v>
      </c>
      <c r="H10" s="85">
        <v>34</v>
      </c>
      <c r="I10" s="85">
        <v>34</v>
      </c>
      <c r="J10" s="85">
        <v>40</v>
      </c>
      <c r="K10" s="85">
        <v>40</v>
      </c>
      <c r="L10" s="85">
        <v>34</v>
      </c>
      <c r="M10" s="85">
        <v>34</v>
      </c>
      <c r="N10" s="85">
        <v>30</v>
      </c>
      <c r="O10" s="85">
        <v>31</v>
      </c>
      <c r="P10" s="85">
        <v>37</v>
      </c>
      <c r="Q10" s="85">
        <v>37</v>
      </c>
      <c r="R10" s="85">
        <v>23</v>
      </c>
      <c r="S10" s="85">
        <v>23</v>
      </c>
      <c r="T10" s="86">
        <v>40</v>
      </c>
      <c r="U10" s="87">
        <v>40</v>
      </c>
      <c r="V10" s="88">
        <v>75</v>
      </c>
      <c r="W10" s="87">
        <v>75</v>
      </c>
      <c r="X10" s="88">
        <v>40</v>
      </c>
      <c r="Y10" s="176">
        <v>40</v>
      </c>
      <c r="Z10" s="174">
        <f t="shared" ref="Z10:AA40" si="0">SUM(B10,D10,F10,H10,J10,L10,N10,P10,R10,T10,V10,X10)</f>
        <v>417</v>
      </c>
      <c r="AA10" s="80">
        <f t="shared" si="0"/>
        <v>418</v>
      </c>
      <c r="AB10" s="81">
        <f t="shared" ref="AB10:AB40" si="1">SUM(Z10:AA10)</f>
        <v>835</v>
      </c>
    </row>
    <row r="11" spans="1:28" ht="16.5" thickBot="1" x14ac:dyDescent="0.3">
      <c r="A11" s="175" t="s">
        <v>59</v>
      </c>
      <c r="B11" s="168">
        <v>86</v>
      </c>
      <c r="C11" s="169">
        <v>85</v>
      </c>
      <c r="D11" s="168">
        <v>58</v>
      </c>
      <c r="E11" s="169">
        <v>59</v>
      </c>
      <c r="F11" s="168">
        <v>110</v>
      </c>
      <c r="G11" s="169">
        <v>110</v>
      </c>
      <c r="H11" s="85">
        <v>108</v>
      </c>
      <c r="I11" s="85">
        <v>108</v>
      </c>
      <c r="J11" s="90">
        <v>95</v>
      </c>
      <c r="K11" s="90">
        <v>95</v>
      </c>
      <c r="L11" s="85">
        <v>87</v>
      </c>
      <c r="M11" s="85">
        <v>88</v>
      </c>
      <c r="N11" s="93">
        <v>87</v>
      </c>
      <c r="O11" s="93">
        <v>87</v>
      </c>
      <c r="P11" s="93">
        <v>88</v>
      </c>
      <c r="Q11" s="93">
        <v>88</v>
      </c>
      <c r="R11" s="93">
        <v>65</v>
      </c>
      <c r="S11" s="93">
        <v>65</v>
      </c>
      <c r="T11" s="88">
        <v>68</v>
      </c>
      <c r="U11" s="87">
        <v>68</v>
      </c>
      <c r="V11" s="88">
        <v>87</v>
      </c>
      <c r="W11" s="87">
        <v>87</v>
      </c>
      <c r="X11" s="88">
        <v>57</v>
      </c>
      <c r="Y11" s="176">
        <v>57</v>
      </c>
      <c r="Z11" s="174">
        <f t="shared" si="0"/>
        <v>996</v>
      </c>
      <c r="AA11" s="80">
        <f t="shared" si="0"/>
        <v>997</v>
      </c>
      <c r="AB11" s="81">
        <f t="shared" si="1"/>
        <v>1993</v>
      </c>
    </row>
    <row r="12" spans="1:28" ht="16.5" thickBot="1" x14ac:dyDescent="0.3">
      <c r="A12" s="175" t="s">
        <v>60</v>
      </c>
      <c r="B12" s="168">
        <v>19</v>
      </c>
      <c r="C12" s="169">
        <v>19</v>
      </c>
      <c r="D12" s="168">
        <v>24</v>
      </c>
      <c r="E12" s="169">
        <v>24</v>
      </c>
      <c r="F12" s="168">
        <v>27</v>
      </c>
      <c r="G12" s="169">
        <v>27</v>
      </c>
      <c r="H12" s="90">
        <v>44</v>
      </c>
      <c r="I12" s="90">
        <v>44</v>
      </c>
      <c r="J12" s="85">
        <v>15</v>
      </c>
      <c r="K12" s="85">
        <v>15</v>
      </c>
      <c r="L12" s="90">
        <v>26</v>
      </c>
      <c r="M12" s="90">
        <v>24</v>
      </c>
      <c r="N12" s="93">
        <v>22</v>
      </c>
      <c r="O12" s="93">
        <v>22</v>
      </c>
      <c r="P12" s="93">
        <v>11</v>
      </c>
      <c r="Q12" s="93">
        <v>10</v>
      </c>
      <c r="R12" s="93">
        <v>8</v>
      </c>
      <c r="S12" s="93">
        <v>11</v>
      </c>
      <c r="T12" s="88">
        <v>24</v>
      </c>
      <c r="U12" s="87">
        <v>23</v>
      </c>
      <c r="V12" s="88">
        <v>20</v>
      </c>
      <c r="W12" s="87">
        <v>26</v>
      </c>
      <c r="X12" s="88">
        <v>31</v>
      </c>
      <c r="Y12" s="176">
        <v>27</v>
      </c>
      <c r="Z12" s="174">
        <f t="shared" si="0"/>
        <v>271</v>
      </c>
      <c r="AA12" s="80">
        <f t="shared" si="0"/>
        <v>272</v>
      </c>
      <c r="AB12" s="81">
        <f t="shared" si="1"/>
        <v>543</v>
      </c>
    </row>
    <row r="13" spans="1:28" ht="16.5" thickBot="1" x14ac:dyDescent="0.3">
      <c r="A13" s="177" t="s">
        <v>22</v>
      </c>
      <c r="B13" s="168">
        <v>114</v>
      </c>
      <c r="C13" s="169">
        <v>110</v>
      </c>
      <c r="D13" s="168">
        <v>133</v>
      </c>
      <c r="E13" s="169">
        <v>129</v>
      </c>
      <c r="F13" s="168">
        <v>147</v>
      </c>
      <c r="G13" s="169">
        <v>134</v>
      </c>
      <c r="H13" s="178">
        <v>177</v>
      </c>
      <c r="I13" s="85">
        <v>173</v>
      </c>
      <c r="J13" s="85">
        <v>143</v>
      </c>
      <c r="K13" s="85">
        <v>143</v>
      </c>
      <c r="L13" s="85">
        <v>148</v>
      </c>
      <c r="M13" s="85">
        <v>146</v>
      </c>
      <c r="N13" s="85">
        <v>133</v>
      </c>
      <c r="O13" s="85">
        <v>130</v>
      </c>
      <c r="P13" s="85">
        <v>127</v>
      </c>
      <c r="Q13" s="85">
        <v>125</v>
      </c>
      <c r="R13" s="93">
        <v>177</v>
      </c>
      <c r="S13" s="93">
        <v>175</v>
      </c>
      <c r="T13" s="86">
        <v>211</v>
      </c>
      <c r="U13" s="87">
        <v>212</v>
      </c>
      <c r="V13" s="88">
        <v>235</v>
      </c>
      <c r="W13" s="87">
        <v>234</v>
      </c>
      <c r="X13" s="88">
        <v>141</v>
      </c>
      <c r="Y13" s="176">
        <v>141</v>
      </c>
      <c r="Z13" s="174">
        <f t="shared" si="0"/>
        <v>1886</v>
      </c>
      <c r="AA13" s="80">
        <f t="shared" si="0"/>
        <v>1852</v>
      </c>
      <c r="AB13" s="81">
        <f t="shared" si="1"/>
        <v>3738</v>
      </c>
    </row>
    <row r="14" spans="1:28" ht="16.5" thickBot="1" x14ac:dyDescent="0.3">
      <c r="A14" s="177" t="s">
        <v>61</v>
      </c>
      <c r="B14" s="168">
        <v>12</v>
      </c>
      <c r="C14" s="169">
        <v>10</v>
      </c>
      <c r="D14" s="168">
        <v>17</v>
      </c>
      <c r="E14" s="169">
        <v>18</v>
      </c>
      <c r="F14" s="168">
        <v>5</v>
      </c>
      <c r="G14" s="169">
        <v>9</v>
      </c>
      <c r="H14" s="90">
        <v>15</v>
      </c>
      <c r="I14" s="90">
        <v>17</v>
      </c>
      <c r="J14" s="90">
        <v>13</v>
      </c>
      <c r="K14" s="90">
        <v>11</v>
      </c>
      <c r="L14" s="90">
        <v>10</v>
      </c>
      <c r="M14" s="90">
        <v>10</v>
      </c>
      <c r="N14" s="93">
        <v>5</v>
      </c>
      <c r="O14" s="93">
        <v>5</v>
      </c>
      <c r="P14" s="93">
        <v>13</v>
      </c>
      <c r="Q14" s="93">
        <v>8</v>
      </c>
      <c r="R14" s="93">
        <v>18</v>
      </c>
      <c r="S14" s="93">
        <v>26</v>
      </c>
      <c r="T14" s="88">
        <v>28</v>
      </c>
      <c r="U14" s="87">
        <v>31</v>
      </c>
      <c r="V14" s="88">
        <v>22</v>
      </c>
      <c r="W14" s="87">
        <v>23</v>
      </c>
      <c r="X14" s="88">
        <v>23</v>
      </c>
      <c r="Y14" s="176">
        <v>21</v>
      </c>
      <c r="Z14" s="174">
        <f t="shared" si="0"/>
        <v>181</v>
      </c>
      <c r="AA14" s="80">
        <f t="shared" si="0"/>
        <v>189</v>
      </c>
      <c r="AB14" s="81">
        <f t="shared" si="1"/>
        <v>370</v>
      </c>
    </row>
    <row r="15" spans="1:28" ht="16.5" thickBot="1" x14ac:dyDescent="0.3">
      <c r="A15" s="175" t="s">
        <v>62</v>
      </c>
      <c r="B15" s="168">
        <v>144</v>
      </c>
      <c r="C15" s="169">
        <v>142</v>
      </c>
      <c r="D15" s="168">
        <v>148</v>
      </c>
      <c r="E15" s="169">
        <v>149</v>
      </c>
      <c r="F15" s="168">
        <v>161</v>
      </c>
      <c r="G15" s="169">
        <v>165</v>
      </c>
      <c r="H15" s="85">
        <v>155</v>
      </c>
      <c r="I15" s="85">
        <v>157</v>
      </c>
      <c r="J15" s="85">
        <v>142</v>
      </c>
      <c r="K15" s="85">
        <v>142</v>
      </c>
      <c r="L15" s="85">
        <v>134</v>
      </c>
      <c r="M15" s="85">
        <v>137</v>
      </c>
      <c r="N15" s="93">
        <v>125</v>
      </c>
      <c r="O15" s="93">
        <v>125</v>
      </c>
      <c r="P15" s="93">
        <v>130</v>
      </c>
      <c r="Q15" s="93">
        <v>131</v>
      </c>
      <c r="R15" s="93">
        <v>122</v>
      </c>
      <c r="S15" s="93">
        <v>121</v>
      </c>
      <c r="T15" s="86">
        <v>117</v>
      </c>
      <c r="U15" s="87">
        <v>117</v>
      </c>
      <c r="V15" s="88">
        <v>109</v>
      </c>
      <c r="W15" s="87">
        <v>109</v>
      </c>
      <c r="X15" s="88">
        <v>95</v>
      </c>
      <c r="Y15" s="176">
        <v>95</v>
      </c>
      <c r="Z15" s="174">
        <f t="shared" si="0"/>
        <v>1582</v>
      </c>
      <c r="AA15" s="80">
        <f t="shared" si="0"/>
        <v>1590</v>
      </c>
      <c r="AB15" s="81">
        <f t="shared" si="1"/>
        <v>3172</v>
      </c>
    </row>
    <row r="16" spans="1:28" ht="16.5" thickBot="1" x14ac:dyDescent="0.3">
      <c r="A16" s="175" t="s">
        <v>63</v>
      </c>
      <c r="B16" s="168">
        <v>1</v>
      </c>
      <c r="C16" s="169">
        <v>1</v>
      </c>
      <c r="D16" s="168">
        <v>2</v>
      </c>
      <c r="E16" s="169">
        <v>2</v>
      </c>
      <c r="F16" s="168">
        <v>1</v>
      </c>
      <c r="G16" s="169">
        <v>1</v>
      </c>
      <c r="H16" s="93">
        <v>5</v>
      </c>
      <c r="I16" s="93">
        <v>5</v>
      </c>
      <c r="J16" s="93">
        <v>9</v>
      </c>
      <c r="K16" s="93">
        <v>9</v>
      </c>
      <c r="L16" s="93">
        <v>11</v>
      </c>
      <c r="M16" s="93">
        <v>11</v>
      </c>
      <c r="N16" s="85">
        <v>4</v>
      </c>
      <c r="O16" s="85">
        <v>4</v>
      </c>
      <c r="P16" s="85">
        <v>6</v>
      </c>
      <c r="Q16" s="85">
        <v>3</v>
      </c>
      <c r="R16" s="85">
        <v>1</v>
      </c>
      <c r="S16" s="85">
        <v>3</v>
      </c>
      <c r="T16" s="88">
        <v>4</v>
      </c>
      <c r="U16" s="87">
        <v>6</v>
      </c>
      <c r="V16" s="88">
        <v>5</v>
      </c>
      <c r="W16" s="87">
        <v>6</v>
      </c>
      <c r="X16" s="88">
        <v>1</v>
      </c>
      <c r="Y16" s="176">
        <v>1</v>
      </c>
      <c r="Z16" s="174">
        <f t="shared" si="0"/>
        <v>50</v>
      </c>
      <c r="AA16" s="80">
        <f t="shared" si="0"/>
        <v>52</v>
      </c>
      <c r="AB16" s="81">
        <f t="shared" si="1"/>
        <v>102</v>
      </c>
    </row>
    <row r="17" spans="1:28" ht="16.5" thickBot="1" x14ac:dyDescent="0.3">
      <c r="A17" s="175" t="s">
        <v>64</v>
      </c>
      <c r="B17" s="168">
        <v>322</v>
      </c>
      <c r="C17" s="169">
        <v>318</v>
      </c>
      <c r="D17" s="168">
        <v>151</v>
      </c>
      <c r="E17" s="169">
        <v>149</v>
      </c>
      <c r="F17" s="168">
        <v>352</v>
      </c>
      <c r="G17" s="169">
        <v>351</v>
      </c>
      <c r="H17" s="85">
        <v>395</v>
      </c>
      <c r="I17" s="85">
        <v>394</v>
      </c>
      <c r="J17" s="85">
        <v>418</v>
      </c>
      <c r="K17" s="85">
        <v>416</v>
      </c>
      <c r="L17" s="85">
        <v>408</v>
      </c>
      <c r="M17" s="85">
        <v>408</v>
      </c>
      <c r="N17" s="93">
        <v>341</v>
      </c>
      <c r="O17" s="93">
        <v>339</v>
      </c>
      <c r="P17" s="93">
        <v>306</v>
      </c>
      <c r="Q17" s="93">
        <v>306</v>
      </c>
      <c r="R17" s="93">
        <v>300</v>
      </c>
      <c r="S17" s="93">
        <v>301</v>
      </c>
      <c r="T17" s="88">
        <v>331</v>
      </c>
      <c r="U17" s="87">
        <v>330</v>
      </c>
      <c r="V17" s="88">
        <v>311</v>
      </c>
      <c r="W17" s="87">
        <v>311</v>
      </c>
      <c r="X17" s="88">
        <v>113</v>
      </c>
      <c r="Y17" s="176">
        <v>112</v>
      </c>
      <c r="Z17" s="174">
        <f t="shared" si="0"/>
        <v>3748</v>
      </c>
      <c r="AA17" s="80">
        <f t="shared" si="0"/>
        <v>3735</v>
      </c>
      <c r="AB17" s="81">
        <f t="shared" si="1"/>
        <v>7483</v>
      </c>
    </row>
    <row r="18" spans="1:28" ht="16.5" thickBot="1" x14ac:dyDescent="0.3">
      <c r="A18" s="177" t="s">
        <v>13</v>
      </c>
      <c r="B18" s="168">
        <v>259</v>
      </c>
      <c r="C18" s="169">
        <v>255</v>
      </c>
      <c r="D18" s="168">
        <v>243</v>
      </c>
      <c r="E18" s="169">
        <v>244</v>
      </c>
      <c r="F18" s="168">
        <v>261</v>
      </c>
      <c r="G18" s="169">
        <v>256</v>
      </c>
      <c r="H18" s="90">
        <v>241</v>
      </c>
      <c r="I18" s="90">
        <v>242</v>
      </c>
      <c r="J18" s="90">
        <v>217</v>
      </c>
      <c r="K18" s="90">
        <v>212</v>
      </c>
      <c r="L18" s="90">
        <v>204</v>
      </c>
      <c r="M18" s="90">
        <v>205</v>
      </c>
      <c r="N18" s="93">
        <v>181</v>
      </c>
      <c r="O18" s="93">
        <v>186</v>
      </c>
      <c r="P18" s="93">
        <v>194</v>
      </c>
      <c r="Q18" s="93">
        <v>198</v>
      </c>
      <c r="R18" s="93">
        <v>172</v>
      </c>
      <c r="S18" s="93">
        <v>171</v>
      </c>
      <c r="T18" s="86">
        <v>204</v>
      </c>
      <c r="U18" s="87">
        <v>202</v>
      </c>
      <c r="V18" s="88">
        <v>224</v>
      </c>
      <c r="W18" s="87">
        <v>193</v>
      </c>
      <c r="X18" s="88">
        <v>211</v>
      </c>
      <c r="Y18" s="176">
        <v>210</v>
      </c>
      <c r="Z18" s="174">
        <f t="shared" si="0"/>
        <v>2611</v>
      </c>
      <c r="AA18" s="80">
        <f t="shared" si="0"/>
        <v>2574</v>
      </c>
      <c r="AB18" s="81">
        <f t="shared" si="1"/>
        <v>5185</v>
      </c>
    </row>
    <row r="19" spans="1:28" ht="16.5" thickBot="1" x14ac:dyDescent="0.3">
      <c r="A19" s="175" t="s">
        <v>65</v>
      </c>
      <c r="B19" s="168">
        <v>459</v>
      </c>
      <c r="C19" s="169">
        <v>460</v>
      </c>
      <c r="D19" s="168">
        <v>615</v>
      </c>
      <c r="E19" s="169">
        <v>615</v>
      </c>
      <c r="F19" s="168">
        <v>921</v>
      </c>
      <c r="G19" s="169">
        <v>921</v>
      </c>
      <c r="H19" s="85">
        <v>922</v>
      </c>
      <c r="I19" s="85">
        <v>922</v>
      </c>
      <c r="J19" s="85">
        <v>982</v>
      </c>
      <c r="K19" s="85">
        <v>982</v>
      </c>
      <c r="L19" s="90">
        <v>934</v>
      </c>
      <c r="M19" s="90">
        <v>933</v>
      </c>
      <c r="N19" s="85">
        <v>1008</v>
      </c>
      <c r="O19" s="85">
        <v>1007</v>
      </c>
      <c r="P19" s="90">
        <v>1066</v>
      </c>
      <c r="Q19" s="90">
        <v>1068</v>
      </c>
      <c r="R19" s="85">
        <v>932</v>
      </c>
      <c r="S19" s="85">
        <v>933</v>
      </c>
      <c r="T19" s="88">
        <v>1067</v>
      </c>
      <c r="U19" s="87">
        <v>1067</v>
      </c>
      <c r="V19" s="88">
        <v>1039</v>
      </c>
      <c r="W19" s="87">
        <v>1040</v>
      </c>
      <c r="X19" s="88">
        <v>804</v>
      </c>
      <c r="Y19" s="176">
        <v>804</v>
      </c>
      <c r="Z19" s="174">
        <f t="shared" si="0"/>
        <v>10749</v>
      </c>
      <c r="AA19" s="80">
        <f t="shared" si="0"/>
        <v>10752</v>
      </c>
      <c r="AB19" s="81">
        <f t="shared" si="1"/>
        <v>21501</v>
      </c>
    </row>
    <row r="20" spans="1:28" ht="16.5" thickBot="1" x14ac:dyDescent="0.3">
      <c r="A20" s="175" t="s">
        <v>66</v>
      </c>
      <c r="B20" s="168">
        <v>143</v>
      </c>
      <c r="C20" s="169">
        <v>140</v>
      </c>
      <c r="D20" s="168">
        <v>146</v>
      </c>
      <c r="E20" s="169">
        <v>146</v>
      </c>
      <c r="F20" s="168">
        <v>218</v>
      </c>
      <c r="G20" s="169">
        <v>218</v>
      </c>
      <c r="H20" s="90">
        <v>209</v>
      </c>
      <c r="I20" s="90">
        <v>210</v>
      </c>
      <c r="J20" s="90">
        <v>149</v>
      </c>
      <c r="K20" s="90">
        <v>150</v>
      </c>
      <c r="L20" s="90">
        <v>133</v>
      </c>
      <c r="M20" s="90">
        <v>132</v>
      </c>
      <c r="N20" s="93">
        <v>135</v>
      </c>
      <c r="O20" s="93">
        <v>135</v>
      </c>
      <c r="P20" s="93">
        <v>129</v>
      </c>
      <c r="Q20" s="93">
        <v>129</v>
      </c>
      <c r="R20" s="93">
        <v>124</v>
      </c>
      <c r="S20" s="93">
        <v>124</v>
      </c>
      <c r="T20" s="88">
        <v>134</v>
      </c>
      <c r="U20" s="87">
        <v>134</v>
      </c>
      <c r="V20" s="88">
        <v>132</v>
      </c>
      <c r="W20" s="87">
        <v>134</v>
      </c>
      <c r="X20" s="88">
        <v>111</v>
      </c>
      <c r="Y20" s="176">
        <v>111</v>
      </c>
      <c r="Z20" s="174">
        <f t="shared" si="0"/>
        <v>1763</v>
      </c>
      <c r="AA20" s="80">
        <f t="shared" si="0"/>
        <v>1763</v>
      </c>
      <c r="AB20" s="81">
        <f t="shared" si="1"/>
        <v>3526</v>
      </c>
    </row>
    <row r="21" spans="1:28" ht="16.5" thickBot="1" x14ac:dyDescent="0.3">
      <c r="A21" s="175" t="s">
        <v>67</v>
      </c>
      <c r="B21" s="168">
        <v>66</v>
      </c>
      <c r="C21" s="169">
        <v>66</v>
      </c>
      <c r="D21" s="168">
        <v>95</v>
      </c>
      <c r="E21" s="169">
        <v>95</v>
      </c>
      <c r="F21" s="168">
        <v>131</v>
      </c>
      <c r="G21" s="169">
        <v>131</v>
      </c>
      <c r="H21" s="90">
        <v>122</v>
      </c>
      <c r="I21" s="90">
        <v>122</v>
      </c>
      <c r="J21" s="90">
        <v>0</v>
      </c>
      <c r="K21" s="90">
        <v>0</v>
      </c>
      <c r="L21" s="90">
        <v>0</v>
      </c>
      <c r="M21" s="90">
        <v>0</v>
      </c>
      <c r="N21" s="93">
        <v>0</v>
      </c>
      <c r="O21" s="93">
        <v>0</v>
      </c>
      <c r="P21" s="93">
        <v>0</v>
      </c>
      <c r="Q21" s="93">
        <v>0</v>
      </c>
      <c r="R21" s="93">
        <v>0</v>
      </c>
      <c r="S21" s="93">
        <v>0</v>
      </c>
      <c r="T21" s="88">
        <v>0</v>
      </c>
      <c r="U21" s="87">
        <v>0</v>
      </c>
      <c r="V21" s="88">
        <v>0</v>
      </c>
      <c r="W21" s="87">
        <v>0</v>
      </c>
      <c r="X21" s="88">
        <v>0</v>
      </c>
      <c r="Y21" s="176">
        <v>0</v>
      </c>
      <c r="Z21" s="174">
        <f t="shared" si="0"/>
        <v>414</v>
      </c>
      <c r="AA21" s="80">
        <f t="shared" si="0"/>
        <v>414</v>
      </c>
      <c r="AB21" s="81">
        <f t="shared" si="1"/>
        <v>828</v>
      </c>
    </row>
    <row r="22" spans="1:28" ht="16.5" thickBot="1" x14ac:dyDescent="0.3">
      <c r="A22" s="177" t="s">
        <v>68</v>
      </c>
      <c r="B22" s="168">
        <v>32</v>
      </c>
      <c r="C22" s="169">
        <v>31</v>
      </c>
      <c r="D22" s="168">
        <v>29</v>
      </c>
      <c r="E22" s="169">
        <v>30</v>
      </c>
      <c r="F22" s="168">
        <v>32</v>
      </c>
      <c r="G22" s="169">
        <v>32</v>
      </c>
      <c r="H22" s="85">
        <v>37</v>
      </c>
      <c r="I22" s="85">
        <v>37</v>
      </c>
      <c r="J22" s="85">
        <v>28</v>
      </c>
      <c r="K22" s="85">
        <v>28</v>
      </c>
      <c r="L22" s="85">
        <v>26</v>
      </c>
      <c r="M22" s="85">
        <v>26</v>
      </c>
      <c r="N22" s="93">
        <v>27</v>
      </c>
      <c r="O22" s="93">
        <v>27</v>
      </c>
      <c r="P22" s="93">
        <v>31</v>
      </c>
      <c r="Q22" s="93">
        <v>31</v>
      </c>
      <c r="R22" s="93">
        <v>27</v>
      </c>
      <c r="S22" s="93">
        <v>29</v>
      </c>
      <c r="T22" s="86">
        <v>32</v>
      </c>
      <c r="U22" s="87">
        <v>33</v>
      </c>
      <c r="V22" s="88">
        <v>25</v>
      </c>
      <c r="W22" s="87">
        <v>25</v>
      </c>
      <c r="X22" s="88">
        <v>19</v>
      </c>
      <c r="Y22" s="176">
        <v>19</v>
      </c>
      <c r="Z22" s="174">
        <f t="shared" si="0"/>
        <v>345</v>
      </c>
      <c r="AA22" s="80">
        <f t="shared" si="0"/>
        <v>348</v>
      </c>
      <c r="AB22" s="81">
        <f t="shared" si="1"/>
        <v>693</v>
      </c>
    </row>
    <row r="23" spans="1:28" ht="16.5" thickBot="1" x14ac:dyDescent="0.3">
      <c r="A23" s="175" t="s">
        <v>31</v>
      </c>
      <c r="B23" s="168">
        <v>84</v>
      </c>
      <c r="C23" s="169">
        <v>86</v>
      </c>
      <c r="D23" s="168">
        <v>64</v>
      </c>
      <c r="E23" s="169">
        <v>63</v>
      </c>
      <c r="F23" s="168">
        <v>100</v>
      </c>
      <c r="G23" s="169">
        <v>100</v>
      </c>
      <c r="H23" s="85">
        <v>83</v>
      </c>
      <c r="I23" s="85">
        <v>82</v>
      </c>
      <c r="J23" s="90">
        <v>96</v>
      </c>
      <c r="K23" s="90">
        <v>96</v>
      </c>
      <c r="L23" s="85">
        <v>80</v>
      </c>
      <c r="M23" s="85">
        <v>81</v>
      </c>
      <c r="N23" s="93">
        <v>84</v>
      </c>
      <c r="O23" s="93">
        <v>80</v>
      </c>
      <c r="P23" s="93">
        <v>80</v>
      </c>
      <c r="Q23" s="93">
        <v>76</v>
      </c>
      <c r="R23" s="93">
        <v>81</v>
      </c>
      <c r="S23" s="93">
        <v>86</v>
      </c>
      <c r="T23" s="88">
        <v>74</v>
      </c>
      <c r="U23" s="87">
        <v>73</v>
      </c>
      <c r="V23" s="88">
        <v>101</v>
      </c>
      <c r="W23" s="87">
        <v>100</v>
      </c>
      <c r="X23" s="88">
        <v>88</v>
      </c>
      <c r="Y23" s="176">
        <v>88</v>
      </c>
      <c r="Z23" s="174">
        <f t="shared" si="0"/>
        <v>1015</v>
      </c>
      <c r="AA23" s="80">
        <f t="shared" si="0"/>
        <v>1011</v>
      </c>
      <c r="AB23" s="81">
        <f t="shared" si="1"/>
        <v>2026</v>
      </c>
    </row>
    <row r="24" spans="1:28" ht="16.5" thickBot="1" x14ac:dyDescent="0.3">
      <c r="A24" s="175" t="s">
        <v>69</v>
      </c>
      <c r="B24" s="168">
        <v>109</v>
      </c>
      <c r="C24" s="169">
        <v>109</v>
      </c>
      <c r="D24" s="168">
        <v>125</v>
      </c>
      <c r="E24" s="169">
        <v>120</v>
      </c>
      <c r="F24" s="168">
        <v>140</v>
      </c>
      <c r="G24" s="169">
        <v>140</v>
      </c>
      <c r="H24" s="85">
        <v>148</v>
      </c>
      <c r="I24" s="85">
        <v>139</v>
      </c>
      <c r="J24" s="85">
        <v>132</v>
      </c>
      <c r="K24" s="85">
        <v>131</v>
      </c>
      <c r="L24" s="85">
        <v>110</v>
      </c>
      <c r="M24" s="85">
        <v>107</v>
      </c>
      <c r="N24" s="93">
        <v>105</v>
      </c>
      <c r="O24" s="93">
        <v>106</v>
      </c>
      <c r="P24" s="93">
        <v>109</v>
      </c>
      <c r="Q24" s="93">
        <v>108</v>
      </c>
      <c r="R24" s="93">
        <v>105</v>
      </c>
      <c r="S24" s="93">
        <v>105</v>
      </c>
      <c r="T24" s="86">
        <v>118</v>
      </c>
      <c r="U24" s="87">
        <v>117</v>
      </c>
      <c r="V24" s="88">
        <v>144</v>
      </c>
      <c r="W24" s="87">
        <v>144</v>
      </c>
      <c r="X24" s="88">
        <v>102</v>
      </c>
      <c r="Y24" s="176">
        <v>100</v>
      </c>
      <c r="Z24" s="174">
        <f t="shared" si="0"/>
        <v>1447</v>
      </c>
      <c r="AA24" s="80">
        <f t="shared" si="0"/>
        <v>1426</v>
      </c>
      <c r="AB24" s="81">
        <f t="shared" si="1"/>
        <v>2873</v>
      </c>
    </row>
    <row r="25" spans="1:28" ht="16.5" thickBot="1" x14ac:dyDescent="0.3">
      <c r="A25" s="175" t="s">
        <v>25</v>
      </c>
      <c r="B25" s="168">
        <v>32</v>
      </c>
      <c r="C25" s="169">
        <v>30</v>
      </c>
      <c r="D25" s="168">
        <v>41</v>
      </c>
      <c r="E25" s="169">
        <v>41</v>
      </c>
      <c r="F25" s="168">
        <v>47</v>
      </c>
      <c r="G25" s="169">
        <v>48</v>
      </c>
      <c r="H25" s="85">
        <v>43</v>
      </c>
      <c r="I25" s="85">
        <v>43</v>
      </c>
      <c r="J25" s="85">
        <v>41</v>
      </c>
      <c r="K25" s="85">
        <v>41</v>
      </c>
      <c r="L25" s="85">
        <v>37</v>
      </c>
      <c r="M25" s="85">
        <v>38</v>
      </c>
      <c r="N25" s="93">
        <v>34</v>
      </c>
      <c r="O25" s="93">
        <v>33</v>
      </c>
      <c r="P25" s="93">
        <v>50</v>
      </c>
      <c r="Q25" s="93">
        <v>51</v>
      </c>
      <c r="R25" s="93">
        <v>43</v>
      </c>
      <c r="S25" s="93">
        <v>43</v>
      </c>
      <c r="T25" s="88">
        <v>43</v>
      </c>
      <c r="U25" s="87">
        <v>43</v>
      </c>
      <c r="V25" s="88">
        <v>42</v>
      </c>
      <c r="W25" s="87">
        <v>42</v>
      </c>
      <c r="X25" s="88">
        <v>36</v>
      </c>
      <c r="Y25" s="176">
        <v>35</v>
      </c>
      <c r="Z25" s="174">
        <f t="shared" si="0"/>
        <v>489</v>
      </c>
      <c r="AA25" s="80">
        <f t="shared" si="0"/>
        <v>488</v>
      </c>
      <c r="AB25" s="81">
        <f t="shared" si="1"/>
        <v>977</v>
      </c>
    </row>
    <row r="26" spans="1:28" ht="16.5" thickBot="1" x14ac:dyDescent="0.3">
      <c r="A26" s="179" t="s">
        <v>70</v>
      </c>
      <c r="B26" s="180">
        <v>129</v>
      </c>
      <c r="C26" s="181">
        <v>135</v>
      </c>
      <c r="D26" s="180">
        <v>121</v>
      </c>
      <c r="E26" s="181">
        <v>114</v>
      </c>
      <c r="F26" s="180">
        <v>164</v>
      </c>
      <c r="G26" s="181">
        <v>158</v>
      </c>
      <c r="H26" s="85">
        <v>157</v>
      </c>
      <c r="I26" s="85">
        <v>149</v>
      </c>
      <c r="J26" s="85">
        <v>160</v>
      </c>
      <c r="K26" s="85">
        <v>153</v>
      </c>
      <c r="L26" s="85">
        <v>118</v>
      </c>
      <c r="M26" s="85">
        <v>121</v>
      </c>
      <c r="N26" s="93">
        <v>179</v>
      </c>
      <c r="O26" s="93">
        <v>173</v>
      </c>
      <c r="P26" s="93">
        <v>178</v>
      </c>
      <c r="Q26" s="93">
        <v>160</v>
      </c>
      <c r="R26" s="93">
        <v>162</v>
      </c>
      <c r="S26" s="93">
        <v>168</v>
      </c>
      <c r="T26" s="88">
        <v>156</v>
      </c>
      <c r="U26" s="87">
        <v>162</v>
      </c>
      <c r="V26" s="88">
        <v>177</v>
      </c>
      <c r="W26" s="87">
        <v>164</v>
      </c>
      <c r="X26" s="88">
        <v>181</v>
      </c>
      <c r="Y26" s="176">
        <v>180</v>
      </c>
      <c r="Z26" s="174">
        <f t="shared" si="0"/>
        <v>1882</v>
      </c>
      <c r="AA26" s="80">
        <f t="shared" si="0"/>
        <v>1837</v>
      </c>
      <c r="AB26" s="81">
        <f t="shared" si="1"/>
        <v>3719</v>
      </c>
    </row>
    <row r="27" spans="1:28" ht="16.5" thickBot="1" x14ac:dyDescent="0.3">
      <c r="A27" s="175" t="s">
        <v>71</v>
      </c>
      <c r="B27" s="168">
        <v>34</v>
      </c>
      <c r="C27" s="169">
        <v>221</v>
      </c>
      <c r="D27" s="168">
        <v>232</v>
      </c>
      <c r="E27" s="169">
        <v>227</v>
      </c>
      <c r="F27" s="168">
        <v>281</v>
      </c>
      <c r="G27" s="169">
        <v>265</v>
      </c>
      <c r="H27" s="182">
        <v>227</v>
      </c>
      <c r="I27" s="182">
        <v>226</v>
      </c>
      <c r="J27" s="182">
        <v>229</v>
      </c>
      <c r="K27" s="182">
        <v>228</v>
      </c>
      <c r="L27" s="182">
        <v>205</v>
      </c>
      <c r="M27" s="182">
        <v>196</v>
      </c>
      <c r="N27" s="93">
        <v>214</v>
      </c>
      <c r="O27" s="93">
        <v>224</v>
      </c>
      <c r="P27" s="93">
        <v>215</v>
      </c>
      <c r="Q27" s="93">
        <v>246</v>
      </c>
      <c r="R27" s="93">
        <v>192</v>
      </c>
      <c r="S27" s="93">
        <v>168</v>
      </c>
      <c r="T27" s="86">
        <v>175</v>
      </c>
      <c r="U27" s="87">
        <v>155</v>
      </c>
      <c r="V27" s="88">
        <v>162</v>
      </c>
      <c r="W27" s="87">
        <v>154</v>
      </c>
      <c r="X27" s="88">
        <v>147</v>
      </c>
      <c r="Y27" s="176">
        <v>149</v>
      </c>
      <c r="Z27" s="174">
        <f t="shared" si="0"/>
        <v>2313</v>
      </c>
      <c r="AA27" s="80">
        <f t="shared" si="0"/>
        <v>2459</v>
      </c>
      <c r="AB27" s="81">
        <f t="shared" si="1"/>
        <v>4772</v>
      </c>
    </row>
    <row r="28" spans="1:28" ht="16.5" thickBot="1" x14ac:dyDescent="0.3">
      <c r="A28" s="175" t="s">
        <v>72</v>
      </c>
      <c r="B28" s="168">
        <v>6</v>
      </c>
      <c r="C28" s="169">
        <v>4</v>
      </c>
      <c r="D28" s="168">
        <v>13</v>
      </c>
      <c r="E28" s="169">
        <v>13</v>
      </c>
      <c r="F28" s="168">
        <v>36</v>
      </c>
      <c r="G28" s="169">
        <v>36</v>
      </c>
      <c r="H28" s="85">
        <v>14</v>
      </c>
      <c r="I28" s="85">
        <v>14</v>
      </c>
      <c r="J28" s="85">
        <v>44</v>
      </c>
      <c r="K28" s="85">
        <v>44</v>
      </c>
      <c r="L28" s="85">
        <v>17</v>
      </c>
      <c r="M28" s="85">
        <v>17</v>
      </c>
      <c r="N28" s="93">
        <v>42</v>
      </c>
      <c r="O28" s="93">
        <v>39</v>
      </c>
      <c r="P28" s="93">
        <v>19</v>
      </c>
      <c r="Q28" s="93">
        <v>10</v>
      </c>
      <c r="R28" s="93">
        <v>29</v>
      </c>
      <c r="S28" s="93">
        <v>32</v>
      </c>
      <c r="T28" s="86">
        <v>55</v>
      </c>
      <c r="U28" s="87">
        <v>53</v>
      </c>
      <c r="V28" s="88">
        <v>10</v>
      </c>
      <c r="W28" s="87">
        <v>10</v>
      </c>
      <c r="X28" s="88">
        <v>29</v>
      </c>
      <c r="Y28" s="176">
        <v>30</v>
      </c>
      <c r="Z28" s="174">
        <f t="shared" si="0"/>
        <v>314</v>
      </c>
      <c r="AA28" s="80">
        <f t="shared" si="0"/>
        <v>302</v>
      </c>
      <c r="AB28" s="81">
        <f t="shared" si="1"/>
        <v>616</v>
      </c>
    </row>
    <row r="29" spans="1:28" ht="16.5" thickBot="1" x14ac:dyDescent="0.3">
      <c r="A29" s="175" t="s">
        <v>73</v>
      </c>
      <c r="B29" s="168">
        <v>2537</v>
      </c>
      <c r="C29" s="169">
        <v>2549</v>
      </c>
      <c r="D29" s="168">
        <v>2371</v>
      </c>
      <c r="E29" s="169">
        <v>2572</v>
      </c>
      <c r="F29" s="168">
        <v>2692</v>
      </c>
      <c r="G29" s="169">
        <v>2679</v>
      </c>
      <c r="H29" s="85">
        <v>2948</v>
      </c>
      <c r="I29" s="85">
        <v>2979</v>
      </c>
      <c r="J29" s="85">
        <v>2680</v>
      </c>
      <c r="K29" s="85">
        <v>2680</v>
      </c>
      <c r="L29" s="95">
        <v>2539</v>
      </c>
      <c r="M29" s="95">
        <v>2528</v>
      </c>
      <c r="N29" s="93">
        <v>2500</v>
      </c>
      <c r="O29" s="93">
        <v>2397</v>
      </c>
      <c r="P29" s="93">
        <v>2505</v>
      </c>
      <c r="Q29" s="93">
        <v>2497</v>
      </c>
      <c r="R29" s="93">
        <v>2106</v>
      </c>
      <c r="S29" s="93">
        <v>2092</v>
      </c>
      <c r="T29" s="86">
        <v>2567</v>
      </c>
      <c r="U29" s="87">
        <v>2587</v>
      </c>
      <c r="V29" s="88">
        <v>2639</v>
      </c>
      <c r="W29" s="87">
        <v>2598</v>
      </c>
      <c r="X29" s="88">
        <v>2558</v>
      </c>
      <c r="Y29" s="176">
        <v>2542</v>
      </c>
      <c r="Z29" s="174">
        <f t="shared" si="0"/>
        <v>30642</v>
      </c>
      <c r="AA29" s="80">
        <f t="shared" si="0"/>
        <v>30700</v>
      </c>
      <c r="AB29" s="81">
        <f t="shared" si="1"/>
        <v>61342</v>
      </c>
    </row>
    <row r="30" spans="1:28" ht="16.5" thickBot="1" x14ac:dyDescent="0.3">
      <c r="A30" s="175" t="s">
        <v>74</v>
      </c>
      <c r="B30" s="168">
        <v>178</v>
      </c>
      <c r="C30" s="169">
        <v>177</v>
      </c>
      <c r="D30" s="168">
        <v>140</v>
      </c>
      <c r="E30" s="169">
        <v>140</v>
      </c>
      <c r="F30" s="168">
        <v>164</v>
      </c>
      <c r="G30" s="169">
        <v>164</v>
      </c>
      <c r="H30" s="85">
        <v>181</v>
      </c>
      <c r="I30" s="85">
        <v>177</v>
      </c>
      <c r="J30" s="85">
        <v>172</v>
      </c>
      <c r="K30" s="85">
        <v>172</v>
      </c>
      <c r="L30" s="85">
        <v>173</v>
      </c>
      <c r="M30" s="85">
        <v>170</v>
      </c>
      <c r="N30" s="93">
        <v>184</v>
      </c>
      <c r="O30" s="93">
        <v>187</v>
      </c>
      <c r="P30" s="93">
        <v>219</v>
      </c>
      <c r="Q30" s="93">
        <v>215</v>
      </c>
      <c r="R30" s="93">
        <v>249</v>
      </c>
      <c r="S30" s="93">
        <v>249</v>
      </c>
      <c r="T30" s="86">
        <v>312</v>
      </c>
      <c r="U30" s="87">
        <v>312</v>
      </c>
      <c r="V30" s="88">
        <v>281</v>
      </c>
      <c r="W30" s="87">
        <v>276</v>
      </c>
      <c r="X30" s="88">
        <v>347</v>
      </c>
      <c r="Y30" s="176">
        <v>347</v>
      </c>
      <c r="Z30" s="174">
        <f t="shared" si="0"/>
        <v>2600</v>
      </c>
      <c r="AA30" s="80">
        <f t="shared" si="0"/>
        <v>2586</v>
      </c>
      <c r="AB30" s="81">
        <f t="shared" si="1"/>
        <v>5186</v>
      </c>
    </row>
    <row r="31" spans="1:28" ht="16.5" thickBot="1" x14ac:dyDescent="0.3">
      <c r="A31" s="175" t="s">
        <v>84</v>
      </c>
      <c r="B31" s="168">
        <v>0</v>
      </c>
      <c r="C31" s="169">
        <v>0</v>
      </c>
      <c r="D31" s="168">
        <v>0</v>
      </c>
      <c r="E31" s="169">
        <v>0</v>
      </c>
      <c r="F31" s="168">
        <v>0</v>
      </c>
      <c r="G31" s="169">
        <v>0</v>
      </c>
      <c r="H31" s="183">
        <v>0</v>
      </c>
      <c r="I31" s="183">
        <v>0</v>
      </c>
      <c r="J31" s="183">
        <v>0</v>
      </c>
      <c r="K31" s="183">
        <v>0</v>
      </c>
      <c r="L31" s="183">
        <v>0</v>
      </c>
      <c r="M31" s="183">
        <v>0</v>
      </c>
      <c r="N31" s="183">
        <v>0</v>
      </c>
      <c r="O31" s="183">
        <v>0</v>
      </c>
      <c r="P31" s="183">
        <v>0</v>
      </c>
      <c r="Q31" s="183">
        <v>0</v>
      </c>
      <c r="R31" s="183">
        <v>0</v>
      </c>
      <c r="S31" s="183">
        <v>0</v>
      </c>
      <c r="T31" s="88">
        <v>0</v>
      </c>
      <c r="U31" s="87">
        <v>0</v>
      </c>
      <c r="V31" s="88">
        <v>0</v>
      </c>
      <c r="W31" s="87">
        <v>0</v>
      </c>
      <c r="X31" s="88">
        <v>0</v>
      </c>
      <c r="Y31" s="176">
        <v>0</v>
      </c>
      <c r="Z31" s="174">
        <f t="shared" si="0"/>
        <v>0</v>
      </c>
      <c r="AA31" s="80">
        <f t="shared" si="0"/>
        <v>0</v>
      </c>
      <c r="AB31" s="81">
        <f t="shared" si="1"/>
        <v>0</v>
      </c>
    </row>
    <row r="32" spans="1:28" ht="16.5" thickBot="1" x14ac:dyDescent="0.3">
      <c r="A32" s="175" t="s">
        <v>32</v>
      </c>
      <c r="B32" s="168">
        <v>0</v>
      </c>
      <c r="C32" s="169">
        <v>0</v>
      </c>
      <c r="D32" s="168">
        <v>0</v>
      </c>
      <c r="E32" s="169">
        <v>0</v>
      </c>
      <c r="F32" s="168">
        <v>0</v>
      </c>
      <c r="G32" s="169">
        <v>0</v>
      </c>
      <c r="H32" s="85">
        <v>19</v>
      </c>
      <c r="I32" s="85">
        <v>19</v>
      </c>
      <c r="J32" s="85">
        <v>15</v>
      </c>
      <c r="K32" s="85">
        <v>15</v>
      </c>
      <c r="L32" s="85">
        <v>8</v>
      </c>
      <c r="M32" s="85">
        <v>8</v>
      </c>
      <c r="N32" s="93">
        <v>20</v>
      </c>
      <c r="O32" s="93">
        <v>21</v>
      </c>
      <c r="P32" s="93">
        <v>13</v>
      </c>
      <c r="Q32" s="93">
        <v>13</v>
      </c>
      <c r="R32" s="93">
        <v>15</v>
      </c>
      <c r="S32" s="93">
        <v>15</v>
      </c>
      <c r="T32" s="96">
        <v>15</v>
      </c>
      <c r="U32" s="87">
        <v>18</v>
      </c>
      <c r="V32" s="88">
        <v>20</v>
      </c>
      <c r="W32" s="87">
        <v>19</v>
      </c>
      <c r="X32" s="88">
        <v>9</v>
      </c>
      <c r="Y32" s="176">
        <v>9</v>
      </c>
      <c r="Z32" s="174">
        <f t="shared" si="0"/>
        <v>134</v>
      </c>
      <c r="AA32" s="80">
        <f t="shared" si="0"/>
        <v>137</v>
      </c>
      <c r="AB32" s="81">
        <f t="shared" si="1"/>
        <v>271</v>
      </c>
    </row>
    <row r="33" spans="1:28" ht="16.5" thickBot="1" x14ac:dyDescent="0.3">
      <c r="A33" s="179" t="s">
        <v>15</v>
      </c>
      <c r="B33" s="180">
        <v>213</v>
      </c>
      <c r="C33" s="181">
        <v>213</v>
      </c>
      <c r="D33" s="180">
        <v>210</v>
      </c>
      <c r="E33" s="181">
        <v>211</v>
      </c>
      <c r="F33" s="180">
        <v>220</v>
      </c>
      <c r="G33" s="181">
        <v>220</v>
      </c>
      <c r="H33" s="92">
        <v>219</v>
      </c>
      <c r="I33" s="92">
        <v>220</v>
      </c>
      <c r="J33" s="92">
        <v>238</v>
      </c>
      <c r="K33" s="92">
        <v>239</v>
      </c>
      <c r="L33" s="92">
        <v>204</v>
      </c>
      <c r="M33" s="92">
        <v>201</v>
      </c>
      <c r="N33" s="93">
        <v>232</v>
      </c>
      <c r="O33" s="93">
        <v>234</v>
      </c>
      <c r="P33" s="93">
        <v>300</v>
      </c>
      <c r="Q33" s="93">
        <v>301</v>
      </c>
      <c r="R33" s="93">
        <v>218</v>
      </c>
      <c r="S33" s="93">
        <v>218</v>
      </c>
      <c r="T33" s="88">
        <v>215</v>
      </c>
      <c r="U33" s="87">
        <v>213</v>
      </c>
      <c r="V33" s="88">
        <v>215</v>
      </c>
      <c r="W33" s="87">
        <v>214</v>
      </c>
      <c r="X33" s="88">
        <v>185</v>
      </c>
      <c r="Y33" s="176">
        <v>178</v>
      </c>
      <c r="Z33" s="174">
        <f t="shared" si="0"/>
        <v>2669</v>
      </c>
      <c r="AA33" s="80">
        <f t="shared" si="0"/>
        <v>2662</v>
      </c>
      <c r="AB33" s="81">
        <f t="shared" si="1"/>
        <v>5331</v>
      </c>
    </row>
    <row r="34" spans="1:28" ht="16.5" thickBot="1" x14ac:dyDescent="0.3">
      <c r="A34" s="184" t="s">
        <v>26</v>
      </c>
      <c r="B34" s="180">
        <v>272</v>
      </c>
      <c r="C34" s="181">
        <v>272</v>
      </c>
      <c r="D34" s="180">
        <v>225</v>
      </c>
      <c r="E34" s="181">
        <v>233</v>
      </c>
      <c r="F34" s="180">
        <v>219</v>
      </c>
      <c r="G34" s="181">
        <v>219</v>
      </c>
      <c r="H34" s="85">
        <v>257</v>
      </c>
      <c r="I34" s="85">
        <v>256</v>
      </c>
      <c r="J34" s="85">
        <v>222</v>
      </c>
      <c r="K34" s="85">
        <v>223</v>
      </c>
      <c r="L34" s="85">
        <v>207</v>
      </c>
      <c r="M34" s="85">
        <v>206</v>
      </c>
      <c r="N34" s="93">
        <v>224</v>
      </c>
      <c r="O34" s="93">
        <v>225</v>
      </c>
      <c r="P34" s="93">
        <v>232</v>
      </c>
      <c r="Q34" s="93">
        <v>232</v>
      </c>
      <c r="R34" s="93">
        <v>215</v>
      </c>
      <c r="S34" s="93">
        <v>215</v>
      </c>
      <c r="T34" s="88">
        <v>220</v>
      </c>
      <c r="U34" s="87">
        <v>220</v>
      </c>
      <c r="V34" s="88">
        <v>216</v>
      </c>
      <c r="W34" s="87">
        <v>216</v>
      </c>
      <c r="X34" s="88">
        <v>280</v>
      </c>
      <c r="Y34" s="176">
        <v>279</v>
      </c>
      <c r="Z34" s="174">
        <f t="shared" si="0"/>
        <v>2789</v>
      </c>
      <c r="AA34" s="80">
        <f t="shared" si="0"/>
        <v>2796</v>
      </c>
      <c r="AB34" s="81">
        <f t="shared" si="1"/>
        <v>5585</v>
      </c>
    </row>
    <row r="35" spans="1:28" ht="16.5" thickBot="1" x14ac:dyDescent="0.3">
      <c r="A35" s="179" t="s">
        <v>75</v>
      </c>
      <c r="B35" s="180">
        <v>874</v>
      </c>
      <c r="C35" s="181">
        <v>870</v>
      </c>
      <c r="D35" s="180">
        <v>848</v>
      </c>
      <c r="E35" s="181">
        <v>807</v>
      </c>
      <c r="F35" s="180">
        <v>862</v>
      </c>
      <c r="G35" s="181">
        <v>856</v>
      </c>
      <c r="H35" s="85">
        <v>909</v>
      </c>
      <c r="I35" s="85">
        <v>882</v>
      </c>
      <c r="J35" s="85">
        <v>798</v>
      </c>
      <c r="K35" s="85">
        <v>778</v>
      </c>
      <c r="L35" s="85">
        <v>722</v>
      </c>
      <c r="M35" s="85">
        <v>697</v>
      </c>
      <c r="N35" s="93">
        <v>685</v>
      </c>
      <c r="O35" s="93">
        <v>662</v>
      </c>
      <c r="P35" s="93">
        <v>727</v>
      </c>
      <c r="Q35" s="93">
        <v>694</v>
      </c>
      <c r="R35" s="93">
        <v>576</v>
      </c>
      <c r="S35" s="93">
        <v>559</v>
      </c>
      <c r="T35" s="86">
        <v>606</v>
      </c>
      <c r="U35" s="87">
        <v>586</v>
      </c>
      <c r="V35" s="88">
        <v>607</v>
      </c>
      <c r="W35" s="87">
        <v>588</v>
      </c>
      <c r="X35" s="88">
        <v>580</v>
      </c>
      <c r="Y35" s="176">
        <v>562</v>
      </c>
      <c r="Z35" s="174">
        <f t="shared" si="0"/>
        <v>8794</v>
      </c>
      <c r="AA35" s="80">
        <f t="shared" si="0"/>
        <v>8541</v>
      </c>
      <c r="AB35" s="81">
        <f t="shared" si="1"/>
        <v>17335</v>
      </c>
    </row>
    <row r="36" spans="1:28" ht="16.5" thickBot="1" x14ac:dyDescent="0.3">
      <c r="A36" s="179" t="s">
        <v>76</v>
      </c>
      <c r="B36" s="180">
        <v>75</v>
      </c>
      <c r="C36" s="181">
        <v>75</v>
      </c>
      <c r="D36" s="180">
        <v>76</v>
      </c>
      <c r="E36" s="181">
        <v>75</v>
      </c>
      <c r="F36" s="180">
        <v>101</v>
      </c>
      <c r="G36" s="181">
        <v>101</v>
      </c>
      <c r="H36" s="85">
        <v>79</v>
      </c>
      <c r="I36" s="85">
        <v>79</v>
      </c>
      <c r="J36" s="85">
        <v>83</v>
      </c>
      <c r="K36" s="85">
        <v>83</v>
      </c>
      <c r="L36" s="85">
        <v>81</v>
      </c>
      <c r="M36" s="85">
        <v>81</v>
      </c>
      <c r="N36" s="93">
        <v>97</v>
      </c>
      <c r="O36" s="93">
        <v>100</v>
      </c>
      <c r="P36" s="93">
        <v>75</v>
      </c>
      <c r="Q36" s="93">
        <v>74</v>
      </c>
      <c r="R36" s="93">
        <v>43</v>
      </c>
      <c r="S36" s="93">
        <v>39</v>
      </c>
      <c r="T36" s="86">
        <v>56</v>
      </c>
      <c r="U36" s="87">
        <v>56</v>
      </c>
      <c r="V36" s="88">
        <v>115</v>
      </c>
      <c r="W36" s="87">
        <v>115</v>
      </c>
      <c r="X36" s="88">
        <v>63</v>
      </c>
      <c r="Y36" s="176">
        <v>63</v>
      </c>
      <c r="Z36" s="174">
        <f t="shared" si="0"/>
        <v>944</v>
      </c>
      <c r="AA36" s="80">
        <f t="shared" si="0"/>
        <v>941</v>
      </c>
      <c r="AB36" s="81">
        <f t="shared" si="1"/>
        <v>1885</v>
      </c>
    </row>
    <row r="37" spans="1:28" ht="16.5" thickBot="1" x14ac:dyDescent="0.3">
      <c r="A37" s="185" t="s">
        <v>77</v>
      </c>
      <c r="B37" s="180">
        <v>157</v>
      </c>
      <c r="C37" s="181">
        <v>157</v>
      </c>
      <c r="D37" s="180">
        <v>170</v>
      </c>
      <c r="E37" s="181">
        <v>174</v>
      </c>
      <c r="F37" s="180">
        <v>176</v>
      </c>
      <c r="G37" s="181">
        <v>177</v>
      </c>
      <c r="H37" s="85">
        <v>184</v>
      </c>
      <c r="I37" s="85">
        <v>183</v>
      </c>
      <c r="J37" s="85">
        <v>155</v>
      </c>
      <c r="K37" s="85">
        <v>155</v>
      </c>
      <c r="L37" s="90">
        <v>129</v>
      </c>
      <c r="M37" s="90">
        <v>128</v>
      </c>
      <c r="N37" s="85">
        <v>130</v>
      </c>
      <c r="O37" s="85">
        <v>130</v>
      </c>
      <c r="P37" s="93">
        <v>150</v>
      </c>
      <c r="Q37" s="93">
        <v>147</v>
      </c>
      <c r="R37" s="85">
        <v>124</v>
      </c>
      <c r="S37" s="85">
        <v>124</v>
      </c>
      <c r="T37" s="88">
        <v>128</v>
      </c>
      <c r="U37" s="87">
        <v>128</v>
      </c>
      <c r="V37" s="88">
        <v>133</v>
      </c>
      <c r="W37" s="87">
        <v>133</v>
      </c>
      <c r="X37" s="88">
        <v>127</v>
      </c>
      <c r="Y37" s="176">
        <v>127</v>
      </c>
      <c r="Z37" s="174">
        <f t="shared" si="0"/>
        <v>1763</v>
      </c>
      <c r="AA37" s="80">
        <f t="shared" si="0"/>
        <v>1763</v>
      </c>
      <c r="AB37" s="81">
        <f t="shared" si="1"/>
        <v>3526</v>
      </c>
    </row>
    <row r="38" spans="1:28" ht="16.5" thickBot="1" x14ac:dyDescent="0.3">
      <c r="A38" s="179" t="s">
        <v>78</v>
      </c>
      <c r="B38" s="180">
        <v>159</v>
      </c>
      <c r="C38" s="181">
        <v>150</v>
      </c>
      <c r="D38" s="180">
        <v>128</v>
      </c>
      <c r="E38" s="181">
        <v>127</v>
      </c>
      <c r="F38" s="180">
        <v>146</v>
      </c>
      <c r="G38" s="181">
        <v>147</v>
      </c>
      <c r="H38" s="85">
        <v>161</v>
      </c>
      <c r="I38" s="85">
        <v>158</v>
      </c>
      <c r="J38" s="85">
        <v>145</v>
      </c>
      <c r="K38" s="85">
        <v>143</v>
      </c>
      <c r="L38" s="85">
        <v>150</v>
      </c>
      <c r="M38" s="85">
        <v>144</v>
      </c>
      <c r="N38" s="93">
        <v>129</v>
      </c>
      <c r="O38" s="93">
        <v>126</v>
      </c>
      <c r="P38" s="93">
        <v>145</v>
      </c>
      <c r="Q38" s="93">
        <v>140</v>
      </c>
      <c r="R38" s="93">
        <v>125</v>
      </c>
      <c r="S38" s="93">
        <v>120</v>
      </c>
      <c r="T38" s="86">
        <v>147</v>
      </c>
      <c r="U38" s="87">
        <v>136</v>
      </c>
      <c r="V38" s="88">
        <v>142</v>
      </c>
      <c r="W38" s="87">
        <v>141</v>
      </c>
      <c r="X38" s="88">
        <v>107</v>
      </c>
      <c r="Y38" s="176">
        <v>108</v>
      </c>
      <c r="Z38" s="174">
        <f t="shared" si="0"/>
        <v>1684</v>
      </c>
      <c r="AA38" s="80">
        <f t="shared" si="0"/>
        <v>1640</v>
      </c>
      <c r="AB38" s="81">
        <f t="shared" si="1"/>
        <v>3324</v>
      </c>
    </row>
    <row r="39" spans="1:28" ht="16.5" thickBot="1" x14ac:dyDescent="0.3">
      <c r="A39" s="179" t="s">
        <v>79</v>
      </c>
      <c r="B39" s="180">
        <v>27</v>
      </c>
      <c r="C39" s="181">
        <v>27</v>
      </c>
      <c r="D39" s="180">
        <v>12</v>
      </c>
      <c r="E39" s="181">
        <v>12</v>
      </c>
      <c r="F39" s="180">
        <v>13</v>
      </c>
      <c r="G39" s="181">
        <v>13</v>
      </c>
      <c r="H39" s="186">
        <v>17</v>
      </c>
      <c r="I39" s="187">
        <v>19</v>
      </c>
      <c r="J39" s="186">
        <v>10</v>
      </c>
      <c r="K39" s="187">
        <v>13</v>
      </c>
      <c r="L39" s="186">
        <v>18</v>
      </c>
      <c r="M39" s="187">
        <v>15</v>
      </c>
      <c r="N39" s="188">
        <v>3</v>
      </c>
      <c r="O39" s="189">
        <v>3</v>
      </c>
      <c r="P39" s="188">
        <v>4</v>
      </c>
      <c r="Q39" s="189">
        <v>4</v>
      </c>
      <c r="R39" s="188">
        <v>0</v>
      </c>
      <c r="S39" s="189">
        <v>0</v>
      </c>
      <c r="T39" s="190">
        <v>4</v>
      </c>
      <c r="U39" s="191">
        <v>6</v>
      </c>
      <c r="V39" s="190">
        <v>16</v>
      </c>
      <c r="W39" s="191">
        <v>15</v>
      </c>
      <c r="X39" s="190">
        <v>12</v>
      </c>
      <c r="Y39" s="192">
        <v>12</v>
      </c>
      <c r="Z39" s="193">
        <f t="shared" si="0"/>
        <v>136</v>
      </c>
      <c r="AA39" s="194">
        <f t="shared" si="0"/>
        <v>139</v>
      </c>
      <c r="AB39" s="106">
        <f t="shared" si="1"/>
        <v>275</v>
      </c>
    </row>
    <row r="40" spans="1:28" ht="21.75" thickBot="1" x14ac:dyDescent="0.4">
      <c r="A40" s="195" t="s">
        <v>38</v>
      </c>
      <c r="B40" s="196">
        <f>SUM(B9:B39)</f>
        <v>8882</v>
      </c>
      <c r="C40" s="197">
        <f t="shared" ref="C40:Y40" si="2">SUM(C9:C39)</f>
        <v>9052</v>
      </c>
      <c r="D40" s="196">
        <f t="shared" si="2"/>
        <v>8814</v>
      </c>
      <c r="E40" s="197">
        <f t="shared" si="2"/>
        <v>8966</v>
      </c>
      <c r="F40" s="196">
        <f t="shared" si="2"/>
        <v>10381</v>
      </c>
      <c r="G40" s="197">
        <f t="shared" si="2"/>
        <v>10931</v>
      </c>
      <c r="H40" s="198">
        <f t="shared" si="2"/>
        <v>10551</v>
      </c>
      <c r="I40" s="199">
        <f t="shared" si="2"/>
        <v>10554</v>
      </c>
      <c r="J40" s="198">
        <f t="shared" si="2"/>
        <v>9793</v>
      </c>
      <c r="K40" s="199">
        <f t="shared" si="2"/>
        <v>9706</v>
      </c>
      <c r="L40" s="198">
        <f t="shared" si="2"/>
        <v>9136</v>
      </c>
      <c r="M40" s="199">
        <f t="shared" si="2"/>
        <v>9075</v>
      </c>
      <c r="N40" s="198">
        <f t="shared" si="2"/>
        <v>9104</v>
      </c>
      <c r="O40" s="199">
        <f t="shared" si="2"/>
        <v>8980</v>
      </c>
      <c r="P40" s="198">
        <f t="shared" si="2"/>
        <v>9325</v>
      </c>
      <c r="Q40" s="199">
        <f t="shared" si="2"/>
        <v>9267</v>
      </c>
      <c r="R40" s="198">
        <f t="shared" si="2"/>
        <v>8266</v>
      </c>
      <c r="S40" s="199">
        <f t="shared" si="2"/>
        <v>8177</v>
      </c>
      <c r="T40" s="198">
        <f t="shared" si="2"/>
        <v>9380</v>
      </c>
      <c r="U40" s="199">
        <f t="shared" si="2"/>
        <v>9316</v>
      </c>
      <c r="V40" s="198">
        <f t="shared" si="2"/>
        <v>9510</v>
      </c>
      <c r="W40" s="199">
        <f t="shared" si="2"/>
        <v>9408</v>
      </c>
      <c r="X40" s="198">
        <f t="shared" si="2"/>
        <v>8448</v>
      </c>
      <c r="Y40" s="199">
        <f t="shared" si="2"/>
        <v>8421</v>
      </c>
      <c r="Z40" s="112">
        <f t="shared" si="0"/>
        <v>111590</v>
      </c>
      <c r="AA40" s="113">
        <f t="shared" si="0"/>
        <v>111853</v>
      </c>
      <c r="AB40" s="114">
        <f t="shared" si="1"/>
        <v>223443</v>
      </c>
    </row>
    <row r="41" spans="1:2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x14ac:dyDescent="0.25">
      <c r="A42" s="2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</row>
    <row r="43" spans="1:2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26.25" x14ac:dyDescent="0.4">
      <c r="A46" s="200"/>
      <c r="B46" s="201"/>
      <c r="C46" s="121"/>
      <c r="D46" s="121"/>
      <c r="E46" s="202" t="s">
        <v>85</v>
      </c>
      <c r="F46" s="202"/>
      <c r="G46" s="203"/>
      <c r="H46" s="204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17"/>
      <c r="T46" s="121"/>
      <c r="U46" s="121"/>
      <c r="V46" s="121"/>
      <c r="W46" s="121"/>
      <c r="X46" s="121"/>
      <c r="Y46" s="121"/>
      <c r="Z46" s="205"/>
      <c r="AA46" s="121"/>
      <c r="AB46" s="121"/>
    </row>
    <row r="47" spans="1:28" ht="26.25" x14ac:dyDescent="0.4">
      <c r="A47" s="200"/>
      <c r="B47" s="121"/>
      <c r="C47" s="121"/>
      <c r="D47" s="121"/>
      <c r="E47" s="206" t="s">
        <v>86</v>
      </c>
      <c r="F47" s="206"/>
      <c r="G47" s="116"/>
      <c r="H47" s="116"/>
      <c r="I47" s="117"/>
      <c r="J47" s="117"/>
      <c r="K47" s="117"/>
      <c r="L47" s="117"/>
      <c r="M47" s="117"/>
      <c r="N47" s="117"/>
      <c r="O47" s="117" t="s">
        <v>87</v>
      </c>
      <c r="P47" s="117"/>
      <c r="Q47" s="117"/>
      <c r="R47" s="117"/>
      <c r="S47" s="117"/>
      <c r="T47" s="121"/>
      <c r="U47" s="121"/>
      <c r="V47" s="121"/>
      <c r="W47" s="121"/>
      <c r="X47" s="121"/>
      <c r="Y47" s="121"/>
      <c r="Z47" s="121"/>
      <c r="AA47" s="121"/>
      <c r="AB47" s="121"/>
    </row>
    <row r="48" spans="1:28" ht="27" thickBot="1" x14ac:dyDescent="0.45">
      <c r="A48" s="200"/>
      <c r="B48" s="121"/>
      <c r="C48" s="121"/>
      <c r="D48" s="121"/>
      <c r="E48" s="202" t="s">
        <v>83</v>
      </c>
      <c r="F48" s="202"/>
      <c r="G48" s="203"/>
      <c r="H48" s="117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1"/>
      <c r="U48" s="121"/>
      <c r="V48" s="121"/>
      <c r="W48" s="121"/>
      <c r="X48" s="121"/>
      <c r="Y48" s="121"/>
      <c r="Z48" s="121"/>
      <c r="AA48" s="121"/>
      <c r="AB48" s="121"/>
    </row>
    <row r="49" spans="1:28" ht="16.5" thickBot="1" x14ac:dyDescent="0.3">
      <c r="A49" s="123"/>
      <c r="B49" s="124" t="s">
        <v>1</v>
      </c>
      <c r="C49" s="125"/>
      <c r="D49" s="124" t="s">
        <v>39</v>
      </c>
      <c r="E49" s="125"/>
      <c r="F49" s="124" t="s">
        <v>2</v>
      </c>
      <c r="G49" s="125"/>
      <c r="H49" s="124" t="s">
        <v>40</v>
      </c>
      <c r="I49" s="125"/>
      <c r="J49" s="124" t="s">
        <v>3</v>
      </c>
      <c r="K49" s="125"/>
      <c r="L49" s="124" t="s">
        <v>4</v>
      </c>
      <c r="M49" s="125"/>
      <c r="N49" s="124" t="s">
        <v>5</v>
      </c>
      <c r="O49" s="125"/>
      <c r="P49" s="124" t="s">
        <v>41</v>
      </c>
      <c r="Q49" s="125"/>
      <c r="R49" s="124" t="s">
        <v>42</v>
      </c>
      <c r="S49" s="125"/>
      <c r="T49" s="124" t="s">
        <v>43</v>
      </c>
      <c r="U49" s="125"/>
      <c r="V49" s="124" t="s">
        <v>44</v>
      </c>
      <c r="W49" s="125"/>
      <c r="X49" s="124" t="s">
        <v>45</v>
      </c>
      <c r="Y49" s="125"/>
      <c r="Z49" s="124" t="s">
        <v>38</v>
      </c>
      <c r="AA49" s="125"/>
      <c r="AB49" s="327" t="s">
        <v>55</v>
      </c>
    </row>
    <row r="50" spans="1:28" ht="16.5" thickBot="1" x14ac:dyDescent="0.3">
      <c r="A50" s="126" t="s">
        <v>57</v>
      </c>
      <c r="B50" s="127" t="s">
        <v>49</v>
      </c>
      <c r="C50" s="128" t="s">
        <v>50</v>
      </c>
      <c r="D50" s="127" t="s">
        <v>49</v>
      </c>
      <c r="E50" s="128" t="s">
        <v>50</v>
      </c>
      <c r="F50" s="127" t="s">
        <v>49</v>
      </c>
      <c r="G50" s="128" t="s">
        <v>50</v>
      </c>
      <c r="H50" s="127" t="s">
        <v>49</v>
      </c>
      <c r="I50" s="128" t="s">
        <v>50</v>
      </c>
      <c r="J50" s="127" t="s">
        <v>49</v>
      </c>
      <c r="K50" s="128" t="s">
        <v>50</v>
      </c>
      <c r="L50" s="127" t="s">
        <v>49</v>
      </c>
      <c r="M50" s="128" t="s">
        <v>50</v>
      </c>
      <c r="N50" s="127" t="s">
        <v>49</v>
      </c>
      <c r="O50" s="128" t="s">
        <v>50</v>
      </c>
      <c r="P50" s="127" t="s">
        <v>49</v>
      </c>
      <c r="Q50" s="128" t="s">
        <v>50</v>
      </c>
      <c r="R50" s="127" t="s">
        <v>49</v>
      </c>
      <c r="S50" s="128" t="s">
        <v>50</v>
      </c>
      <c r="T50" s="127" t="s">
        <v>49</v>
      </c>
      <c r="U50" s="128" t="s">
        <v>50</v>
      </c>
      <c r="V50" s="127" t="s">
        <v>49</v>
      </c>
      <c r="W50" s="128" t="s">
        <v>50</v>
      </c>
      <c r="X50" s="127" t="s">
        <v>49</v>
      </c>
      <c r="Y50" s="128" t="s">
        <v>50</v>
      </c>
      <c r="Z50" s="207" t="s">
        <v>49</v>
      </c>
      <c r="AA50" s="208" t="s">
        <v>50</v>
      </c>
      <c r="AB50" s="328"/>
    </row>
    <row r="51" spans="1:28" ht="16.5" thickBot="1" x14ac:dyDescent="0.3">
      <c r="A51" s="71" t="s">
        <v>58</v>
      </c>
      <c r="B51" s="209">
        <v>352</v>
      </c>
      <c r="C51" s="210">
        <v>393</v>
      </c>
      <c r="D51" s="210">
        <v>363</v>
      </c>
      <c r="E51" s="210">
        <v>365</v>
      </c>
      <c r="F51" s="210">
        <v>431</v>
      </c>
      <c r="G51" s="210">
        <v>425</v>
      </c>
      <c r="H51" s="211">
        <v>385</v>
      </c>
      <c r="I51" s="211">
        <v>389</v>
      </c>
      <c r="J51" s="211">
        <v>430</v>
      </c>
      <c r="K51" s="211">
        <v>431</v>
      </c>
      <c r="L51" s="211">
        <v>375</v>
      </c>
      <c r="M51" s="211">
        <v>368</v>
      </c>
      <c r="N51" s="212">
        <v>388</v>
      </c>
      <c r="O51" s="212">
        <v>351</v>
      </c>
      <c r="P51" s="212">
        <v>395</v>
      </c>
      <c r="Q51" s="212">
        <v>406</v>
      </c>
      <c r="R51" s="212">
        <v>359</v>
      </c>
      <c r="S51" s="212">
        <v>400</v>
      </c>
      <c r="T51" s="75">
        <v>410</v>
      </c>
      <c r="U51" s="76">
        <v>426</v>
      </c>
      <c r="V51" s="77">
        <v>303</v>
      </c>
      <c r="W51" s="76">
        <v>306</v>
      </c>
      <c r="X51" s="77">
        <v>409</v>
      </c>
      <c r="Y51" s="78">
        <v>409</v>
      </c>
      <c r="Z51" s="131">
        <f>SUM(B51,D51,F51,H51,J51,L51,N51,P51,R51,T51,V51,X51)</f>
        <v>4600</v>
      </c>
      <c r="AA51" s="213">
        <f>SUM(C51,E51,G51,I51,K51,M51,O51,Q51,S51,U51,W51,Y51)</f>
        <v>4669</v>
      </c>
      <c r="AB51" s="81">
        <f>SUM(Z51:AA51)</f>
        <v>9269</v>
      </c>
    </row>
    <row r="52" spans="1:28" ht="16.5" thickBot="1" x14ac:dyDescent="0.3">
      <c r="A52" s="82" t="s">
        <v>34</v>
      </c>
      <c r="B52" s="168">
        <v>0</v>
      </c>
      <c r="C52" s="183">
        <v>0</v>
      </c>
      <c r="D52" s="183">
        <v>0</v>
      </c>
      <c r="E52" s="183">
        <v>0</v>
      </c>
      <c r="F52" s="183">
        <v>0</v>
      </c>
      <c r="G52" s="183">
        <v>0</v>
      </c>
      <c r="H52" s="85">
        <v>0</v>
      </c>
      <c r="I52" s="85">
        <v>0</v>
      </c>
      <c r="J52" s="183">
        <v>0</v>
      </c>
      <c r="K52" s="183">
        <v>0</v>
      </c>
      <c r="L52" s="183">
        <v>0</v>
      </c>
      <c r="M52" s="183">
        <v>0</v>
      </c>
      <c r="N52" s="183">
        <v>0</v>
      </c>
      <c r="O52" s="183">
        <v>0</v>
      </c>
      <c r="P52" s="183">
        <v>0</v>
      </c>
      <c r="Q52" s="183">
        <v>0</v>
      </c>
      <c r="R52" s="183">
        <v>0</v>
      </c>
      <c r="S52" s="183">
        <v>0</v>
      </c>
      <c r="T52" s="214">
        <v>0</v>
      </c>
      <c r="U52" s="214">
        <v>0</v>
      </c>
      <c r="V52" s="214">
        <v>0</v>
      </c>
      <c r="W52" s="214">
        <v>0</v>
      </c>
      <c r="X52" s="214"/>
      <c r="Y52" s="215">
        <v>0</v>
      </c>
      <c r="Z52" s="131">
        <f t="shared" ref="Z52:AA76" si="3">SUM(B52,D52,F52,H52,J52,L52,N52,P52,R52,T52,V52,X52)</f>
        <v>0</v>
      </c>
      <c r="AA52" s="213">
        <f t="shared" si="3"/>
        <v>0</v>
      </c>
      <c r="AB52" s="81">
        <f t="shared" ref="AB52:AB76" si="4">SUM(Z52:AA52)</f>
        <v>0</v>
      </c>
    </row>
    <row r="53" spans="1:28" ht="16.5" thickBot="1" x14ac:dyDescent="0.3">
      <c r="A53" s="82" t="s">
        <v>59</v>
      </c>
      <c r="B53" s="168">
        <v>0</v>
      </c>
      <c r="C53" s="183">
        <v>0</v>
      </c>
      <c r="D53" s="183">
        <v>0</v>
      </c>
      <c r="E53" s="183">
        <v>0</v>
      </c>
      <c r="F53" s="183">
        <v>0</v>
      </c>
      <c r="G53" s="183">
        <v>0</v>
      </c>
      <c r="H53" s="183">
        <v>0</v>
      </c>
      <c r="I53" s="183">
        <v>0</v>
      </c>
      <c r="J53" s="183">
        <v>0</v>
      </c>
      <c r="K53" s="183">
        <v>0</v>
      </c>
      <c r="L53" s="183">
        <v>0</v>
      </c>
      <c r="M53" s="183">
        <v>0</v>
      </c>
      <c r="N53" s="183">
        <v>0</v>
      </c>
      <c r="O53" s="183">
        <v>0</v>
      </c>
      <c r="P53" s="183">
        <v>0</v>
      </c>
      <c r="Q53" s="183">
        <v>0</v>
      </c>
      <c r="R53" s="183">
        <v>0</v>
      </c>
      <c r="S53" s="183">
        <v>0</v>
      </c>
      <c r="T53" s="214">
        <v>0</v>
      </c>
      <c r="U53" s="214">
        <v>0</v>
      </c>
      <c r="V53" s="214">
        <v>0</v>
      </c>
      <c r="W53" s="214">
        <v>0</v>
      </c>
      <c r="X53" s="214">
        <v>0</v>
      </c>
      <c r="Y53" s="215">
        <v>0</v>
      </c>
      <c r="Z53" s="131">
        <f t="shared" si="3"/>
        <v>0</v>
      </c>
      <c r="AA53" s="213">
        <f t="shared" si="3"/>
        <v>0</v>
      </c>
      <c r="AB53" s="81">
        <f t="shared" si="4"/>
        <v>0</v>
      </c>
    </row>
    <row r="54" spans="1:28" ht="16.5" thickBot="1" x14ac:dyDescent="0.3">
      <c r="A54" s="82" t="s">
        <v>60</v>
      </c>
      <c r="B54" s="168">
        <v>0</v>
      </c>
      <c r="C54" s="183">
        <v>0</v>
      </c>
      <c r="D54" s="183">
        <v>0</v>
      </c>
      <c r="E54" s="183">
        <v>0</v>
      </c>
      <c r="F54" s="183">
        <v>0</v>
      </c>
      <c r="G54" s="183">
        <v>0</v>
      </c>
      <c r="H54" s="90">
        <v>0</v>
      </c>
      <c r="I54" s="90">
        <v>0</v>
      </c>
      <c r="J54" s="90">
        <v>0</v>
      </c>
      <c r="K54" s="90">
        <v>0</v>
      </c>
      <c r="L54" s="90">
        <v>0</v>
      </c>
      <c r="M54" s="90">
        <v>0</v>
      </c>
      <c r="N54" s="93">
        <v>0</v>
      </c>
      <c r="O54" s="93">
        <v>0</v>
      </c>
      <c r="P54" s="93">
        <v>7</v>
      </c>
      <c r="Q54" s="93">
        <v>8</v>
      </c>
      <c r="R54" s="93">
        <v>3</v>
      </c>
      <c r="S54" s="93">
        <v>0</v>
      </c>
      <c r="T54" s="88">
        <v>0</v>
      </c>
      <c r="U54" s="87">
        <v>0</v>
      </c>
      <c r="V54" s="88">
        <v>0</v>
      </c>
      <c r="W54" s="87">
        <v>0</v>
      </c>
      <c r="X54" s="88">
        <v>0</v>
      </c>
      <c r="Y54" s="89">
        <v>0</v>
      </c>
      <c r="Z54" s="131">
        <f t="shared" si="3"/>
        <v>10</v>
      </c>
      <c r="AA54" s="213">
        <f t="shared" si="3"/>
        <v>8</v>
      </c>
      <c r="AB54" s="81">
        <f t="shared" si="4"/>
        <v>18</v>
      </c>
    </row>
    <row r="55" spans="1:28" ht="16.5" thickBot="1" x14ac:dyDescent="0.3">
      <c r="A55" s="91" t="s">
        <v>22</v>
      </c>
      <c r="B55" s="168">
        <v>0</v>
      </c>
      <c r="C55" s="183">
        <v>0</v>
      </c>
      <c r="D55" s="183">
        <v>0</v>
      </c>
      <c r="E55" s="183">
        <v>0</v>
      </c>
      <c r="F55" s="183">
        <v>0</v>
      </c>
      <c r="G55" s="183">
        <v>0</v>
      </c>
      <c r="H55" s="183">
        <v>0</v>
      </c>
      <c r="I55" s="183">
        <v>0</v>
      </c>
      <c r="J55" s="183">
        <v>0</v>
      </c>
      <c r="K55" s="183">
        <v>0</v>
      </c>
      <c r="L55" s="183">
        <v>0</v>
      </c>
      <c r="M55" s="183">
        <v>0</v>
      </c>
      <c r="N55" s="183">
        <v>0</v>
      </c>
      <c r="O55" s="183">
        <v>0</v>
      </c>
      <c r="P55" s="183"/>
      <c r="Q55" s="183"/>
      <c r="R55" s="183"/>
      <c r="S55" s="183"/>
      <c r="T55" s="214"/>
      <c r="U55" s="214">
        <v>0</v>
      </c>
      <c r="V55" s="214">
        <v>0</v>
      </c>
      <c r="W55" s="214">
        <v>0</v>
      </c>
      <c r="X55" s="214">
        <v>0</v>
      </c>
      <c r="Y55" s="215">
        <v>0</v>
      </c>
      <c r="Z55" s="131">
        <f t="shared" si="3"/>
        <v>0</v>
      </c>
      <c r="AA55" s="213">
        <f t="shared" si="3"/>
        <v>0</v>
      </c>
      <c r="AB55" s="81">
        <f t="shared" si="4"/>
        <v>0</v>
      </c>
    </row>
    <row r="56" spans="1:28" ht="16.5" thickBot="1" x14ac:dyDescent="0.3">
      <c r="A56" s="91" t="s">
        <v>61</v>
      </c>
      <c r="B56" s="168">
        <v>0</v>
      </c>
      <c r="C56" s="183">
        <v>0</v>
      </c>
      <c r="D56" s="183">
        <v>0</v>
      </c>
      <c r="E56" s="183">
        <v>0</v>
      </c>
      <c r="F56" s="183">
        <v>0</v>
      </c>
      <c r="G56" s="183">
        <v>0</v>
      </c>
      <c r="H56" s="90">
        <v>0</v>
      </c>
      <c r="I56" s="90">
        <v>0</v>
      </c>
      <c r="J56" s="90">
        <v>0</v>
      </c>
      <c r="K56" s="90">
        <v>0</v>
      </c>
      <c r="L56" s="90">
        <v>0</v>
      </c>
      <c r="M56" s="90">
        <v>0</v>
      </c>
      <c r="N56" s="93">
        <v>0</v>
      </c>
      <c r="O56" s="93">
        <v>0</v>
      </c>
      <c r="P56" s="93">
        <v>2</v>
      </c>
      <c r="Q56" s="93">
        <v>7</v>
      </c>
      <c r="R56" s="93">
        <v>5</v>
      </c>
      <c r="S56" s="93">
        <v>0</v>
      </c>
      <c r="T56" s="88">
        <v>4</v>
      </c>
      <c r="U56" s="87">
        <v>0</v>
      </c>
      <c r="V56" s="88">
        <v>0</v>
      </c>
      <c r="W56" s="87">
        <v>0</v>
      </c>
      <c r="X56" s="88">
        <v>0</v>
      </c>
      <c r="Y56" s="89">
        <v>0</v>
      </c>
      <c r="Z56" s="131">
        <f t="shared" si="3"/>
        <v>11</v>
      </c>
      <c r="AA56" s="213">
        <f t="shared" si="3"/>
        <v>7</v>
      </c>
      <c r="AB56" s="81">
        <f t="shared" si="4"/>
        <v>18</v>
      </c>
    </row>
    <row r="57" spans="1:28" ht="16.5" thickBot="1" x14ac:dyDescent="0.3">
      <c r="A57" s="82" t="s">
        <v>62</v>
      </c>
      <c r="B57" s="168">
        <v>0</v>
      </c>
      <c r="C57" s="183">
        <v>0</v>
      </c>
      <c r="D57" s="183">
        <v>0</v>
      </c>
      <c r="E57" s="183">
        <v>0</v>
      </c>
      <c r="F57" s="183">
        <v>0</v>
      </c>
      <c r="G57" s="183">
        <v>0</v>
      </c>
      <c r="H57" s="85">
        <v>0</v>
      </c>
      <c r="I57" s="85">
        <v>0</v>
      </c>
      <c r="J57" s="85">
        <v>0</v>
      </c>
      <c r="K57" s="85">
        <v>0</v>
      </c>
      <c r="L57" s="90">
        <v>0</v>
      </c>
      <c r="M57" s="90">
        <v>0</v>
      </c>
      <c r="N57" s="93">
        <v>0</v>
      </c>
      <c r="O57" s="93">
        <v>0</v>
      </c>
      <c r="P57" s="93">
        <v>0</v>
      </c>
      <c r="Q57" s="93">
        <v>0</v>
      </c>
      <c r="R57" s="93">
        <v>0</v>
      </c>
      <c r="S57" s="93">
        <v>0</v>
      </c>
      <c r="T57" s="216">
        <v>0</v>
      </c>
      <c r="U57" s="87">
        <v>0</v>
      </c>
      <c r="V57" s="88">
        <v>0</v>
      </c>
      <c r="W57" s="87">
        <v>0</v>
      </c>
      <c r="X57" s="88">
        <v>0</v>
      </c>
      <c r="Y57" s="89">
        <v>0</v>
      </c>
      <c r="Z57" s="131">
        <f t="shared" si="3"/>
        <v>0</v>
      </c>
      <c r="AA57" s="213">
        <f t="shared" si="3"/>
        <v>0</v>
      </c>
      <c r="AB57" s="81">
        <f t="shared" si="4"/>
        <v>0</v>
      </c>
    </row>
    <row r="58" spans="1:28" ht="16.5" thickBot="1" x14ac:dyDescent="0.3">
      <c r="A58" s="82" t="s">
        <v>63</v>
      </c>
      <c r="B58" s="168">
        <v>0</v>
      </c>
      <c r="C58" s="183">
        <v>0</v>
      </c>
      <c r="D58" s="183">
        <v>0</v>
      </c>
      <c r="E58" s="183">
        <v>0</v>
      </c>
      <c r="F58" s="183">
        <v>0</v>
      </c>
      <c r="G58" s="183">
        <v>0</v>
      </c>
      <c r="H58" s="93">
        <v>0</v>
      </c>
      <c r="I58" s="93">
        <v>0</v>
      </c>
      <c r="J58" s="93">
        <v>0</v>
      </c>
      <c r="K58" s="93">
        <v>0</v>
      </c>
      <c r="L58" s="93">
        <v>0</v>
      </c>
      <c r="M58" s="93">
        <v>0</v>
      </c>
      <c r="N58" s="85">
        <v>0</v>
      </c>
      <c r="O58" s="85">
        <v>0</v>
      </c>
      <c r="P58" s="85">
        <v>0</v>
      </c>
      <c r="Q58" s="85">
        <v>4</v>
      </c>
      <c r="R58" s="85">
        <v>2</v>
      </c>
      <c r="S58" s="85">
        <v>0</v>
      </c>
      <c r="T58" s="88">
        <v>3</v>
      </c>
      <c r="U58" s="87">
        <v>0</v>
      </c>
      <c r="V58" s="88">
        <v>0</v>
      </c>
      <c r="W58" s="87">
        <v>0</v>
      </c>
      <c r="X58" s="88">
        <v>0</v>
      </c>
      <c r="Y58" s="89">
        <v>0</v>
      </c>
      <c r="Z58" s="131">
        <f t="shared" si="3"/>
        <v>5</v>
      </c>
      <c r="AA58" s="213">
        <f t="shared" si="3"/>
        <v>4</v>
      </c>
      <c r="AB58" s="81">
        <f t="shared" si="4"/>
        <v>9</v>
      </c>
    </row>
    <row r="59" spans="1:28" ht="16.5" thickBot="1" x14ac:dyDescent="0.3">
      <c r="A59" s="91" t="s">
        <v>13</v>
      </c>
      <c r="B59" s="168">
        <v>13</v>
      </c>
      <c r="C59" s="183">
        <v>14</v>
      </c>
      <c r="D59" s="183">
        <v>12</v>
      </c>
      <c r="E59" s="183">
        <v>12</v>
      </c>
      <c r="F59" s="183">
        <v>14</v>
      </c>
      <c r="G59" s="183">
        <v>13</v>
      </c>
      <c r="H59" s="85">
        <v>14</v>
      </c>
      <c r="I59" s="85">
        <v>15</v>
      </c>
      <c r="J59" s="90">
        <v>17</v>
      </c>
      <c r="K59" s="90">
        <v>16</v>
      </c>
      <c r="L59" s="90">
        <v>14</v>
      </c>
      <c r="M59" s="90">
        <v>15</v>
      </c>
      <c r="N59" s="93">
        <v>14</v>
      </c>
      <c r="O59" s="93">
        <v>15</v>
      </c>
      <c r="P59" s="93">
        <v>14</v>
      </c>
      <c r="Q59" s="93">
        <v>17</v>
      </c>
      <c r="R59" s="93">
        <v>18</v>
      </c>
      <c r="S59" s="93">
        <v>18</v>
      </c>
      <c r="T59" s="86">
        <v>20</v>
      </c>
      <c r="U59" s="87">
        <v>20</v>
      </c>
      <c r="V59" s="88">
        <v>19</v>
      </c>
      <c r="W59" s="87">
        <v>19</v>
      </c>
      <c r="X59" s="88">
        <v>19</v>
      </c>
      <c r="Y59" s="89">
        <v>19</v>
      </c>
      <c r="Z59" s="131">
        <f t="shared" si="3"/>
        <v>188</v>
      </c>
      <c r="AA59" s="213">
        <f t="shared" si="3"/>
        <v>193</v>
      </c>
      <c r="AB59" s="81">
        <f t="shared" si="4"/>
        <v>381</v>
      </c>
    </row>
    <row r="60" spans="1:28" ht="16.5" thickBot="1" x14ac:dyDescent="0.3">
      <c r="A60" s="91" t="s">
        <v>68</v>
      </c>
      <c r="B60" s="168">
        <v>0</v>
      </c>
      <c r="C60" s="183">
        <v>0</v>
      </c>
      <c r="D60" s="183">
        <v>0</v>
      </c>
      <c r="E60" s="183">
        <v>0</v>
      </c>
      <c r="F60" s="183">
        <v>0</v>
      </c>
      <c r="G60" s="183">
        <v>0</v>
      </c>
      <c r="H60" s="90">
        <v>1</v>
      </c>
      <c r="I60" s="90">
        <v>1</v>
      </c>
      <c r="J60" s="85">
        <v>0</v>
      </c>
      <c r="K60" s="85">
        <v>0</v>
      </c>
      <c r="L60" s="85">
        <v>0</v>
      </c>
      <c r="M60" s="85">
        <v>0</v>
      </c>
      <c r="N60" s="93">
        <v>0</v>
      </c>
      <c r="O60" s="93">
        <v>0</v>
      </c>
      <c r="P60" s="93">
        <v>6</v>
      </c>
      <c r="Q60" s="93">
        <v>6</v>
      </c>
      <c r="R60" s="93">
        <v>5</v>
      </c>
      <c r="S60" s="93">
        <v>0</v>
      </c>
      <c r="T60" s="86">
        <v>0</v>
      </c>
      <c r="U60" s="87">
        <v>0</v>
      </c>
      <c r="V60" s="88">
        <v>0</v>
      </c>
      <c r="W60" s="87">
        <v>0</v>
      </c>
      <c r="X60" s="88">
        <v>1</v>
      </c>
      <c r="Y60" s="89">
        <v>1</v>
      </c>
      <c r="Z60" s="131">
        <f t="shared" si="3"/>
        <v>13</v>
      </c>
      <c r="AA60" s="213">
        <f t="shared" si="3"/>
        <v>8</v>
      </c>
      <c r="AB60" s="81">
        <f t="shared" si="4"/>
        <v>21</v>
      </c>
    </row>
    <row r="61" spans="1:28" ht="16.5" thickBot="1" x14ac:dyDescent="0.3">
      <c r="A61" s="82" t="s">
        <v>31</v>
      </c>
      <c r="B61" s="168">
        <v>0</v>
      </c>
      <c r="C61" s="183">
        <v>0</v>
      </c>
      <c r="D61" s="183">
        <v>0</v>
      </c>
      <c r="E61" s="183">
        <v>0</v>
      </c>
      <c r="F61" s="183">
        <v>0</v>
      </c>
      <c r="G61" s="183">
        <v>0</v>
      </c>
      <c r="H61" s="183">
        <v>0</v>
      </c>
      <c r="I61" s="183">
        <v>0</v>
      </c>
      <c r="J61" s="183">
        <v>0</v>
      </c>
      <c r="K61" s="183">
        <v>0</v>
      </c>
      <c r="L61" s="183">
        <v>0</v>
      </c>
      <c r="M61" s="183">
        <v>0</v>
      </c>
      <c r="N61" s="183">
        <v>0</v>
      </c>
      <c r="O61" s="183">
        <v>0</v>
      </c>
      <c r="P61" s="183">
        <v>0</v>
      </c>
      <c r="Q61" s="183">
        <v>0</v>
      </c>
      <c r="R61" s="183">
        <v>0</v>
      </c>
      <c r="S61" s="183">
        <v>0</v>
      </c>
      <c r="T61" s="214">
        <v>0</v>
      </c>
      <c r="U61" s="217">
        <v>0</v>
      </c>
      <c r="V61" s="218">
        <v>0</v>
      </c>
      <c r="W61" s="217">
        <v>0</v>
      </c>
      <c r="X61" s="218">
        <v>0</v>
      </c>
      <c r="Y61" s="219">
        <v>0</v>
      </c>
      <c r="Z61" s="131">
        <f t="shared" si="3"/>
        <v>0</v>
      </c>
      <c r="AA61" s="213">
        <f t="shared" si="3"/>
        <v>0</v>
      </c>
      <c r="AB61" s="81">
        <f t="shared" si="4"/>
        <v>0</v>
      </c>
    </row>
    <row r="62" spans="1:28" ht="16.5" thickBot="1" x14ac:dyDescent="0.3">
      <c r="A62" s="82" t="s">
        <v>69</v>
      </c>
      <c r="B62" s="168">
        <v>0</v>
      </c>
      <c r="C62" s="183">
        <v>0</v>
      </c>
      <c r="D62" s="183">
        <v>0</v>
      </c>
      <c r="E62" s="183">
        <v>0</v>
      </c>
      <c r="F62" s="183">
        <v>0</v>
      </c>
      <c r="G62" s="183">
        <v>0</v>
      </c>
      <c r="H62" s="85">
        <v>0</v>
      </c>
      <c r="I62" s="85">
        <v>0</v>
      </c>
      <c r="J62" s="85">
        <v>0</v>
      </c>
      <c r="K62" s="85">
        <v>0</v>
      </c>
      <c r="L62" s="85">
        <v>0</v>
      </c>
      <c r="M62" s="85">
        <v>0</v>
      </c>
      <c r="N62" s="93">
        <v>0</v>
      </c>
      <c r="O62" s="93">
        <v>0</v>
      </c>
      <c r="P62" s="93">
        <v>5</v>
      </c>
      <c r="Q62" s="93">
        <v>5</v>
      </c>
      <c r="R62" s="93">
        <v>5</v>
      </c>
      <c r="S62" s="93">
        <v>5</v>
      </c>
      <c r="T62" s="86">
        <v>0</v>
      </c>
      <c r="U62" s="87">
        <v>0</v>
      </c>
      <c r="V62" s="88">
        <v>0</v>
      </c>
      <c r="W62" s="87">
        <v>0</v>
      </c>
      <c r="X62" s="88">
        <v>0</v>
      </c>
      <c r="Y62" s="89">
        <v>0</v>
      </c>
      <c r="Z62" s="131">
        <f t="shared" si="3"/>
        <v>10</v>
      </c>
      <c r="AA62" s="213">
        <f t="shared" si="3"/>
        <v>10</v>
      </c>
      <c r="AB62" s="81">
        <f t="shared" si="4"/>
        <v>20</v>
      </c>
    </row>
    <row r="63" spans="1:28" ht="16.5" thickBot="1" x14ac:dyDescent="0.3">
      <c r="A63" s="82" t="s">
        <v>25</v>
      </c>
      <c r="B63" s="168">
        <v>0</v>
      </c>
      <c r="C63" s="183">
        <v>0</v>
      </c>
      <c r="D63" s="183">
        <v>0</v>
      </c>
      <c r="E63" s="183">
        <v>0</v>
      </c>
      <c r="F63" s="183">
        <v>0</v>
      </c>
      <c r="G63" s="183">
        <v>0</v>
      </c>
      <c r="H63" s="183">
        <v>0</v>
      </c>
      <c r="I63" s="183">
        <v>0</v>
      </c>
      <c r="J63" s="183">
        <v>0</v>
      </c>
      <c r="K63" s="183">
        <v>0</v>
      </c>
      <c r="L63" s="183">
        <v>0</v>
      </c>
      <c r="M63" s="183">
        <v>0</v>
      </c>
      <c r="N63" s="183">
        <v>0</v>
      </c>
      <c r="O63" s="183">
        <v>0</v>
      </c>
      <c r="P63" s="183">
        <v>0</v>
      </c>
      <c r="Q63" s="183">
        <v>0</v>
      </c>
      <c r="R63" s="183">
        <v>0</v>
      </c>
      <c r="S63" s="183">
        <v>0</v>
      </c>
      <c r="T63" s="220">
        <v>0</v>
      </c>
      <c r="U63" s="217">
        <v>0</v>
      </c>
      <c r="V63" s="218">
        <v>0</v>
      </c>
      <c r="W63" s="217">
        <v>0</v>
      </c>
      <c r="X63" s="218">
        <v>0</v>
      </c>
      <c r="Y63" s="219">
        <v>0</v>
      </c>
      <c r="Z63" s="131">
        <f t="shared" si="3"/>
        <v>0</v>
      </c>
      <c r="AA63" s="213">
        <f t="shared" si="3"/>
        <v>0</v>
      </c>
      <c r="AB63" s="81">
        <f t="shared" si="4"/>
        <v>0</v>
      </c>
    </row>
    <row r="64" spans="1:28" ht="16.5" thickBot="1" x14ac:dyDescent="0.3">
      <c r="A64" s="82" t="s">
        <v>70</v>
      </c>
      <c r="B64" s="168">
        <v>4</v>
      </c>
      <c r="C64" s="183">
        <v>2</v>
      </c>
      <c r="D64" s="183">
        <v>1</v>
      </c>
      <c r="E64" s="183">
        <v>1</v>
      </c>
      <c r="F64" s="183">
        <v>4</v>
      </c>
      <c r="G64" s="183">
        <v>2</v>
      </c>
      <c r="H64" s="85">
        <v>1</v>
      </c>
      <c r="I64" s="85">
        <v>1</v>
      </c>
      <c r="J64" s="85">
        <v>2</v>
      </c>
      <c r="K64" s="85">
        <v>1</v>
      </c>
      <c r="L64" s="85">
        <v>3</v>
      </c>
      <c r="M64" s="85">
        <v>3</v>
      </c>
      <c r="N64" s="93">
        <v>1</v>
      </c>
      <c r="O64" s="93">
        <v>2</v>
      </c>
      <c r="P64" s="93">
        <v>5</v>
      </c>
      <c r="Q64" s="93">
        <v>16</v>
      </c>
      <c r="R64" s="93">
        <v>11</v>
      </c>
      <c r="S64" s="93">
        <v>8</v>
      </c>
      <c r="T64" s="88">
        <v>7</v>
      </c>
      <c r="U64" s="87">
        <v>2</v>
      </c>
      <c r="V64" s="88">
        <v>1</v>
      </c>
      <c r="W64" s="87">
        <v>1</v>
      </c>
      <c r="X64" s="88">
        <v>0</v>
      </c>
      <c r="Y64" s="89">
        <v>1</v>
      </c>
      <c r="Z64" s="131">
        <f t="shared" si="3"/>
        <v>40</v>
      </c>
      <c r="AA64" s="213">
        <f t="shared" si="3"/>
        <v>40</v>
      </c>
      <c r="AB64" s="81">
        <f t="shared" si="4"/>
        <v>80</v>
      </c>
    </row>
    <row r="65" spans="1:28" ht="16.5" thickBot="1" x14ac:dyDescent="0.3">
      <c r="A65" s="82" t="s">
        <v>71</v>
      </c>
      <c r="B65" s="168">
        <v>86</v>
      </c>
      <c r="C65" s="183">
        <v>91</v>
      </c>
      <c r="D65" s="183">
        <v>75</v>
      </c>
      <c r="E65" s="183">
        <v>81</v>
      </c>
      <c r="F65" s="183">
        <v>84</v>
      </c>
      <c r="G65" s="183">
        <v>90</v>
      </c>
      <c r="H65" s="85">
        <v>100</v>
      </c>
      <c r="I65" s="85">
        <v>100</v>
      </c>
      <c r="J65" s="85">
        <v>100</v>
      </c>
      <c r="K65" s="85">
        <v>99</v>
      </c>
      <c r="L65" s="85">
        <v>106</v>
      </c>
      <c r="M65" s="85">
        <v>111</v>
      </c>
      <c r="N65" s="93">
        <v>107</v>
      </c>
      <c r="O65" s="93">
        <v>83</v>
      </c>
      <c r="P65" s="93">
        <v>117</v>
      </c>
      <c r="Q65" s="93">
        <v>88</v>
      </c>
      <c r="R65" s="93">
        <v>95</v>
      </c>
      <c r="S65" s="93">
        <v>111</v>
      </c>
      <c r="T65" s="86">
        <v>78</v>
      </c>
      <c r="U65" s="87">
        <v>95</v>
      </c>
      <c r="V65" s="88">
        <v>54</v>
      </c>
      <c r="W65" s="87">
        <v>63</v>
      </c>
      <c r="X65" s="88">
        <v>66</v>
      </c>
      <c r="Y65" s="89">
        <v>65</v>
      </c>
      <c r="Z65" s="131">
        <f t="shared" si="3"/>
        <v>1068</v>
      </c>
      <c r="AA65" s="213">
        <f t="shared" si="3"/>
        <v>1077</v>
      </c>
      <c r="AB65" s="81">
        <f t="shared" si="4"/>
        <v>2145</v>
      </c>
    </row>
    <row r="66" spans="1:28" ht="16.5" thickBot="1" x14ac:dyDescent="0.3">
      <c r="A66" s="82" t="s">
        <v>72</v>
      </c>
      <c r="B66" s="168">
        <v>0</v>
      </c>
      <c r="C66" s="183">
        <v>0</v>
      </c>
      <c r="D66" s="183">
        <v>0</v>
      </c>
      <c r="E66" s="183">
        <v>0</v>
      </c>
      <c r="F66" s="183">
        <v>0</v>
      </c>
      <c r="G66" s="183">
        <v>0</v>
      </c>
      <c r="H66" s="85">
        <v>0</v>
      </c>
      <c r="I66" s="85">
        <v>0</v>
      </c>
      <c r="J66" s="85">
        <v>0</v>
      </c>
      <c r="K66" s="85">
        <v>0</v>
      </c>
      <c r="L66" s="85">
        <v>0</v>
      </c>
      <c r="M66" s="85">
        <v>0</v>
      </c>
      <c r="N66" s="93">
        <v>0</v>
      </c>
      <c r="O66" s="93">
        <v>0</v>
      </c>
      <c r="P66" s="93">
        <v>1</v>
      </c>
      <c r="Q66" s="93">
        <v>9</v>
      </c>
      <c r="R66" s="93">
        <v>5</v>
      </c>
      <c r="S66" s="93">
        <v>0</v>
      </c>
      <c r="T66" s="86">
        <v>4</v>
      </c>
      <c r="U66" s="87">
        <v>0</v>
      </c>
      <c r="V66" s="88">
        <v>0</v>
      </c>
      <c r="W66" s="87">
        <v>0</v>
      </c>
      <c r="X66" s="88">
        <v>2</v>
      </c>
      <c r="Y66" s="89">
        <v>2</v>
      </c>
      <c r="Z66" s="131">
        <f t="shared" si="3"/>
        <v>12</v>
      </c>
      <c r="AA66" s="213">
        <f t="shared" si="3"/>
        <v>11</v>
      </c>
      <c r="AB66" s="81">
        <f t="shared" si="4"/>
        <v>23</v>
      </c>
    </row>
    <row r="67" spans="1:28" ht="16.5" thickBot="1" x14ac:dyDescent="0.3">
      <c r="A67" s="82" t="s">
        <v>73</v>
      </c>
      <c r="B67" s="168">
        <v>1291</v>
      </c>
      <c r="C67" s="183">
        <v>1256</v>
      </c>
      <c r="D67" s="183">
        <v>1233</v>
      </c>
      <c r="E67" s="183">
        <v>1199</v>
      </c>
      <c r="F67" s="183">
        <v>1335</v>
      </c>
      <c r="G67" s="183">
        <v>1305</v>
      </c>
      <c r="H67" s="85">
        <v>1289</v>
      </c>
      <c r="I67" s="85">
        <v>1275</v>
      </c>
      <c r="J67" s="85">
        <v>1281</v>
      </c>
      <c r="K67" s="85">
        <v>1254</v>
      </c>
      <c r="L67" s="85">
        <v>1191</v>
      </c>
      <c r="M67" s="85">
        <v>1154</v>
      </c>
      <c r="N67" s="93">
        <v>1171</v>
      </c>
      <c r="O67" s="93">
        <v>1161</v>
      </c>
      <c r="P67" s="93">
        <v>1241</v>
      </c>
      <c r="Q67" s="93">
        <v>1203</v>
      </c>
      <c r="R67" s="93">
        <v>1117</v>
      </c>
      <c r="S67" s="93">
        <v>1109</v>
      </c>
      <c r="T67" s="86">
        <v>1172</v>
      </c>
      <c r="U67" s="87">
        <v>1151</v>
      </c>
      <c r="V67" s="88">
        <v>1133</v>
      </c>
      <c r="W67" s="87">
        <v>1101</v>
      </c>
      <c r="X67" s="88">
        <v>1184</v>
      </c>
      <c r="Y67" s="89">
        <v>1172</v>
      </c>
      <c r="Z67" s="131">
        <f t="shared" si="3"/>
        <v>14638</v>
      </c>
      <c r="AA67" s="213">
        <f t="shared" si="3"/>
        <v>14340</v>
      </c>
      <c r="AB67" s="81">
        <f t="shared" si="4"/>
        <v>28978</v>
      </c>
    </row>
    <row r="68" spans="1:28" ht="16.5" thickBot="1" x14ac:dyDescent="0.3">
      <c r="A68" s="82" t="s">
        <v>74</v>
      </c>
      <c r="B68" s="168">
        <v>5</v>
      </c>
      <c r="C68" s="183">
        <v>5</v>
      </c>
      <c r="D68" s="183">
        <v>4</v>
      </c>
      <c r="E68" s="183">
        <v>4</v>
      </c>
      <c r="F68" s="183">
        <v>2</v>
      </c>
      <c r="G68" s="183">
        <v>2</v>
      </c>
      <c r="H68" s="85">
        <v>2</v>
      </c>
      <c r="I68" s="85">
        <v>2</v>
      </c>
      <c r="J68" s="85">
        <v>9</v>
      </c>
      <c r="K68" s="85">
        <v>7</v>
      </c>
      <c r="L68" s="85">
        <v>6</v>
      </c>
      <c r="M68" s="85">
        <v>6</v>
      </c>
      <c r="N68" s="93">
        <v>7</v>
      </c>
      <c r="O68" s="93">
        <v>6</v>
      </c>
      <c r="P68" s="93">
        <v>13</v>
      </c>
      <c r="Q68" s="93">
        <v>12</v>
      </c>
      <c r="R68" s="93">
        <v>10</v>
      </c>
      <c r="S68" s="93">
        <v>10</v>
      </c>
      <c r="T68" s="86">
        <v>10</v>
      </c>
      <c r="U68" s="87">
        <v>11</v>
      </c>
      <c r="V68" s="88">
        <v>3</v>
      </c>
      <c r="W68" s="87">
        <v>4</v>
      </c>
      <c r="X68" s="88">
        <v>11</v>
      </c>
      <c r="Y68" s="89">
        <v>9</v>
      </c>
      <c r="Z68" s="131">
        <f t="shared" si="3"/>
        <v>82</v>
      </c>
      <c r="AA68" s="213">
        <f t="shared" si="3"/>
        <v>78</v>
      </c>
      <c r="AB68" s="81">
        <f t="shared" si="4"/>
        <v>160</v>
      </c>
    </row>
    <row r="69" spans="1:28" ht="16.5" thickBot="1" x14ac:dyDescent="0.3">
      <c r="A69" s="82" t="s">
        <v>32</v>
      </c>
      <c r="B69" s="168">
        <v>0</v>
      </c>
      <c r="C69" s="183">
        <v>0</v>
      </c>
      <c r="D69" s="183">
        <v>0</v>
      </c>
      <c r="E69" s="183">
        <v>0</v>
      </c>
      <c r="F69" s="183">
        <v>0</v>
      </c>
      <c r="G69" s="183">
        <v>0</v>
      </c>
      <c r="H69" s="85">
        <v>0</v>
      </c>
      <c r="I69" s="85">
        <v>0</v>
      </c>
      <c r="J69" s="85">
        <v>0</v>
      </c>
      <c r="K69" s="85">
        <v>0</v>
      </c>
      <c r="L69" s="85">
        <v>0</v>
      </c>
      <c r="M69" s="85">
        <v>0</v>
      </c>
      <c r="N69" s="93">
        <v>0</v>
      </c>
      <c r="O69" s="93">
        <v>0</v>
      </c>
      <c r="P69" s="93">
        <v>12</v>
      </c>
      <c r="Q69" s="93">
        <v>12</v>
      </c>
      <c r="R69" s="93">
        <v>0</v>
      </c>
      <c r="S69" s="93">
        <v>0</v>
      </c>
      <c r="T69" s="96">
        <v>6</v>
      </c>
      <c r="U69" s="87">
        <v>1</v>
      </c>
      <c r="V69" s="88">
        <v>0</v>
      </c>
      <c r="W69" s="87">
        <v>0</v>
      </c>
      <c r="X69" s="88">
        <v>0</v>
      </c>
      <c r="Y69" s="89">
        <v>0</v>
      </c>
      <c r="Z69" s="131">
        <f t="shared" si="3"/>
        <v>18</v>
      </c>
      <c r="AA69" s="213">
        <f t="shared" si="3"/>
        <v>13</v>
      </c>
      <c r="AB69" s="81">
        <f t="shared" si="4"/>
        <v>31</v>
      </c>
    </row>
    <row r="70" spans="1:28" ht="16.5" thickBot="1" x14ac:dyDescent="0.3">
      <c r="A70" s="82" t="s">
        <v>15</v>
      </c>
      <c r="B70" s="168">
        <v>0</v>
      </c>
      <c r="C70" s="183">
        <v>0</v>
      </c>
      <c r="D70" s="183">
        <v>0</v>
      </c>
      <c r="E70" s="183">
        <v>0</v>
      </c>
      <c r="F70" s="183">
        <v>0</v>
      </c>
      <c r="G70" s="183">
        <v>0</v>
      </c>
      <c r="H70" s="183">
        <v>0</v>
      </c>
      <c r="I70" s="183">
        <v>0</v>
      </c>
      <c r="J70" s="183">
        <v>0</v>
      </c>
      <c r="K70" s="183">
        <v>0</v>
      </c>
      <c r="L70" s="183">
        <v>0</v>
      </c>
      <c r="M70" s="183">
        <v>0</v>
      </c>
      <c r="N70" s="183">
        <v>0</v>
      </c>
      <c r="O70" s="183">
        <v>0</v>
      </c>
      <c r="P70" s="183">
        <v>0</v>
      </c>
      <c r="Q70" s="183">
        <v>0</v>
      </c>
      <c r="R70" s="183">
        <v>0</v>
      </c>
      <c r="S70" s="183">
        <v>0</v>
      </c>
      <c r="T70" s="220">
        <v>0</v>
      </c>
      <c r="U70" s="217">
        <v>0</v>
      </c>
      <c r="V70" s="218">
        <v>0</v>
      </c>
      <c r="W70" s="217">
        <v>0</v>
      </c>
      <c r="X70" s="218">
        <v>0</v>
      </c>
      <c r="Y70" s="219">
        <v>0</v>
      </c>
      <c r="Z70" s="131">
        <f t="shared" si="3"/>
        <v>0</v>
      </c>
      <c r="AA70" s="213">
        <f t="shared" si="3"/>
        <v>0</v>
      </c>
      <c r="AB70" s="81">
        <f t="shared" si="4"/>
        <v>0</v>
      </c>
    </row>
    <row r="71" spans="1:28" ht="16.5" thickBot="1" x14ac:dyDescent="0.3">
      <c r="A71" s="91" t="s">
        <v>26</v>
      </c>
      <c r="B71" s="168">
        <v>0</v>
      </c>
      <c r="C71" s="183">
        <v>0</v>
      </c>
      <c r="D71" s="183">
        <v>0</v>
      </c>
      <c r="E71" s="183">
        <v>0</v>
      </c>
      <c r="F71" s="183">
        <v>0</v>
      </c>
      <c r="G71" s="183">
        <v>0</v>
      </c>
      <c r="H71" s="183">
        <v>0</v>
      </c>
      <c r="I71" s="183">
        <v>0</v>
      </c>
      <c r="J71" s="183">
        <v>0</v>
      </c>
      <c r="K71" s="183">
        <v>0</v>
      </c>
      <c r="L71" s="183">
        <v>0</v>
      </c>
      <c r="M71" s="183">
        <v>0</v>
      </c>
      <c r="N71" s="183">
        <v>0</v>
      </c>
      <c r="O71" s="183">
        <v>0</v>
      </c>
      <c r="P71" s="183">
        <v>0</v>
      </c>
      <c r="Q71" s="183">
        <v>0</v>
      </c>
      <c r="R71" s="183">
        <v>0</v>
      </c>
      <c r="S71" s="183">
        <v>0</v>
      </c>
      <c r="T71" s="220">
        <v>0</v>
      </c>
      <c r="U71" s="217">
        <v>0</v>
      </c>
      <c r="V71" s="218">
        <v>0</v>
      </c>
      <c r="W71" s="217">
        <v>0</v>
      </c>
      <c r="X71" s="214"/>
      <c r="Y71" s="219">
        <v>0</v>
      </c>
      <c r="Z71" s="131">
        <f t="shared" si="3"/>
        <v>0</v>
      </c>
      <c r="AA71" s="213">
        <f t="shared" si="3"/>
        <v>0</v>
      </c>
      <c r="AB71" s="81">
        <f t="shared" si="4"/>
        <v>0</v>
      </c>
    </row>
    <row r="72" spans="1:28" ht="16.5" thickBot="1" x14ac:dyDescent="0.3">
      <c r="A72" s="82" t="s">
        <v>75</v>
      </c>
      <c r="B72" s="168">
        <v>72</v>
      </c>
      <c r="C72" s="183">
        <v>67</v>
      </c>
      <c r="D72" s="183">
        <v>67</v>
      </c>
      <c r="E72" s="183">
        <v>67</v>
      </c>
      <c r="F72" s="183">
        <v>80</v>
      </c>
      <c r="G72" s="183">
        <v>78</v>
      </c>
      <c r="H72" s="85">
        <v>96</v>
      </c>
      <c r="I72" s="85">
        <v>118</v>
      </c>
      <c r="J72" s="85">
        <v>97</v>
      </c>
      <c r="K72" s="85">
        <v>113</v>
      </c>
      <c r="L72" s="85">
        <v>93</v>
      </c>
      <c r="M72" s="85">
        <v>115</v>
      </c>
      <c r="N72" s="93">
        <v>89</v>
      </c>
      <c r="O72" s="93">
        <v>112</v>
      </c>
      <c r="P72" s="93">
        <v>87</v>
      </c>
      <c r="Q72" s="93">
        <v>114</v>
      </c>
      <c r="R72" s="93">
        <v>83</v>
      </c>
      <c r="S72" s="93">
        <v>104</v>
      </c>
      <c r="T72" s="86">
        <v>81</v>
      </c>
      <c r="U72" s="87">
        <v>101</v>
      </c>
      <c r="V72" s="88">
        <v>63</v>
      </c>
      <c r="W72" s="87">
        <v>84</v>
      </c>
      <c r="X72" s="88">
        <v>67</v>
      </c>
      <c r="Y72" s="89">
        <v>86</v>
      </c>
      <c r="Z72" s="131">
        <f t="shared" si="3"/>
        <v>975</v>
      </c>
      <c r="AA72" s="213">
        <f t="shared" si="3"/>
        <v>1159</v>
      </c>
      <c r="AB72" s="81">
        <f t="shared" si="4"/>
        <v>2134</v>
      </c>
    </row>
    <row r="73" spans="1:28" ht="16.5" thickBot="1" x14ac:dyDescent="0.3">
      <c r="A73" s="82" t="s">
        <v>76</v>
      </c>
      <c r="B73" s="168">
        <v>0</v>
      </c>
      <c r="C73" s="183">
        <v>0</v>
      </c>
      <c r="D73" s="183">
        <v>0</v>
      </c>
      <c r="E73" s="183">
        <v>0</v>
      </c>
      <c r="F73" s="183">
        <v>0</v>
      </c>
      <c r="G73" s="183">
        <v>0</v>
      </c>
      <c r="H73" s="85">
        <v>0</v>
      </c>
      <c r="I73" s="85">
        <v>0</v>
      </c>
      <c r="J73" s="85">
        <v>0</v>
      </c>
      <c r="K73" s="85">
        <v>0</v>
      </c>
      <c r="L73" s="85">
        <v>0</v>
      </c>
      <c r="M73" s="85">
        <v>1</v>
      </c>
      <c r="N73" s="93">
        <v>2</v>
      </c>
      <c r="O73" s="93">
        <v>0</v>
      </c>
      <c r="P73" s="93">
        <v>17</v>
      </c>
      <c r="Q73" s="93">
        <v>18</v>
      </c>
      <c r="R73" s="93">
        <v>13</v>
      </c>
      <c r="S73" s="93">
        <v>9</v>
      </c>
      <c r="T73" s="86">
        <v>5</v>
      </c>
      <c r="U73" s="87">
        <v>6</v>
      </c>
      <c r="V73" s="88">
        <v>0</v>
      </c>
      <c r="W73" s="87">
        <v>0</v>
      </c>
      <c r="X73" s="88">
        <v>1</v>
      </c>
      <c r="Y73" s="89">
        <v>1</v>
      </c>
      <c r="Z73" s="131">
        <f t="shared" si="3"/>
        <v>38</v>
      </c>
      <c r="AA73" s="213">
        <f t="shared" si="3"/>
        <v>35</v>
      </c>
      <c r="AB73" s="81">
        <f t="shared" si="4"/>
        <v>73</v>
      </c>
    </row>
    <row r="74" spans="1:28" ht="16.5" thickBot="1" x14ac:dyDescent="0.3">
      <c r="A74" s="71" t="s">
        <v>77</v>
      </c>
      <c r="B74" s="168">
        <v>0</v>
      </c>
      <c r="C74" s="183">
        <v>0</v>
      </c>
      <c r="D74" s="183">
        <v>0</v>
      </c>
      <c r="E74" s="183">
        <v>0</v>
      </c>
      <c r="F74" s="183">
        <v>0</v>
      </c>
      <c r="G74" s="183">
        <v>0</v>
      </c>
      <c r="H74" s="92">
        <v>1</v>
      </c>
      <c r="I74" s="92">
        <v>0</v>
      </c>
      <c r="J74" s="90">
        <v>0</v>
      </c>
      <c r="K74" s="90">
        <v>0</v>
      </c>
      <c r="L74" s="90">
        <v>0</v>
      </c>
      <c r="M74" s="90">
        <v>0</v>
      </c>
      <c r="N74" s="93">
        <v>0</v>
      </c>
      <c r="O74" s="93">
        <v>0</v>
      </c>
      <c r="P74" s="93">
        <v>0</v>
      </c>
      <c r="Q74" s="93">
        <v>0</v>
      </c>
      <c r="R74" s="93">
        <v>0</v>
      </c>
      <c r="S74" s="93">
        <v>0</v>
      </c>
      <c r="T74" s="88">
        <v>0</v>
      </c>
      <c r="U74" s="87">
        <v>0</v>
      </c>
      <c r="V74" s="88">
        <v>0</v>
      </c>
      <c r="W74" s="87">
        <v>0</v>
      </c>
      <c r="X74" s="88">
        <v>0</v>
      </c>
      <c r="Y74" s="89">
        <v>0</v>
      </c>
      <c r="Z74" s="131">
        <f t="shared" si="3"/>
        <v>1</v>
      </c>
      <c r="AA74" s="213">
        <f t="shared" si="3"/>
        <v>0</v>
      </c>
      <c r="AB74" s="81">
        <f t="shared" si="4"/>
        <v>1</v>
      </c>
    </row>
    <row r="75" spans="1:28" ht="16.5" thickBot="1" x14ac:dyDescent="0.3">
      <c r="A75" s="94" t="s">
        <v>78</v>
      </c>
      <c r="B75" s="221">
        <v>0</v>
      </c>
      <c r="C75" s="222">
        <v>0</v>
      </c>
      <c r="D75" s="222">
        <v>0</v>
      </c>
      <c r="E75" s="222">
        <v>0</v>
      </c>
      <c r="F75" s="222">
        <v>0</v>
      </c>
      <c r="G75" s="222">
        <v>0</v>
      </c>
      <c r="H75" s="102">
        <v>0</v>
      </c>
      <c r="I75" s="102">
        <v>0</v>
      </c>
      <c r="J75" s="102">
        <v>0</v>
      </c>
      <c r="K75" s="102">
        <v>0</v>
      </c>
      <c r="L75" s="102">
        <v>0</v>
      </c>
      <c r="M75" s="102">
        <v>0</v>
      </c>
      <c r="N75" s="223">
        <v>0</v>
      </c>
      <c r="O75" s="223">
        <v>0</v>
      </c>
      <c r="P75" s="223">
        <v>10</v>
      </c>
      <c r="Q75" s="223">
        <v>10</v>
      </c>
      <c r="R75" s="223">
        <v>5</v>
      </c>
      <c r="S75" s="223">
        <v>5</v>
      </c>
      <c r="T75" s="134">
        <v>2</v>
      </c>
      <c r="U75" s="104">
        <v>3</v>
      </c>
      <c r="V75" s="103">
        <v>1</v>
      </c>
      <c r="W75" s="104">
        <v>1</v>
      </c>
      <c r="X75" s="103">
        <v>4</v>
      </c>
      <c r="Y75" s="105">
        <v>4</v>
      </c>
      <c r="Z75" s="224">
        <f t="shared" si="3"/>
        <v>22</v>
      </c>
      <c r="AA75" s="225">
        <f t="shared" si="3"/>
        <v>23</v>
      </c>
      <c r="AB75" s="106">
        <f t="shared" si="4"/>
        <v>45</v>
      </c>
    </row>
    <row r="76" spans="1:28" ht="16.5" thickBot="1" x14ac:dyDescent="0.3">
      <c r="A76" s="135" t="s">
        <v>38</v>
      </c>
      <c r="B76" s="226">
        <f t="shared" ref="B76:Y76" si="5">SUM(B51:B75)</f>
        <v>1823</v>
      </c>
      <c r="C76" s="227">
        <f t="shared" si="5"/>
        <v>1828</v>
      </c>
      <c r="D76" s="226">
        <f t="shared" si="5"/>
        <v>1755</v>
      </c>
      <c r="E76" s="227">
        <f t="shared" si="5"/>
        <v>1729</v>
      </c>
      <c r="F76" s="226">
        <f t="shared" si="5"/>
        <v>1950</v>
      </c>
      <c r="G76" s="227">
        <f t="shared" si="5"/>
        <v>1915</v>
      </c>
      <c r="H76" s="226">
        <f t="shared" si="5"/>
        <v>1889</v>
      </c>
      <c r="I76" s="227">
        <f t="shared" si="5"/>
        <v>1901</v>
      </c>
      <c r="J76" s="226">
        <f t="shared" si="5"/>
        <v>1936</v>
      </c>
      <c r="K76" s="227">
        <f t="shared" si="5"/>
        <v>1921</v>
      </c>
      <c r="L76" s="226">
        <f t="shared" si="5"/>
        <v>1788</v>
      </c>
      <c r="M76" s="227">
        <f t="shared" si="5"/>
        <v>1773</v>
      </c>
      <c r="N76" s="226">
        <f t="shared" si="5"/>
        <v>1779</v>
      </c>
      <c r="O76" s="227">
        <f t="shared" si="5"/>
        <v>1730</v>
      </c>
      <c r="P76" s="226">
        <f t="shared" si="5"/>
        <v>1932</v>
      </c>
      <c r="Q76" s="227">
        <f t="shared" si="5"/>
        <v>1935</v>
      </c>
      <c r="R76" s="226">
        <f t="shared" si="5"/>
        <v>1736</v>
      </c>
      <c r="S76" s="227">
        <f t="shared" si="5"/>
        <v>1779</v>
      </c>
      <c r="T76" s="226">
        <f t="shared" si="5"/>
        <v>1802</v>
      </c>
      <c r="U76" s="227">
        <f t="shared" si="5"/>
        <v>1816</v>
      </c>
      <c r="V76" s="226">
        <f t="shared" si="5"/>
        <v>1577</v>
      </c>
      <c r="W76" s="227">
        <f t="shared" si="5"/>
        <v>1579</v>
      </c>
      <c r="X76" s="226">
        <f t="shared" si="5"/>
        <v>1764</v>
      </c>
      <c r="Y76" s="227">
        <f t="shared" si="5"/>
        <v>1769</v>
      </c>
      <c r="Z76" s="196">
        <f t="shared" si="3"/>
        <v>21731</v>
      </c>
      <c r="AA76" s="197">
        <f t="shared" si="3"/>
        <v>21675</v>
      </c>
      <c r="AB76" s="114">
        <f t="shared" si="4"/>
        <v>43406</v>
      </c>
    </row>
  </sheetData>
  <mergeCells count="1">
    <mergeCell ref="AB49:AB5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6"/>
  <sheetViews>
    <sheetView topLeftCell="A10" workbookViewId="0">
      <selection activeCell="A2" sqref="A2:G2"/>
    </sheetView>
  </sheetViews>
  <sheetFormatPr defaultRowHeight="15" x14ac:dyDescent="0.25"/>
  <cols>
    <col min="1" max="1" width="12.7109375" style="2" customWidth="1"/>
    <col min="2" max="2" width="18" style="2" customWidth="1"/>
    <col min="3" max="5" width="16.42578125" style="2" customWidth="1"/>
    <col min="6" max="6" width="18" style="2" customWidth="1"/>
    <col min="7" max="7" width="16.42578125" style="2" customWidth="1"/>
    <col min="8" max="8" width="18" style="2" customWidth="1"/>
    <col min="9" max="9" width="16.42578125" style="2" customWidth="1"/>
    <col min="10" max="10" width="18" style="2" customWidth="1"/>
    <col min="11" max="13" width="16.42578125" style="2" customWidth="1"/>
    <col min="14" max="14" width="20.85546875" style="2" customWidth="1"/>
    <col min="15" max="15" width="19.28515625" style="2" customWidth="1"/>
    <col min="16" max="16" width="16.85546875" style="2" customWidth="1"/>
    <col min="17" max="17" width="15.28515625" style="2" customWidth="1"/>
    <col min="18" max="18" width="16.85546875" style="2" customWidth="1"/>
    <col min="19" max="19" width="15.28515625" style="2" customWidth="1"/>
    <col min="20" max="20" width="19.42578125" style="2" customWidth="1"/>
    <col min="21" max="21" width="16.28515625" style="2" customWidth="1"/>
    <col min="22" max="22" width="18" style="2" customWidth="1"/>
    <col min="23" max="23" width="14.85546875" style="2" customWidth="1"/>
    <col min="24" max="24" width="18.28515625" style="2" customWidth="1"/>
    <col min="25" max="25" width="18.85546875" style="2" customWidth="1"/>
    <col min="26" max="26" width="25.140625" style="2" customWidth="1"/>
    <col min="27" max="27" width="23.28515625" style="2" customWidth="1"/>
    <col min="28" max="28" width="26.140625" style="2" customWidth="1"/>
    <col min="29" max="29" width="23.28515625" style="2" customWidth="1"/>
    <col min="30" max="30" width="18.28515625" style="2" customWidth="1"/>
    <col min="31" max="256" width="9.140625" style="2"/>
    <col min="257" max="257" width="12.7109375" style="2" customWidth="1"/>
    <col min="258" max="258" width="18" style="2" customWidth="1"/>
    <col min="259" max="261" width="16.42578125" style="2" customWidth="1"/>
    <col min="262" max="262" width="18" style="2" customWidth="1"/>
    <col min="263" max="263" width="16.42578125" style="2" customWidth="1"/>
    <col min="264" max="264" width="18" style="2" customWidth="1"/>
    <col min="265" max="265" width="16.42578125" style="2" customWidth="1"/>
    <col min="266" max="266" width="18" style="2" customWidth="1"/>
    <col min="267" max="269" width="16.42578125" style="2" customWidth="1"/>
    <col min="270" max="270" width="20.85546875" style="2" customWidth="1"/>
    <col min="271" max="271" width="19.28515625" style="2" customWidth="1"/>
    <col min="272" max="272" width="16.85546875" style="2" customWidth="1"/>
    <col min="273" max="273" width="15.28515625" style="2" customWidth="1"/>
    <col min="274" max="274" width="16.85546875" style="2" customWidth="1"/>
    <col min="275" max="275" width="15.28515625" style="2" customWidth="1"/>
    <col min="276" max="276" width="19.42578125" style="2" customWidth="1"/>
    <col min="277" max="277" width="16.28515625" style="2" customWidth="1"/>
    <col min="278" max="278" width="18" style="2" customWidth="1"/>
    <col min="279" max="279" width="14.85546875" style="2" customWidth="1"/>
    <col min="280" max="280" width="18.28515625" style="2" customWidth="1"/>
    <col min="281" max="281" width="18.85546875" style="2" customWidth="1"/>
    <col min="282" max="282" width="25.140625" style="2" customWidth="1"/>
    <col min="283" max="283" width="23.28515625" style="2" customWidth="1"/>
    <col min="284" max="284" width="26.140625" style="2" customWidth="1"/>
    <col min="285" max="285" width="23.28515625" style="2" customWidth="1"/>
    <col min="286" max="286" width="18.28515625" style="2" customWidth="1"/>
    <col min="287" max="512" width="9.140625" style="2"/>
    <col min="513" max="513" width="12.7109375" style="2" customWidth="1"/>
    <col min="514" max="514" width="18" style="2" customWidth="1"/>
    <col min="515" max="517" width="16.42578125" style="2" customWidth="1"/>
    <col min="518" max="518" width="18" style="2" customWidth="1"/>
    <col min="519" max="519" width="16.42578125" style="2" customWidth="1"/>
    <col min="520" max="520" width="18" style="2" customWidth="1"/>
    <col min="521" max="521" width="16.42578125" style="2" customWidth="1"/>
    <col min="522" max="522" width="18" style="2" customWidth="1"/>
    <col min="523" max="525" width="16.42578125" style="2" customWidth="1"/>
    <col min="526" max="526" width="20.85546875" style="2" customWidth="1"/>
    <col min="527" max="527" width="19.28515625" style="2" customWidth="1"/>
    <col min="528" max="528" width="16.85546875" style="2" customWidth="1"/>
    <col min="529" max="529" width="15.28515625" style="2" customWidth="1"/>
    <col min="530" max="530" width="16.85546875" style="2" customWidth="1"/>
    <col min="531" max="531" width="15.28515625" style="2" customWidth="1"/>
    <col min="532" max="532" width="19.42578125" style="2" customWidth="1"/>
    <col min="533" max="533" width="16.28515625" style="2" customWidth="1"/>
    <col min="534" max="534" width="18" style="2" customWidth="1"/>
    <col min="535" max="535" width="14.85546875" style="2" customWidth="1"/>
    <col min="536" max="536" width="18.28515625" style="2" customWidth="1"/>
    <col min="537" max="537" width="18.85546875" style="2" customWidth="1"/>
    <col min="538" max="538" width="25.140625" style="2" customWidth="1"/>
    <col min="539" max="539" width="23.28515625" style="2" customWidth="1"/>
    <col min="540" max="540" width="26.140625" style="2" customWidth="1"/>
    <col min="541" max="541" width="23.28515625" style="2" customWidth="1"/>
    <col min="542" max="542" width="18.28515625" style="2" customWidth="1"/>
    <col min="543" max="768" width="9.140625" style="2"/>
    <col min="769" max="769" width="12.7109375" style="2" customWidth="1"/>
    <col min="770" max="770" width="18" style="2" customWidth="1"/>
    <col min="771" max="773" width="16.42578125" style="2" customWidth="1"/>
    <col min="774" max="774" width="18" style="2" customWidth="1"/>
    <col min="775" max="775" width="16.42578125" style="2" customWidth="1"/>
    <col min="776" max="776" width="18" style="2" customWidth="1"/>
    <col min="777" max="777" width="16.42578125" style="2" customWidth="1"/>
    <col min="778" max="778" width="18" style="2" customWidth="1"/>
    <col min="779" max="781" width="16.42578125" style="2" customWidth="1"/>
    <col min="782" max="782" width="20.85546875" style="2" customWidth="1"/>
    <col min="783" max="783" width="19.28515625" style="2" customWidth="1"/>
    <col min="784" max="784" width="16.85546875" style="2" customWidth="1"/>
    <col min="785" max="785" width="15.28515625" style="2" customWidth="1"/>
    <col min="786" max="786" width="16.85546875" style="2" customWidth="1"/>
    <col min="787" max="787" width="15.28515625" style="2" customWidth="1"/>
    <col min="788" max="788" width="19.42578125" style="2" customWidth="1"/>
    <col min="789" max="789" width="16.28515625" style="2" customWidth="1"/>
    <col min="790" max="790" width="18" style="2" customWidth="1"/>
    <col min="791" max="791" width="14.85546875" style="2" customWidth="1"/>
    <col min="792" max="792" width="18.28515625" style="2" customWidth="1"/>
    <col min="793" max="793" width="18.85546875" style="2" customWidth="1"/>
    <col min="794" max="794" width="25.140625" style="2" customWidth="1"/>
    <col min="795" max="795" width="23.28515625" style="2" customWidth="1"/>
    <col min="796" max="796" width="26.140625" style="2" customWidth="1"/>
    <col min="797" max="797" width="23.28515625" style="2" customWidth="1"/>
    <col min="798" max="798" width="18.28515625" style="2" customWidth="1"/>
    <col min="799" max="1024" width="9.140625" style="2"/>
    <col min="1025" max="1025" width="12.7109375" style="2" customWidth="1"/>
    <col min="1026" max="1026" width="18" style="2" customWidth="1"/>
    <col min="1027" max="1029" width="16.42578125" style="2" customWidth="1"/>
    <col min="1030" max="1030" width="18" style="2" customWidth="1"/>
    <col min="1031" max="1031" width="16.42578125" style="2" customWidth="1"/>
    <col min="1032" max="1032" width="18" style="2" customWidth="1"/>
    <col min="1033" max="1033" width="16.42578125" style="2" customWidth="1"/>
    <col min="1034" max="1034" width="18" style="2" customWidth="1"/>
    <col min="1035" max="1037" width="16.42578125" style="2" customWidth="1"/>
    <col min="1038" max="1038" width="20.85546875" style="2" customWidth="1"/>
    <col min="1039" max="1039" width="19.28515625" style="2" customWidth="1"/>
    <col min="1040" max="1040" width="16.85546875" style="2" customWidth="1"/>
    <col min="1041" max="1041" width="15.28515625" style="2" customWidth="1"/>
    <col min="1042" max="1042" width="16.85546875" style="2" customWidth="1"/>
    <col min="1043" max="1043" width="15.28515625" style="2" customWidth="1"/>
    <col min="1044" max="1044" width="19.42578125" style="2" customWidth="1"/>
    <col min="1045" max="1045" width="16.28515625" style="2" customWidth="1"/>
    <col min="1046" max="1046" width="18" style="2" customWidth="1"/>
    <col min="1047" max="1047" width="14.85546875" style="2" customWidth="1"/>
    <col min="1048" max="1048" width="18.28515625" style="2" customWidth="1"/>
    <col min="1049" max="1049" width="18.85546875" style="2" customWidth="1"/>
    <col min="1050" max="1050" width="25.140625" style="2" customWidth="1"/>
    <col min="1051" max="1051" width="23.28515625" style="2" customWidth="1"/>
    <col min="1052" max="1052" width="26.140625" style="2" customWidth="1"/>
    <col min="1053" max="1053" width="23.28515625" style="2" customWidth="1"/>
    <col min="1054" max="1054" width="18.28515625" style="2" customWidth="1"/>
    <col min="1055" max="1280" width="9.140625" style="2"/>
    <col min="1281" max="1281" width="12.7109375" style="2" customWidth="1"/>
    <col min="1282" max="1282" width="18" style="2" customWidth="1"/>
    <col min="1283" max="1285" width="16.42578125" style="2" customWidth="1"/>
    <col min="1286" max="1286" width="18" style="2" customWidth="1"/>
    <col min="1287" max="1287" width="16.42578125" style="2" customWidth="1"/>
    <col min="1288" max="1288" width="18" style="2" customWidth="1"/>
    <col min="1289" max="1289" width="16.42578125" style="2" customWidth="1"/>
    <col min="1290" max="1290" width="18" style="2" customWidth="1"/>
    <col min="1291" max="1293" width="16.42578125" style="2" customWidth="1"/>
    <col min="1294" max="1294" width="20.85546875" style="2" customWidth="1"/>
    <col min="1295" max="1295" width="19.28515625" style="2" customWidth="1"/>
    <col min="1296" max="1296" width="16.85546875" style="2" customWidth="1"/>
    <col min="1297" max="1297" width="15.28515625" style="2" customWidth="1"/>
    <col min="1298" max="1298" width="16.85546875" style="2" customWidth="1"/>
    <col min="1299" max="1299" width="15.28515625" style="2" customWidth="1"/>
    <col min="1300" max="1300" width="19.42578125" style="2" customWidth="1"/>
    <col min="1301" max="1301" width="16.28515625" style="2" customWidth="1"/>
    <col min="1302" max="1302" width="18" style="2" customWidth="1"/>
    <col min="1303" max="1303" width="14.85546875" style="2" customWidth="1"/>
    <col min="1304" max="1304" width="18.28515625" style="2" customWidth="1"/>
    <col min="1305" max="1305" width="18.85546875" style="2" customWidth="1"/>
    <col min="1306" max="1306" width="25.140625" style="2" customWidth="1"/>
    <col min="1307" max="1307" width="23.28515625" style="2" customWidth="1"/>
    <col min="1308" max="1308" width="26.140625" style="2" customWidth="1"/>
    <col min="1309" max="1309" width="23.28515625" style="2" customWidth="1"/>
    <col min="1310" max="1310" width="18.28515625" style="2" customWidth="1"/>
    <col min="1311" max="1536" width="9.140625" style="2"/>
    <col min="1537" max="1537" width="12.7109375" style="2" customWidth="1"/>
    <col min="1538" max="1538" width="18" style="2" customWidth="1"/>
    <col min="1539" max="1541" width="16.42578125" style="2" customWidth="1"/>
    <col min="1542" max="1542" width="18" style="2" customWidth="1"/>
    <col min="1543" max="1543" width="16.42578125" style="2" customWidth="1"/>
    <col min="1544" max="1544" width="18" style="2" customWidth="1"/>
    <col min="1545" max="1545" width="16.42578125" style="2" customWidth="1"/>
    <col min="1546" max="1546" width="18" style="2" customWidth="1"/>
    <col min="1547" max="1549" width="16.42578125" style="2" customWidth="1"/>
    <col min="1550" max="1550" width="20.85546875" style="2" customWidth="1"/>
    <col min="1551" max="1551" width="19.28515625" style="2" customWidth="1"/>
    <col min="1552" max="1552" width="16.85546875" style="2" customWidth="1"/>
    <col min="1553" max="1553" width="15.28515625" style="2" customWidth="1"/>
    <col min="1554" max="1554" width="16.85546875" style="2" customWidth="1"/>
    <col min="1555" max="1555" width="15.28515625" style="2" customWidth="1"/>
    <col min="1556" max="1556" width="19.42578125" style="2" customWidth="1"/>
    <col min="1557" max="1557" width="16.28515625" style="2" customWidth="1"/>
    <col min="1558" max="1558" width="18" style="2" customWidth="1"/>
    <col min="1559" max="1559" width="14.85546875" style="2" customWidth="1"/>
    <col min="1560" max="1560" width="18.28515625" style="2" customWidth="1"/>
    <col min="1561" max="1561" width="18.85546875" style="2" customWidth="1"/>
    <col min="1562" max="1562" width="25.140625" style="2" customWidth="1"/>
    <col min="1563" max="1563" width="23.28515625" style="2" customWidth="1"/>
    <col min="1564" max="1564" width="26.140625" style="2" customWidth="1"/>
    <col min="1565" max="1565" width="23.28515625" style="2" customWidth="1"/>
    <col min="1566" max="1566" width="18.28515625" style="2" customWidth="1"/>
    <col min="1567" max="1792" width="9.140625" style="2"/>
    <col min="1793" max="1793" width="12.7109375" style="2" customWidth="1"/>
    <col min="1794" max="1794" width="18" style="2" customWidth="1"/>
    <col min="1795" max="1797" width="16.42578125" style="2" customWidth="1"/>
    <col min="1798" max="1798" width="18" style="2" customWidth="1"/>
    <col min="1799" max="1799" width="16.42578125" style="2" customWidth="1"/>
    <col min="1800" max="1800" width="18" style="2" customWidth="1"/>
    <col min="1801" max="1801" width="16.42578125" style="2" customWidth="1"/>
    <col min="1802" max="1802" width="18" style="2" customWidth="1"/>
    <col min="1803" max="1805" width="16.42578125" style="2" customWidth="1"/>
    <col min="1806" max="1806" width="20.85546875" style="2" customWidth="1"/>
    <col min="1807" max="1807" width="19.28515625" style="2" customWidth="1"/>
    <col min="1808" max="1808" width="16.85546875" style="2" customWidth="1"/>
    <col min="1809" max="1809" width="15.28515625" style="2" customWidth="1"/>
    <col min="1810" max="1810" width="16.85546875" style="2" customWidth="1"/>
    <col min="1811" max="1811" width="15.28515625" style="2" customWidth="1"/>
    <col min="1812" max="1812" width="19.42578125" style="2" customWidth="1"/>
    <col min="1813" max="1813" width="16.28515625" style="2" customWidth="1"/>
    <col min="1814" max="1814" width="18" style="2" customWidth="1"/>
    <col min="1815" max="1815" width="14.85546875" style="2" customWidth="1"/>
    <col min="1816" max="1816" width="18.28515625" style="2" customWidth="1"/>
    <col min="1817" max="1817" width="18.85546875" style="2" customWidth="1"/>
    <col min="1818" max="1818" width="25.140625" style="2" customWidth="1"/>
    <col min="1819" max="1819" width="23.28515625" style="2" customWidth="1"/>
    <col min="1820" max="1820" width="26.140625" style="2" customWidth="1"/>
    <col min="1821" max="1821" width="23.28515625" style="2" customWidth="1"/>
    <col min="1822" max="1822" width="18.28515625" style="2" customWidth="1"/>
    <col min="1823" max="2048" width="9.140625" style="2"/>
    <col min="2049" max="2049" width="12.7109375" style="2" customWidth="1"/>
    <col min="2050" max="2050" width="18" style="2" customWidth="1"/>
    <col min="2051" max="2053" width="16.42578125" style="2" customWidth="1"/>
    <col min="2054" max="2054" width="18" style="2" customWidth="1"/>
    <col min="2055" max="2055" width="16.42578125" style="2" customWidth="1"/>
    <col min="2056" max="2056" width="18" style="2" customWidth="1"/>
    <col min="2057" max="2057" width="16.42578125" style="2" customWidth="1"/>
    <col min="2058" max="2058" width="18" style="2" customWidth="1"/>
    <col min="2059" max="2061" width="16.42578125" style="2" customWidth="1"/>
    <col min="2062" max="2062" width="20.85546875" style="2" customWidth="1"/>
    <col min="2063" max="2063" width="19.28515625" style="2" customWidth="1"/>
    <col min="2064" max="2064" width="16.85546875" style="2" customWidth="1"/>
    <col min="2065" max="2065" width="15.28515625" style="2" customWidth="1"/>
    <col min="2066" max="2066" width="16.85546875" style="2" customWidth="1"/>
    <col min="2067" max="2067" width="15.28515625" style="2" customWidth="1"/>
    <col min="2068" max="2068" width="19.42578125" style="2" customWidth="1"/>
    <col min="2069" max="2069" width="16.28515625" style="2" customWidth="1"/>
    <col min="2070" max="2070" width="18" style="2" customWidth="1"/>
    <col min="2071" max="2071" width="14.85546875" style="2" customWidth="1"/>
    <col min="2072" max="2072" width="18.28515625" style="2" customWidth="1"/>
    <col min="2073" max="2073" width="18.85546875" style="2" customWidth="1"/>
    <col min="2074" max="2074" width="25.140625" style="2" customWidth="1"/>
    <col min="2075" max="2075" width="23.28515625" style="2" customWidth="1"/>
    <col min="2076" max="2076" width="26.140625" style="2" customWidth="1"/>
    <col min="2077" max="2077" width="23.28515625" style="2" customWidth="1"/>
    <col min="2078" max="2078" width="18.28515625" style="2" customWidth="1"/>
    <col min="2079" max="2304" width="9.140625" style="2"/>
    <col min="2305" max="2305" width="12.7109375" style="2" customWidth="1"/>
    <col min="2306" max="2306" width="18" style="2" customWidth="1"/>
    <col min="2307" max="2309" width="16.42578125" style="2" customWidth="1"/>
    <col min="2310" max="2310" width="18" style="2" customWidth="1"/>
    <col min="2311" max="2311" width="16.42578125" style="2" customWidth="1"/>
    <col min="2312" max="2312" width="18" style="2" customWidth="1"/>
    <col min="2313" max="2313" width="16.42578125" style="2" customWidth="1"/>
    <col min="2314" max="2314" width="18" style="2" customWidth="1"/>
    <col min="2315" max="2317" width="16.42578125" style="2" customWidth="1"/>
    <col min="2318" max="2318" width="20.85546875" style="2" customWidth="1"/>
    <col min="2319" max="2319" width="19.28515625" style="2" customWidth="1"/>
    <col min="2320" max="2320" width="16.85546875" style="2" customWidth="1"/>
    <col min="2321" max="2321" width="15.28515625" style="2" customWidth="1"/>
    <col min="2322" max="2322" width="16.85546875" style="2" customWidth="1"/>
    <col min="2323" max="2323" width="15.28515625" style="2" customWidth="1"/>
    <col min="2324" max="2324" width="19.42578125" style="2" customWidth="1"/>
    <col min="2325" max="2325" width="16.28515625" style="2" customWidth="1"/>
    <col min="2326" max="2326" width="18" style="2" customWidth="1"/>
    <col min="2327" max="2327" width="14.85546875" style="2" customWidth="1"/>
    <col min="2328" max="2328" width="18.28515625" style="2" customWidth="1"/>
    <col min="2329" max="2329" width="18.85546875" style="2" customWidth="1"/>
    <col min="2330" max="2330" width="25.140625" style="2" customWidth="1"/>
    <col min="2331" max="2331" width="23.28515625" style="2" customWidth="1"/>
    <col min="2332" max="2332" width="26.140625" style="2" customWidth="1"/>
    <col min="2333" max="2333" width="23.28515625" style="2" customWidth="1"/>
    <col min="2334" max="2334" width="18.28515625" style="2" customWidth="1"/>
    <col min="2335" max="2560" width="9.140625" style="2"/>
    <col min="2561" max="2561" width="12.7109375" style="2" customWidth="1"/>
    <col min="2562" max="2562" width="18" style="2" customWidth="1"/>
    <col min="2563" max="2565" width="16.42578125" style="2" customWidth="1"/>
    <col min="2566" max="2566" width="18" style="2" customWidth="1"/>
    <col min="2567" max="2567" width="16.42578125" style="2" customWidth="1"/>
    <col min="2568" max="2568" width="18" style="2" customWidth="1"/>
    <col min="2569" max="2569" width="16.42578125" style="2" customWidth="1"/>
    <col min="2570" max="2570" width="18" style="2" customWidth="1"/>
    <col min="2571" max="2573" width="16.42578125" style="2" customWidth="1"/>
    <col min="2574" max="2574" width="20.85546875" style="2" customWidth="1"/>
    <col min="2575" max="2575" width="19.28515625" style="2" customWidth="1"/>
    <col min="2576" max="2576" width="16.85546875" style="2" customWidth="1"/>
    <col min="2577" max="2577" width="15.28515625" style="2" customWidth="1"/>
    <col min="2578" max="2578" width="16.85546875" style="2" customWidth="1"/>
    <col min="2579" max="2579" width="15.28515625" style="2" customWidth="1"/>
    <col min="2580" max="2580" width="19.42578125" style="2" customWidth="1"/>
    <col min="2581" max="2581" width="16.28515625" style="2" customWidth="1"/>
    <col min="2582" max="2582" width="18" style="2" customWidth="1"/>
    <col min="2583" max="2583" width="14.85546875" style="2" customWidth="1"/>
    <col min="2584" max="2584" width="18.28515625" style="2" customWidth="1"/>
    <col min="2585" max="2585" width="18.85546875" style="2" customWidth="1"/>
    <col min="2586" max="2586" width="25.140625" style="2" customWidth="1"/>
    <col min="2587" max="2587" width="23.28515625" style="2" customWidth="1"/>
    <col min="2588" max="2588" width="26.140625" style="2" customWidth="1"/>
    <col min="2589" max="2589" width="23.28515625" style="2" customWidth="1"/>
    <col min="2590" max="2590" width="18.28515625" style="2" customWidth="1"/>
    <col min="2591" max="2816" width="9.140625" style="2"/>
    <col min="2817" max="2817" width="12.7109375" style="2" customWidth="1"/>
    <col min="2818" max="2818" width="18" style="2" customWidth="1"/>
    <col min="2819" max="2821" width="16.42578125" style="2" customWidth="1"/>
    <col min="2822" max="2822" width="18" style="2" customWidth="1"/>
    <col min="2823" max="2823" width="16.42578125" style="2" customWidth="1"/>
    <col min="2824" max="2824" width="18" style="2" customWidth="1"/>
    <col min="2825" max="2825" width="16.42578125" style="2" customWidth="1"/>
    <col min="2826" max="2826" width="18" style="2" customWidth="1"/>
    <col min="2827" max="2829" width="16.42578125" style="2" customWidth="1"/>
    <col min="2830" max="2830" width="20.85546875" style="2" customWidth="1"/>
    <col min="2831" max="2831" width="19.28515625" style="2" customWidth="1"/>
    <col min="2832" max="2832" width="16.85546875" style="2" customWidth="1"/>
    <col min="2833" max="2833" width="15.28515625" style="2" customWidth="1"/>
    <col min="2834" max="2834" width="16.85546875" style="2" customWidth="1"/>
    <col min="2835" max="2835" width="15.28515625" style="2" customWidth="1"/>
    <col min="2836" max="2836" width="19.42578125" style="2" customWidth="1"/>
    <col min="2837" max="2837" width="16.28515625" style="2" customWidth="1"/>
    <col min="2838" max="2838" width="18" style="2" customWidth="1"/>
    <col min="2839" max="2839" width="14.85546875" style="2" customWidth="1"/>
    <col min="2840" max="2840" width="18.28515625" style="2" customWidth="1"/>
    <col min="2841" max="2841" width="18.85546875" style="2" customWidth="1"/>
    <col min="2842" max="2842" width="25.140625" style="2" customWidth="1"/>
    <col min="2843" max="2843" width="23.28515625" style="2" customWidth="1"/>
    <col min="2844" max="2844" width="26.140625" style="2" customWidth="1"/>
    <col min="2845" max="2845" width="23.28515625" style="2" customWidth="1"/>
    <col min="2846" max="2846" width="18.28515625" style="2" customWidth="1"/>
    <col min="2847" max="3072" width="9.140625" style="2"/>
    <col min="3073" max="3073" width="12.7109375" style="2" customWidth="1"/>
    <col min="3074" max="3074" width="18" style="2" customWidth="1"/>
    <col min="3075" max="3077" width="16.42578125" style="2" customWidth="1"/>
    <col min="3078" max="3078" width="18" style="2" customWidth="1"/>
    <col min="3079" max="3079" width="16.42578125" style="2" customWidth="1"/>
    <col min="3080" max="3080" width="18" style="2" customWidth="1"/>
    <col min="3081" max="3081" width="16.42578125" style="2" customWidth="1"/>
    <col min="3082" max="3082" width="18" style="2" customWidth="1"/>
    <col min="3083" max="3085" width="16.42578125" style="2" customWidth="1"/>
    <col min="3086" max="3086" width="20.85546875" style="2" customWidth="1"/>
    <col min="3087" max="3087" width="19.28515625" style="2" customWidth="1"/>
    <col min="3088" max="3088" width="16.85546875" style="2" customWidth="1"/>
    <col min="3089" max="3089" width="15.28515625" style="2" customWidth="1"/>
    <col min="3090" max="3090" width="16.85546875" style="2" customWidth="1"/>
    <col min="3091" max="3091" width="15.28515625" style="2" customWidth="1"/>
    <col min="3092" max="3092" width="19.42578125" style="2" customWidth="1"/>
    <col min="3093" max="3093" width="16.28515625" style="2" customWidth="1"/>
    <col min="3094" max="3094" width="18" style="2" customWidth="1"/>
    <col min="3095" max="3095" width="14.85546875" style="2" customWidth="1"/>
    <col min="3096" max="3096" width="18.28515625" style="2" customWidth="1"/>
    <col min="3097" max="3097" width="18.85546875" style="2" customWidth="1"/>
    <col min="3098" max="3098" width="25.140625" style="2" customWidth="1"/>
    <col min="3099" max="3099" width="23.28515625" style="2" customWidth="1"/>
    <col min="3100" max="3100" width="26.140625" style="2" customWidth="1"/>
    <col min="3101" max="3101" width="23.28515625" style="2" customWidth="1"/>
    <col min="3102" max="3102" width="18.28515625" style="2" customWidth="1"/>
    <col min="3103" max="3328" width="9.140625" style="2"/>
    <col min="3329" max="3329" width="12.7109375" style="2" customWidth="1"/>
    <col min="3330" max="3330" width="18" style="2" customWidth="1"/>
    <col min="3331" max="3333" width="16.42578125" style="2" customWidth="1"/>
    <col min="3334" max="3334" width="18" style="2" customWidth="1"/>
    <col min="3335" max="3335" width="16.42578125" style="2" customWidth="1"/>
    <col min="3336" max="3336" width="18" style="2" customWidth="1"/>
    <col min="3337" max="3337" width="16.42578125" style="2" customWidth="1"/>
    <col min="3338" max="3338" width="18" style="2" customWidth="1"/>
    <col min="3339" max="3341" width="16.42578125" style="2" customWidth="1"/>
    <col min="3342" max="3342" width="20.85546875" style="2" customWidth="1"/>
    <col min="3343" max="3343" width="19.28515625" style="2" customWidth="1"/>
    <col min="3344" max="3344" width="16.85546875" style="2" customWidth="1"/>
    <col min="3345" max="3345" width="15.28515625" style="2" customWidth="1"/>
    <col min="3346" max="3346" width="16.85546875" style="2" customWidth="1"/>
    <col min="3347" max="3347" width="15.28515625" style="2" customWidth="1"/>
    <col min="3348" max="3348" width="19.42578125" style="2" customWidth="1"/>
    <col min="3349" max="3349" width="16.28515625" style="2" customWidth="1"/>
    <col min="3350" max="3350" width="18" style="2" customWidth="1"/>
    <col min="3351" max="3351" width="14.85546875" style="2" customWidth="1"/>
    <col min="3352" max="3352" width="18.28515625" style="2" customWidth="1"/>
    <col min="3353" max="3353" width="18.85546875" style="2" customWidth="1"/>
    <col min="3354" max="3354" width="25.140625" style="2" customWidth="1"/>
    <col min="3355" max="3355" width="23.28515625" style="2" customWidth="1"/>
    <col min="3356" max="3356" width="26.140625" style="2" customWidth="1"/>
    <col min="3357" max="3357" width="23.28515625" style="2" customWidth="1"/>
    <col min="3358" max="3358" width="18.28515625" style="2" customWidth="1"/>
    <col min="3359" max="3584" width="9.140625" style="2"/>
    <col min="3585" max="3585" width="12.7109375" style="2" customWidth="1"/>
    <col min="3586" max="3586" width="18" style="2" customWidth="1"/>
    <col min="3587" max="3589" width="16.42578125" style="2" customWidth="1"/>
    <col min="3590" max="3590" width="18" style="2" customWidth="1"/>
    <col min="3591" max="3591" width="16.42578125" style="2" customWidth="1"/>
    <col min="3592" max="3592" width="18" style="2" customWidth="1"/>
    <col min="3593" max="3593" width="16.42578125" style="2" customWidth="1"/>
    <col min="3594" max="3594" width="18" style="2" customWidth="1"/>
    <col min="3595" max="3597" width="16.42578125" style="2" customWidth="1"/>
    <col min="3598" max="3598" width="20.85546875" style="2" customWidth="1"/>
    <col min="3599" max="3599" width="19.28515625" style="2" customWidth="1"/>
    <col min="3600" max="3600" width="16.85546875" style="2" customWidth="1"/>
    <col min="3601" max="3601" width="15.28515625" style="2" customWidth="1"/>
    <col min="3602" max="3602" width="16.85546875" style="2" customWidth="1"/>
    <col min="3603" max="3603" width="15.28515625" style="2" customWidth="1"/>
    <col min="3604" max="3604" width="19.42578125" style="2" customWidth="1"/>
    <col min="3605" max="3605" width="16.28515625" style="2" customWidth="1"/>
    <col min="3606" max="3606" width="18" style="2" customWidth="1"/>
    <col min="3607" max="3607" width="14.85546875" style="2" customWidth="1"/>
    <col min="3608" max="3608" width="18.28515625" style="2" customWidth="1"/>
    <col min="3609" max="3609" width="18.85546875" style="2" customWidth="1"/>
    <col min="3610" max="3610" width="25.140625" style="2" customWidth="1"/>
    <col min="3611" max="3611" width="23.28515625" style="2" customWidth="1"/>
    <col min="3612" max="3612" width="26.140625" style="2" customWidth="1"/>
    <col min="3613" max="3613" width="23.28515625" style="2" customWidth="1"/>
    <col min="3614" max="3614" width="18.28515625" style="2" customWidth="1"/>
    <col min="3615" max="3840" width="9.140625" style="2"/>
    <col min="3841" max="3841" width="12.7109375" style="2" customWidth="1"/>
    <col min="3842" max="3842" width="18" style="2" customWidth="1"/>
    <col min="3843" max="3845" width="16.42578125" style="2" customWidth="1"/>
    <col min="3846" max="3846" width="18" style="2" customWidth="1"/>
    <col min="3847" max="3847" width="16.42578125" style="2" customWidth="1"/>
    <col min="3848" max="3848" width="18" style="2" customWidth="1"/>
    <col min="3849" max="3849" width="16.42578125" style="2" customWidth="1"/>
    <col min="3850" max="3850" width="18" style="2" customWidth="1"/>
    <col min="3851" max="3853" width="16.42578125" style="2" customWidth="1"/>
    <col min="3854" max="3854" width="20.85546875" style="2" customWidth="1"/>
    <col min="3855" max="3855" width="19.28515625" style="2" customWidth="1"/>
    <col min="3856" max="3856" width="16.85546875" style="2" customWidth="1"/>
    <col min="3857" max="3857" width="15.28515625" style="2" customWidth="1"/>
    <col min="3858" max="3858" width="16.85546875" style="2" customWidth="1"/>
    <col min="3859" max="3859" width="15.28515625" style="2" customWidth="1"/>
    <col min="3860" max="3860" width="19.42578125" style="2" customWidth="1"/>
    <col min="3861" max="3861" width="16.28515625" style="2" customWidth="1"/>
    <col min="3862" max="3862" width="18" style="2" customWidth="1"/>
    <col min="3863" max="3863" width="14.85546875" style="2" customWidth="1"/>
    <col min="3864" max="3864" width="18.28515625" style="2" customWidth="1"/>
    <col min="3865" max="3865" width="18.85546875" style="2" customWidth="1"/>
    <col min="3866" max="3866" width="25.140625" style="2" customWidth="1"/>
    <col min="3867" max="3867" width="23.28515625" style="2" customWidth="1"/>
    <col min="3868" max="3868" width="26.140625" style="2" customWidth="1"/>
    <col min="3869" max="3869" width="23.28515625" style="2" customWidth="1"/>
    <col min="3870" max="3870" width="18.28515625" style="2" customWidth="1"/>
    <col min="3871" max="4096" width="9.140625" style="2"/>
    <col min="4097" max="4097" width="12.7109375" style="2" customWidth="1"/>
    <col min="4098" max="4098" width="18" style="2" customWidth="1"/>
    <col min="4099" max="4101" width="16.42578125" style="2" customWidth="1"/>
    <col min="4102" max="4102" width="18" style="2" customWidth="1"/>
    <col min="4103" max="4103" width="16.42578125" style="2" customWidth="1"/>
    <col min="4104" max="4104" width="18" style="2" customWidth="1"/>
    <col min="4105" max="4105" width="16.42578125" style="2" customWidth="1"/>
    <col min="4106" max="4106" width="18" style="2" customWidth="1"/>
    <col min="4107" max="4109" width="16.42578125" style="2" customWidth="1"/>
    <col min="4110" max="4110" width="20.85546875" style="2" customWidth="1"/>
    <col min="4111" max="4111" width="19.28515625" style="2" customWidth="1"/>
    <col min="4112" max="4112" width="16.85546875" style="2" customWidth="1"/>
    <col min="4113" max="4113" width="15.28515625" style="2" customWidth="1"/>
    <col min="4114" max="4114" width="16.85546875" style="2" customWidth="1"/>
    <col min="4115" max="4115" width="15.28515625" style="2" customWidth="1"/>
    <col min="4116" max="4116" width="19.42578125" style="2" customWidth="1"/>
    <col min="4117" max="4117" width="16.28515625" style="2" customWidth="1"/>
    <col min="4118" max="4118" width="18" style="2" customWidth="1"/>
    <col min="4119" max="4119" width="14.85546875" style="2" customWidth="1"/>
    <col min="4120" max="4120" width="18.28515625" style="2" customWidth="1"/>
    <col min="4121" max="4121" width="18.85546875" style="2" customWidth="1"/>
    <col min="4122" max="4122" width="25.140625" style="2" customWidth="1"/>
    <col min="4123" max="4123" width="23.28515625" style="2" customWidth="1"/>
    <col min="4124" max="4124" width="26.140625" style="2" customWidth="1"/>
    <col min="4125" max="4125" width="23.28515625" style="2" customWidth="1"/>
    <col min="4126" max="4126" width="18.28515625" style="2" customWidth="1"/>
    <col min="4127" max="4352" width="9.140625" style="2"/>
    <col min="4353" max="4353" width="12.7109375" style="2" customWidth="1"/>
    <col min="4354" max="4354" width="18" style="2" customWidth="1"/>
    <col min="4355" max="4357" width="16.42578125" style="2" customWidth="1"/>
    <col min="4358" max="4358" width="18" style="2" customWidth="1"/>
    <col min="4359" max="4359" width="16.42578125" style="2" customWidth="1"/>
    <col min="4360" max="4360" width="18" style="2" customWidth="1"/>
    <col min="4361" max="4361" width="16.42578125" style="2" customWidth="1"/>
    <col min="4362" max="4362" width="18" style="2" customWidth="1"/>
    <col min="4363" max="4365" width="16.42578125" style="2" customWidth="1"/>
    <col min="4366" max="4366" width="20.85546875" style="2" customWidth="1"/>
    <col min="4367" max="4367" width="19.28515625" style="2" customWidth="1"/>
    <col min="4368" max="4368" width="16.85546875" style="2" customWidth="1"/>
    <col min="4369" max="4369" width="15.28515625" style="2" customWidth="1"/>
    <col min="4370" max="4370" width="16.85546875" style="2" customWidth="1"/>
    <col min="4371" max="4371" width="15.28515625" style="2" customWidth="1"/>
    <col min="4372" max="4372" width="19.42578125" style="2" customWidth="1"/>
    <col min="4373" max="4373" width="16.28515625" style="2" customWidth="1"/>
    <col min="4374" max="4374" width="18" style="2" customWidth="1"/>
    <col min="4375" max="4375" width="14.85546875" style="2" customWidth="1"/>
    <col min="4376" max="4376" width="18.28515625" style="2" customWidth="1"/>
    <col min="4377" max="4377" width="18.85546875" style="2" customWidth="1"/>
    <col min="4378" max="4378" width="25.140625" style="2" customWidth="1"/>
    <col min="4379" max="4379" width="23.28515625" style="2" customWidth="1"/>
    <col min="4380" max="4380" width="26.140625" style="2" customWidth="1"/>
    <col min="4381" max="4381" width="23.28515625" style="2" customWidth="1"/>
    <col min="4382" max="4382" width="18.28515625" style="2" customWidth="1"/>
    <col min="4383" max="4608" width="9.140625" style="2"/>
    <col min="4609" max="4609" width="12.7109375" style="2" customWidth="1"/>
    <col min="4610" max="4610" width="18" style="2" customWidth="1"/>
    <col min="4611" max="4613" width="16.42578125" style="2" customWidth="1"/>
    <col min="4614" max="4614" width="18" style="2" customWidth="1"/>
    <col min="4615" max="4615" width="16.42578125" style="2" customWidth="1"/>
    <col min="4616" max="4616" width="18" style="2" customWidth="1"/>
    <col min="4617" max="4617" width="16.42578125" style="2" customWidth="1"/>
    <col min="4618" max="4618" width="18" style="2" customWidth="1"/>
    <col min="4619" max="4621" width="16.42578125" style="2" customWidth="1"/>
    <col min="4622" max="4622" width="20.85546875" style="2" customWidth="1"/>
    <col min="4623" max="4623" width="19.28515625" style="2" customWidth="1"/>
    <col min="4624" max="4624" width="16.85546875" style="2" customWidth="1"/>
    <col min="4625" max="4625" width="15.28515625" style="2" customWidth="1"/>
    <col min="4626" max="4626" width="16.85546875" style="2" customWidth="1"/>
    <col min="4627" max="4627" width="15.28515625" style="2" customWidth="1"/>
    <col min="4628" max="4628" width="19.42578125" style="2" customWidth="1"/>
    <col min="4629" max="4629" width="16.28515625" style="2" customWidth="1"/>
    <col min="4630" max="4630" width="18" style="2" customWidth="1"/>
    <col min="4631" max="4631" width="14.85546875" style="2" customWidth="1"/>
    <col min="4632" max="4632" width="18.28515625" style="2" customWidth="1"/>
    <col min="4633" max="4633" width="18.85546875" style="2" customWidth="1"/>
    <col min="4634" max="4634" width="25.140625" style="2" customWidth="1"/>
    <col min="4635" max="4635" width="23.28515625" style="2" customWidth="1"/>
    <col min="4636" max="4636" width="26.140625" style="2" customWidth="1"/>
    <col min="4637" max="4637" width="23.28515625" style="2" customWidth="1"/>
    <col min="4638" max="4638" width="18.28515625" style="2" customWidth="1"/>
    <col min="4639" max="4864" width="9.140625" style="2"/>
    <col min="4865" max="4865" width="12.7109375" style="2" customWidth="1"/>
    <col min="4866" max="4866" width="18" style="2" customWidth="1"/>
    <col min="4867" max="4869" width="16.42578125" style="2" customWidth="1"/>
    <col min="4870" max="4870" width="18" style="2" customWidth="1"/>
    <col min="4871" max="4871" width="16.42578125" style="2" customWidth="1"/>
    <col min="4872" max="4872" width="18" style="2" customWidth="1"/>
    <col min="4873" max="4873" width="16.42578125" style="2" customWidth="1"/>
    <col min="4874" max="4874" width="18" style="2" customWidth="1"/>
    <col min="4875" max="4877" width="16.42578125" style="2" customWidth="1"/>
    <col min="4878" max="4878" width="20.85546875" style="2" customWidth="1"/>
    <col min="4879" max="4879" width="19.28515625" style="2" customWidth="1"/>
    <col min="4880" max="4880" width="16.85546875" style="2" customWidth="1"/>
    <col min="4881" max="4881" width="15.28515625" style="2" customWidth="1"/>
    <col min="4882" max="4882" width="16.85546875" style="2" customWidth="1"/>
    <col min="4883" max="4883" width="15.28515625" style="2" customWidth="1"/>
    <col min="4884" max="4884" width="19.42578125" style="2" customWidth="1"/>
    <col min="4885" max="4885" width="16.28515625" style="2" customWidth="1"/>
    <col min="4886" max="4886" width="18" style="2" customWidth="1"/>
    <col min="4887" max="4887" width="14.85546875" style="2" customWidth="1"/>
    <col min="4888" max="4888" width="18.28515625" style="2" customWidth="1"/>
    <col min="4889" max="4889" width="18.85546875" style="2" customWidth="1"/>
    <col min="4890" max="4890" width="25.140625" style="2" customWidth="1"/>
    <col min="4891" max="4891" width="23.28515625" style="2" customWidth="1"/>
    <col min="4892" max="4892" width="26.140625" style="2" customWidth="1"/>
    <col min="4893" max="4893" width="23.28515625" style="2" customWidth="1"/>
    <col min="4894" max="4894" width="18.28515625" style="2" customWidth="1"/>
    <col min="4895" max="5120" width="9.140625" style="2"/>
    <col min="5121" max="5121" width="12.7109375" style="2" customWidth="1"/>
    <col min="5122" max="5122" width="18" style="2" customWidth="1"/>
    <col min="5123" max="5125" width="16.42578125" style="2" customWidth="1"/>
    <col min="5126" max="5126" width="18" style="2" customWidth="1"/>
    <col min="5127" max="5127" width="16.42578125" style="2" customWidth="1"/>
    <col min="5128" max="5128" width="18" style="2" customWidth="1"/>
    <col min="5129" max="5129" width="16.42578125" style="2" customWidth="1"/>
    <col min="5130" max="5130" width="18" style="2" customWidth="1"/>
    <col min="5131" max="5133" width="16.42578125" style="2" customWidth="1"/>
    <col min="5134" max="5134" width="20.85546875" style="2" customWidth="1"/>
    <col min="5135" max="5135" width="19.28515625" style="2" customWidth="1"/>
    <col min="5136" max="5136" width="16.85546875" style="2" customWidth="1"/>
    <col min="5137" max="5137" width="15.28515625" style="2" customWidth="1"/>
    <col min="5138" max="5138" width="16.85546875" style="2" customWidth="1"/>
    <col min="5139" max="5139" width="15.28515625" style="2" customWidth="1"/>
    <col min="5140" max="5140" width="19.42578125" style="2" customWidth="1"/>
    <col min="5141" max="5141" width="16.28515625" style="2" customWidth="1"/>
    <col min="5142" max="5142" width="18" style="2" customWidth="1"/>
    <col min="5143" max="5143" width="14.85546875" style="2" customWidth="1"/>
    <col min="5144" max="5144" width="18.28515625" style="2" customWidth="1"/>
    <col min="5145" max="5145" width="18.85546875" style="2" customWidth="1"/>
    <col min="5146" max="5146" width="25.140625" style="2" customWidth="1"/>
    <col min="5147" max="5147" width="23.28515625" style="2" customWidth="1"/>
    <col min="5148" max="5148" width="26.140625" style="2" customWidth="1"/>
    <col min="5149" max="5149" width="23.28515625" style="2" customWidth="1"/>
    <col min="5150" max="5150" width="18.28515625" style="2" customWidth="1"/>
    <col min="5151" max="5376" width="9.140625" style="2"/>
    <col min="5377" max="5377" width="12.7109375" style="2" customWidth="1"/>
    <col min="5378" max="5378" width="18" style="2" customWidth="1"/>
    <col min="5379" max="5381" width="16.42578125" style="2" customWidth="1"/>
    <col min="5382" max="5382" width="18" style="2" customWidth="1"/>
    <col min="5383" max="5383" width="16.42578125" style="2" customWidth="1"/>
    <col min="5384" max="5384" width="18" style="2" customWidth="1"/>
    <col min="5385" max="5385" width="16.42578125" style="2" customWidth="1"/>
    <col min="5386" max="5386" width="18" style="2" customWidth="1"/>
    <col min="5387" max="5389" width="16.42578125" style="2" customWidth="1"/>
    <col min="5390" max="5390" width="20.85546875" style="2" customWidth="1"/>
    <col min="5391" max="5391" width="19.28515625" style="2" customWidth="1"/>
    <col min="5392" max="5392" width="16.85546875" style="2" customWidth="1"/>
    <col min="5393" max="5393" width="15.28515625" style="2" customWidth="1"/>
    <col min="5394" max="5394" width="16.85546875" style="2" customWidth="1"/>
    <col min="5395" max="5395" width="15.28515625" style="2" customWidth="1"/>
    <col min="5396" max="5396" width="19.42578125" style="2" customWidth="1"/>
    <col min="5397" max="5397" width="16.28515625" style="2" customWidth="1"/>
    <col min="5398" max="5398" width="18" style="2" customWidth="1"/>
    <col min="5399" max="5399" width="14.85546875" style="2" customWidth="1"/>
    <col min="5400" max="5400" width="18.28515625" style="2" customWidth="1"/>
    <col min="5401" max="5401" width="18.85546875" style="2" customWidth="1"/>
    <col min="5402" max="5402" width="25.140625" style="2" customWidth="1"/>
    <col min="5403" max="5403" width="23.28515625" style="2" customWidth="1"/>
    <col min="5404" max="5404" width="26.140625" style="2" customWidth="1"/>
    <col min="5405" max="5405" width="23.28515625" style="2" customWidth="1"/>
    <col min="5406" max="5406" width="18.28515625" style="2" customWidth="1"/>
    <col min="5407" max="5632" width="9.140625" style="2"/>
    <col min="5633" max="5633" width="12.7109375" style="2" customWidth="1"/>
    <col min="5634" max="5634" width="18" style="2" customWidth="1"/>
    <col min="5635" max="5637" width="16.42578125" style="2" customWidth="1"/>
    <col min="5638" max="5638" width="18" style="2" customWidth="1"/>
    <col min="5639" max="5639" width="16.42578125" style="2" customWidth="1"/>
    <col min="5640" max="5640" width="18" style="2" customWidth="1"/>
    <col min="5641" max="5641" width="16.42578125" style="2" customWidth="1"/>
    <col min="5642" max="5642" width="18" style="2" customWidth="1"/>
    <col min="5643" max="5645" width="16.42578125" style="2" customWidth="1"/>
    <col min="5646" max="5646" width="20.85546875" style="2" customWidth="1"/>
    <col min="5647" max="5647" width="19.28515625" style="2" customWidth="1"/>
    <col min="5648" max="5648" width="16.85546875" style="2" customWidth="1"/>
    <col min="5649" max="5649" width="15.28515625" style="2" customWidth="1"/>
    <col min="5650" max="5650" width="16.85546875" style="2" customWidth="1"/>
    <col min="5651" max="5651" width="15.28515625" style="2" customWidth="1"/>
    <col min="5652" max="5652" width="19.42578125" style="2" customWidth="1"/>
    <col min="5653" max="5653" width="16.28515625" style="2" customWidth="1"/>
    <col min="5654" max="5654" width="18" style="2" customWidth="1"/>
    <col min="5655" max="5655" width="14.85546875" style="2" customWidth="1"/>
    <col min="5656" max="5656" width="18.28515625" style="2" customWidth="1"/>
    <col min="5657" max="5657" width="18.85546875" style="2" customWidth="1"/>
    <col min="5658" max="5658" width="25.140625" style="2" customWidth="1"/>
    <col min="5659" max="5659" width="23.28515625" style="2" customWidth="1"/>
    <col min="5660" max="5660" width="26.140625" style="2" customWidth="1"/>
    <col min="5661" max="5661" width="23.28515625" style="2" customWidth="1"/>
    <col min="5662" max="5662" width="18.28515625" style="2" customWidth="1"/>
    <col min="5663" max="5888" width="9.140625" style="2"/>
    <col min="5889" max="5889" width="12.7109375" style="2" customWidth="1"/>
    <col min="5890" max="5890" width="18" style="2" customWidth="1"/>
    <col min="5891" max="5893" width="16.42578125" style="2" customWidth="1"/>
    <col min="5894" max="5894" width="18" style="2" customWidth="1"/>
    <col min="5895" max="5895" width="16.42578125" style="2" customWidth="1"/>
    <col min="5896" max="5896" width="18" style="2" customWidth="1"/>
    <col min="5897" max="5897" width="16.42578125" style="2" customWidth="1"/>
    <col min="5898" max="5898" width="18" style="2" customWidth="1"/>
    <col min="5899" max="5901" width="16.42578125" style="2" customWidth="1"/>
    <col min="5902" max="5902" width="20.85546875" style="2" customWidth="1"/>
    <col min="5903" max="5903" width="19.28515625" style="2" customWidth="1"/>
    <col min="5904" max="5904" width="16.85546875" style="2" customWidth="1"/>
    <col min="5905" max="5905" width="15.28515625" style="2" customWidth="1"/>
    <col min="5906" max="5906" width="16.85546875" style="2" customWidth="1"/>
    <col min="5907" max="5907" width="15.28515625" style="2" customWidth="1"/>
    <col min="5908" max="5908" width="19.42578125" style="2" customWidth="1"/>
    <col min="5909" max="5909" width="16.28515625" style="2" customWidth="1"/>
    <col min="5910" max="5910" width="18" style="2" customWidth="1"/>
    <col min="5911" max="5911" width="14.85546875" style="2" customWidth="1"/>
    <col min="5912" max="5912" width="18.28515625" style="2" customWidth="1"/>
    <col min="5913" max="5913" width="18.85546875" style="2" customWidth="1"/>
    <col min="5914" max="5914" width="25.140625" style="2" customWidth="1"/>
    <col min="5915" max="5915" width="23.28515625" style="2" customWidth="1"/>
    <col min="5916" max="5916" width="26.140625" style="2" customWidth="1"/>
    <col min="5917" max="5917" width="23.28515625" style="2" customWidth="1"/>
    <col min="5918" max="5918" width="18.28515625" style="2" customWidth="1"/>
    <col min="5919" max="6144" width="9.140625" style="2"/>
    <col min="6145" max="6145" width="12.7109375" style="2" customWidth="1"/>
    <col min="6146" max="6146" width="18" style="2" customWidth="1"/>
    <col min="6147" max="6149" width="16.42578125" style="2" customWidth="1"/>
    <col min="6150" max="6150" width="18" style="2" customWidth="1"/>
    <col min="6151" max="6151" width="16.42578125" style="2" customWidth="1"/>
    <col min="6152" max="6152" width="18" style="2" customWidth="1"/>
    <col min="6153" max="6153" width="16.42578125" style="2" customWidth="1"/>
    <col min="6154" max="6154" width="18" style="2" customWidth="1"/>
    <col min="6155" max="6157" width="16.42578125" style="2" customWidth="1"/>
    <col min="6158" max="6158" width="20.85546875" style="2" customWidth="1"/>
    <col min="6159" max="6159" width="19.28515625" style="2" customWidth="1"/>
    <col min="6160" max="6160" width="16.85546875" style="2" customWidth="1"/>
    <col min="6161" max="6161" width="15.28515625" style="2" customWidth="1"/>
    <col min="6162" max="6162" width="16.85546875" style="2" customWidth="1"/>
    <col min="6163" max="6163" width="15.28515625" style="2" customWidth="1"/>
    <col min="6164" max="6164" width="19.42578125" style="2" customWidth="1"/>
    <col min="6165" max="6165" width="16.28515625" style="2" customWidth="1"/>
    <col min="6166" max="6166" width="18" style="2" customWidth="1"/>
    <col min="6167" max="6167" width="14.85546875" style="2" customWidth="1"/>
    <col min="6168" max="6168" width="18.28515625" style="2" customWidth="1"/>
    <col min="6169" max="6169" width="18.85546875" style="2" customWidth="1"/>
    <col min="6170" max="6170" width="25.140625" style="2" customWidth="1"/>
    <col min="6171" max="6171" width="23.28515625" style="2" customWidth="1"/>
    <col min="6172" max="6172" width="26.140625" style="2" customWidth="1"/>
    <col min="6173" max="6173" width="23.28515625" style="2" customWidth="1"/>
    <col min="6174" max="6174" width="18.28515625" style="2" customWidth="1"/>
    <col min="6175" max="6400" width="9.140625" style="2"/>
    <col min="6401" max="6401" width="12.7109375" style="2" customWidth="1"/>
    <col min="6402" max="6402" width="18" style="2" customWidth="1"/>
    <col min="6403" max="6405" width="16.42578125" style="2" customWidth="1"/>
    <col min="6406" max="6406" width="18" style="2" customWidth="1"/>
    <col min="6407" max="6407" width="16.42578125" style="2" customWidth="1"/>
    <col min="6408" max="6408" width="18" style="2" customWidth="1"/>
    <col min="6409" max="6409" width="16.42578125" style="2" customWidth="1"/>
    <col min="6410" max="6410" width="18" style="2" customWidth="1"/>
    <col min="6411" max="6413" width="16.42578125" style="2" customWidth="1"/>
    <col min="6414" max="6414" width="20.85546875" style="2" customWidth="1"/>
    <col min="6415" max="6415" width="19.28515625" style="2" customWidth="1"/>
    <col min="6416" max="6416" width="16.85546875" style="2" customWidth="1"/>
    <col min="6417" max="6417" width="15.28515625" style="2" customWidth="1"/>
    <col min="6418" max="6418" width="16.85546875" style="2" customWidth="1"/>
    <col min="6419" max="6419" width="15.28515625" style="2" customWidth="1"/>
    <col min="6420" max="6420" width="19.42578125" style="2" customWidth="1"/>
    <col min="6421" max="6421" width="16.28515625" style="2" customWidth="1"/>
    <col min="6422" max="6422" width="18" style="2" customWidth="1"/>
    <col min="6423" max="6423" width="14.85546875" style="2" customWidth="1"/>
    <col min="6424" max="6424" width="18.28515625" style="2" customWidth="1"/>
    <col min="6425" max="6425" width="18.85546875" style="2" customWidth="1"/>
    <col min="6426" max="6426" width="25.140625" style="2" customWidth="1"/>
    <col min="6427" max="6427" width="23.28515625" style="2" customWidth="1"/>
    <col min="6428" max="6428" width="26.140625" style="2" customWidth="1"/>
    <col min="6429" max="6429" width="23.28515625" style="2" customWidth="1"/>
    <col min="6430" max="6430" width="18.28515625" style="2" customWidth="1"/>
    <col min="6431" max="6656" width="9.140625" style="2"/>
    <col min="6657" max="6657" width="12.7109375" style="2" customWidth="1"/>
    <col min="6658" max="6658" width="18" style="2" customWidth="1"/>
    <col min="6659" max="6661" width="16.42578125" style="2" customWidth="1"/>
    <col min="6662" max="6662" width="18" style="2" customWidth="1"/>
    <col min="6663" max="6663" width="16.42578125" style="2" customWidth="1"/>
    <col min="6664" max="6664" width="18" style="2" customWidth="1"/>
    <col min="6665" max="6665" width="16.42578125" style="2" customWidth="1"/>
    <col min="6666" max="6666" width="18" style="2" customWidth="1"/>
    <col min="6667" max="6669" width="16.42578125" style="2" customWidth="1"/>
    <col min="6670" max="6670" width="20.85546875" style="2" customWidth="1"/>
    <col min="6671" max="6671" width="19.28515625" style="2" customWidth="1"/>
    <col min="6672" max="6672" width="16.85546875" style="2" customWidth="1"/>
    <col min="6673" max="6673" width="15.28515625" style="2" customWidth="1"/>
    <col min="6674" max="6674" width="16.85546875" style="2" customWidth="1"/>
    <col min="6675" max="6675" width="15.28515625" style="2" customWidth="1"/>
    <col min="6676" max="6676" width="19.42578125" style="2" customWidth="1"/>
    <col min="6677" max="6677" width="16.28515625" style="2" customWidth="1"/>
    <col min="6678" max="6678" width="18" style="2" customWidth="1"/>
    <col min="6679" max="6679" width="14.85546875" style="2" customWidth="1"/>
    <col min="6680" max="6680" width="18.28515625" style="2" customWidth="1"/>
    <col min="6681" max="6681" width="18.85546875" style="2" customWidth="1"/>
    <col min="6682" max="6682" width="25.140625" style="2" customWidth="1"/>
    <col min="6683" max="6683" width="23.28515625" style="2" customWidth="1"/>
    <col min="6684" max="6684" width="26.140625" style="2" customWidth="1"/>
    <col min="6685" max="6685" width="23.28515625" style="2" customWidth="1"/>
    <col min="6686" max="6686" width="18.28515625" style="2" customWidth="1"/>
    <col min="6687" max="6912" width="9.140625" style="2"/>
    <col min="6913" max="6913" width="12.7109375" style="2" customWidth="1"/>
    <col min="6914" max="6914" width="18" style="2" customWidth="1"/>
    <col min="6915" max="6917" width="16.42578125" style="2" customWidth="1"/>
    <col min="6918" max="6918" width="18" style="2" customWidth="1"/>
    <col min="6919" max="6919" width="16.42578125" style="2" customWidth="1"/>
    <col min="6920" max="6920" width="18" style="2" customWidth="1"/>
    <col min="6921" max="6921" width="16.42578125" style="2" customWidth="1"/>
    <col min="6922" max="6922" width="18" style="2" customWidth="1"/>
    <col min="6923" max="6925" width="16.42578125" style="2" customWidth="1"/>
    <col min="6926" max="6926" width="20.85546875" style="2" customWidth="1"/>
    <col min="6927" max="6927" width="19.28515625" style="2" customWidth="1"/>
    <col min="6928" max="6928" width="16.85546875" style="2" customWidth="1"/>
    <col min="6929" max="6929" width="15.28515625" style="2" customWidth="1"/>
    <col min="6930" max="6930" width="16.85546875" style="2" customWidth="1"/>
    <col min="6931" max="6931" width="15.28515625" style="2" customWidth="1"/>
    <col min="6932" max="6932" width="19.42578125" style="2" customWidth="1"/>
    <col min="6933" max="6933" width="16.28515625" style="2" customWidth="1"/>
    <col min="6934" max="6934" width="18" style="2" customWidth="1"/>
    <col min="6935" max="6935" width="14.85546875" style="2" customWidth="1"/>
    <col min="6936" max="6936" width="18.28515625" style="2" customWidth="1"/>
    <col min="6937" max="6937" width="18.85546875" style="2" customWidth="1"/>
    <col min="6938" max="6938" width="25.140625" style="2" customWidth="1"/>
    <col min="6939" max="6939" width="23.28515625" style="2" customWidth="1"/>
    <col min="6940" max="6940" width="26.140625" style="2" customWidth="1"/>
    <col min="6941" max="6941" width="23.28515625" style="2" customWidth="1"/>
    <col min="6942" max="6942" width="18.28515625" style="2" customWidth="1"/>
    <col min="6943" max="7168" width="9.140625" style="2"/>
    <col min="7169" max="7169" width="12.7109375" style="2" customWidth="1"/>
    <col min="7170" max="7170" width="18" style="2" customWidth="1"/>
    <col min="7171" max="7173" width="16.42578125" style="2" customWidth="1"/>
    <col min="7174" max="7174" width="18" style="2" customWidth="1"/>
    <col min="7175" max="7175" width="16.42578125" style="2" customWidth="1"/>
    <col min="7176" max="7176" width="18" style="2" customWidth="1"/>
    <col min="7177" max="7177" width="16.42578125" style="2" customWidth="1"/>
    <col min="7178" max="7178" width="18" style="2" customWidth="1"/>
    <col min="7179" max="7181" width="16.42578125" style="2" customWidth="1"/>
    <col min="7182" max="7182" width="20.85546875" style="2" customWidth="1"/>
    <col min="7183" max="7183" width="19.28515625" style="2" customWidth="1"/>
    <col min="7184" max="7184" width="16.85546875" style="2" customWidth="1"/>
    <col min="7185" max="7185" width="15.28515625" style="2" customWidth="1"/>
    <col min="7186" max="7186" width="16.85546875" style="2" customWidth="1"/>
    <col min="7187" max="7187" width="15.28515625" style="2" customWidth="1"/>
    <col min="7188" max="7188" width="19.42578125" style="2" customWidth="1"/>
    <col min="7189" max="7189" width="16.28515625" style="2" customWidth="1"/>
    <col min="7190" max="7190" width="18" style="2" customWidth="1"/>
    <col min="7191" max="7191" width="14.85546875" style="2" customWidth="1"/>
    <col min="7192" max="7192" width="18.28515625" style="2" customWidth="1"/>
    <col min="7193" max="7193" width="18.85546875" style="2" customWidth="1"/>
    <col min="7194" max="7194" width="25.140625" style="2" customWidth="1"/>
    <col min="7195" max="7195" width="23.28515625" style="2" customWidth="1"/>
    <col min="7196" max="7196" width="26.140625" style="2" customWidth="1"/>
    <col min="7197" max="7197" width="23.28515625" style="2" customWidth="1"/>
    <col min="7198" max="7198" width="18.28515625" style="2" customWidth="1"/>
    <col min="7199" max="7424" width="9.140625" style="2"/>
    <col min="7425" max="7425" width="12.7109375" style="2" customWidth="1"/>
    <col min="7426" max="7426" width="18" style="2" customWidth="1"/>
    <col min="7427" max="7429" width="16.42578125" style="2" customWidth="1"/>
    <col min="7430" max="7430" width="18" style="2" customWidth="1"/>
    <col min="7431" max="7431" width="16.42578125" style="2" customWidth="1"/>
    <col min="7432" max="7432" width="18" style="2" customWidth="1"/>
    <col min="7433" max="7433" width="16.42578125" style="2" customWidth="1"/>
    <col min="7434" max="7434" width="18" style="2" customWidth="1"/>
    <col min="7435" max="7437" width="16.42578125" style="2" customWidth="1"/>
    <col min="7438" max="7438" width="20.85546875" style="2" customWidth="1"/>
    <col min="7439" max="7439" width="19.28515625" style="2" customWidth="1"/>
    <col min="7440" max="7440" width="16.85546875" style="2" customWidth="1"/>
    <col min="7441" max="7441" width="15.28515625" style="2" customWidth="1"/>
    <col min="7442" max="7442" width="16.85546875" style="2" customWidth="1"/>
    <col min="7443" max="7443" width="15.28515625" style="2" customWidth="1"/>
    <col min="7444" max="7444" width="19.42578125" style="2" customWidth="1"/>
    <col min="7445" max="7445" width="16.28515625" style="2" customWidth="1"/>
    <col min="7446" max="7446" width="18" style="2" customWidth="1"/>
    <col min="7447" max="7447" width="14.85546875" style="2" customWidth="1"/>
    <col min="7448" max="7448" width="18.28515625" style="2" customWidth="1"/>
    <col min="7449" max="7449" width="18.85546875" style="2" customWidth="1"/>
    <col min="7450" max="7450" width="25.140625" style="2" customWidth="1"/>
    <col min="7451" max="7451" width="23.28515625" style="2" customWidth="1"/>
    <col min="7452" max="7452" width="26.140625" style="2" customWidth="1"/>
    <col min="7453" max="7453" width="23.28515625" style="2" customWidth="1"/>
    <col min="7454" max="7454" width="18.28515625" style="2" customWidth="1"/>
    <col min="7455" max="7680" width="9.140625" style="2"/>
    <col min="7681" max="7681" width="12.7109375" style="2" customWidth="1"/>
    <col min="7682" max="7682" width="18" style="2" customWidth="1"/>
    <col min="7683" max="7685" width="16.42578125" style="2" customWidth="1"/>
    <col min="7686" max="7686" width="18" style="2" customWidth="1"/>
    <col min="7687" max="7687" width="16.42578125" style="2" customWidth="1"/>
    <col min="7688" max="7688" width="18" style="2" customWidth="1"/>
    <col min="7689" max="7689" width="16.42578125" style="2" customWidth="1"/>
    <col min="7690" max="7690" width="18" style="2" customWidth="1"/>
    <col min="7691" max="7693" width="16.42578125" style="2" customWidth="1"/>
    <col min="7694" max="7694" width="20.85546875" style="2" customWidth="1"/>
    <col min="7695" max="7695" width="19.28515625" style="2" customWidth="1"/>
    <col min="7696" max="7696" width="16.85546875" style="2" customWidth="1"/>
    <col min="7697" max="7697" width="15.28515625" style="2" customWidth="1"/>
    <col min="7698" max="7698" width="16.85546875" style="2" customWidth="1"/>
    <col min="7699" max="7699" width="15.28515625" style="2" customWidth="1"/>
    <col min="7700" max="7700" width="19.42578125" style="2" customWidth="1"/>
    <col min="7701" max="7701" width="16.28515625" style="2" customWidth="1"/>
    <col min="7702" max="7702" width="18" style="2" customWidth="1"/>
    <col min="7703" max="7703" width="14.85546875" style="2" customWidth="1"/>
    <col min="7704" max="7704" width="18.28515625" style="2" customWidth="1"/>
    <col min="7705" max="7705" width="18.85546875" style="2" customWidth="1"/>
    <col min="7706" max="7706" width="25.140625" style="2" customWidth="1"/>
    <col min="7707" max="7707" width="23.28515625" style="2" customWidth="1"/>
    <col min="7708" max="7708" width="26.140625" style="2" customWidth="1"/>
    <col min="7709" max="7709" width="23.28515625" style="2" customWidth="1"/>
    <col min="7710" max="7710" width="18.28515625" style="2" customWidth="1"/>
    <col min="7711" max="7936" width="9.140625" style="2"/>
    <col min="7937" max="7937" width="12.7109375" style="2" customWidth="1"/>
    <col min="7938" max="7938" width="18" style="2" customWidth="1"/>
    <col min="7939" max="7941" width="16.42578125" style="2" customWidth="1"/>
    <col min="7942" max="7942" width="18" style="2" customWidth="1"/>
    <col min="7943" max="7943" width="16.42578125" style="2" customWidth="1"/>
    <col min="7944" max="7944" width="18" style="2" customWidth="1"/>
    <col min="7945" max="7945" width="16.42578125" style="2" customWidth="1"/>
    <col min="7946" max="7946" width="18" style="2" customWidth="1"/>
    <col min="7947" max="7949" width="16.42578125" style="2" customWidth="1"/>
    <col min="7950" max="7950" width="20.85546875" style="2" customWidth="1"/>
    <col min="7951" max="7951" width="19.28515625" style="2" customWidth="1"/>
    <col min="7952" max="7952" width="16.85546875" style="2" customWidth="1"/>
    <col min="7953" max="7953" width="15.28515625" style="2" customWidth="1"/>
    <col min="7954" max="7954" width="16.85546875" style="2" customWidth="1"/>
    <col min="7955" max="7955" width="15.28515625" style="2" customWidth="1"/>
    <col min="7956" max="7956" width="19.42578125" style="2" customWidth="1"/>
    <col min="7957" max="7957" width="16.28515625" style="2" customWidth="1"/>
    <col min="7958" max="7958" width="18" style="2" customWidth="1"/>
    <col min="7959" max="7959" width="14.85546875" style="2" customWidth="1"/>
    <col min="7960" max="7960" width="18.28515625" style="2" customWidth="1"/>
    <col min="7961" max="7961" width="18.85546875" style="2" customWidth="1"/>
    <col min="7962" max="7962" width="25.140625" style="2" customWidth="1"/>
    <col min="7963" max="7963" width="23.28515625" style="2" customWidth="1"/>
    <col min="7964" max="7964" width="26.140625" style="2" customWidth="1"/>
    <col min="7965" max="7965" width="23.28515625" style="2" customWidth="1"/>
    <col min="7966" max="7966" width="18.28515625" style="2" customWidth="1"/>
    <col min="7967" max="8192" width="9.140625" style="2"/>
    <col min="8193" max="8193" width="12.7109375" style="2" customWidth="1"/>
    <col min="8194" max="8194" width="18" style="2" customWidth="1"/>
    <col min="8195" max="8197" width="16.42578125" style="2" customWidth="1"/>
    <col min="8198" max="8198" width="18" style="2" customWidth="1"/>
    <col min="8199" max="8199" width="16.42578125" style="2" customWidth="1"/>
    <col min="8200" max="8200" width="18" style="2" customWidth="1"/>
    <col min="8201" max="8201" width="16.42578125" style="2" customWidth="1"/>
    <col min="8202" max="8202" width="18" style="2" customWidth="1"/>
    <col min="8203" max="8205" width="16.42578125" style="2" customWidth="1"/>
    <col min="8206" max="8206" width="20.85546875" style="2" customWidth="1"/>
    <col min="8207" max="8207" width="19.28515625" style="2" customWidth="1"/>
    <col min="8208" max="8208" width="16.85546875" style="2" customWidth="1"/>
    <col min="8209" max="8209" width="15.28515625" style="2" customWidth="1"/>
    <col min="8210" max="8210" width="16.85546875" style="2" customWidth="1"/>
    <col min="8211" max="8211" width="15.28515625" style="2" customWidth="1"/>
    <col min="8212" max="8212" width="19.42578125" style="2" customWidth="1"/>
    <col min="8213" max="8213" width="16.28515625" style="2" customWidth="1"/>
    <col min="8214" max="8214" width="18" style="2" customWidth="1"/>
    <col min="8215" max="8215" width="14.85546875" style="2" customWidth="1"/>
    <col min="8216" max="8216" width="18.28515625" style="2" customWidth="1"/>
    <col min="8217" max="8217" width="18.85546875" style="2" customWidth="1"/>
    <col min="8218" max="8218" width="25.140625" style="2" customWidth="1"/>
    <col min="8219" max="8219" width="23.28515625" style="2" customWidth="1"/>
    <col min="8220" max="8220" width="26.140625" style="2" customWidth="1"/>
    <col min="8221" max="8221" width="23.28515625" style="2" customWidth="1"/>
    <col min="8222" max="8222" width="18.28515625" style="2" customWidth="1"/>
    <col min="8223" max="8448" width="9.140625" style="2"/>
    <col min="8449" max="8449" width="12.7109375" style="2" customWidth="1"/>
    <col min="8450" max="8450" width="18" style="2" customWidth="1"/>
    <col min="8451" max="8453" width="16.42578125" style="2" customWidth="1"/>
    <col min="8454" max="8454" width="18" style="2" customWidth="1"/>
    <col min="8455" max="8455" width="16.42578125" style="2" customWidth="1"/>
    <col min="8456" max="8456" width="18" style="2" customWidth="1"/>
    <col min="8457" max="8457" width="16.42578125" style="2" customWidth="1"/>
    <col min="8458" max="8458" width="18" style="2" customWidth="1"/>
    <col min="8459" max="8461" width="16.42578125" style="2" customWidth="1"/>
    <col min="8462" max="8462" width="20.85546875" style="2" customWidth="1"/>
    <col min="8463" max="8463" width="19.28515625" style="2" customWidth="1"/>
    <col min="8464" max="8464" width="16.85546875" style="2" customWidth="1"/>
    <col min="8465" max="8465" width="15.28515625" style="2" customWidth="1"/>
    <col min="8466" max="8466" width="16.85546875" style="2" customWidth="1"/>
    <col min="8467" max="8467" width="15.28515625" style="2" customWidth="1"/>
    <col min="8468" max="8468" width="19.42578125" style="2" customWidth="1"/>
    <col min="8469" max="8469" width="16.28515625" style="2" customWidth="1"/>
    <col min="8470" max="8470" width="18" style="2" customWidth="1"/>
    <col min="8471" max="8471" width="14.85546875" style="2" customWidth="1"/>
    <col min="8472" max="8472" width="18.28515625" style="2" customWidth="1"/>
    <col min="8473" max="8473" width="18.85546875" style="2" customWidth="1"/>
    <col min="8474" max="8474" width="25.140625" style="2" customWidth="1"/>
    <col min="8475" max="8475" width="23.28515625" style="2" customWidth="1"/>
    <col min="8476" max="8476" width="26.140625" style="2" customWidth="1"/>
    <col min="8477" max="8477" width="23.28515625" style="2" customWidth="1"/>
    <col min="8478" max="8478" width="18.28515625" style="2" customWidth="1"/>
    <col min="8479" max="8704" width="9.140625" style="2"/>
    <col min="8705" max="8705" width="12.7109375" style="2" customWidth="1"/>
    <col min="8706" max="8706" width="18" style="2" customWidth="1"/>
    <col min="8707" max="8709" width="16.42578125" style="2" customWidth="1"/>
    <col min="8710" max="8710" width="18" style="2" customWidth="1"/>
    <col min="8711" max="8711" width="16.42578125" style="2" customWidth="1"/>
    <col min="8712" max="8712" width="18" style="2" customWidth="1"/>
    <col min="8713" max="8713" width="16.42578125" style="2" customWidth="1"/>
    <col min="8714" max="8714" width="18" style="2" customWidth="1"/>
    <col min="8715" max="8717" width="16.42578125" style="2" customWidth="1"/>
    <col min="8718" max="8718" width="20.85546875" style="2" customWidth="1"/>
    <col min="8719" max="8719" width="19.28515625" style="2" customWidth="1"/>
    <col min="8720" max="8720" width="16.85546875" style="2" customWidth="1"/>
    <col min="8721" max="8721" width="15.28515625" style="2" customWidth="1"/>
    <col min="8722" max="8722" width="16.85546875" style="2" customWidth="1"/>
    <col min="8723" max="8723" width="15.28515625" style="2" customWidth="1"/>
    <col min="8724" max="8724" width="19.42578125" style="2" customWidth="1"/>
    <col min="8725" max="8725" width="16.28515625" style="2" customWidth="1"/>
    <col min="8726" max="8726" width="18" style="2" customWidth="1"/>
    <col min="8727" max="8727" width="14.85546875" style="2" customWidth="1"/>
    <col min="8728" max="8728" width="18.28515625" style="2" customWidth="1"/>
    <col min="8729" max="8729" width="18.85546875" style="2" customWidth="1"/>
    <col min="8730" max="8730" width="25.140625" style="2" customWidth="1"/>
    <col min="8731" max="8731" width="23.28515625" style="2" customWidth="1"/>
    <col min="8732" max="8732" width="26.140625" style="2" customWidth="1"/>
    <col min="8733" max="8733" width="23.28515625" style="2" customWidth="1"/>
    <col min="8734" max="8734" width="18.28515625" style="2" customWidth="1"/>
    <col min="8735" max="8960" width="9.140625" style="2"/>
    <col min="8961" max="8961" width="12.7109375" style="2" customWidth="1"/>
    <col min="8962" max="8962" width="18" style="2" customWidth="1"/>
    <col min="8963" max="8965" width="16.42578125" style="2" customWidth="1"/>
    <col min="8966" max="8966" width="18" style="2" customWidth="1"/>
    <col min="8967" max="8967" width="16.42578125" style="2" customWidth="1"/>
    <col min="8968" max="8968" width="18" style="2" customWidth="1"/>
    <col min="8969" max="8969" width="16.42578125" style="2" customWidth="1"/>
    <col min="8970" max="8970" width="18" style="2" customWidth="1"/>
    <col min="8971" max="8973" width="16.42578125" style="2" customWidth="1"/>
    <col min="8974" max="8974" width="20.85546875" style="2" customWidth="1"/>
    <col min="8975" max="8975" width="19.28515625" style="2" customWidth="1"/>
    <col min="8976" max="8976" width="16.85546875" style="2" customWidth="1"/>
    <col min="8977" max="8977" width="15.28515625" style="2" customWidth="1"/>
    <col min="8978" max="8978" width="16.85546875" style="2" customWidth="1"/>
    <col min="8979" max="8979" width="15.28515625" style="2" customWidth="1"/>
    <col min="8980" max="8980" width="19.42578125" style="2" customWidth="1"/>
    <col min="8981" max="8981" width="16.28515625" style="2" customWidth="1"/>
    <col min="8982" max="8982" width="18" style="2" customWidth="1"/>
    <col min="8983" max="8983" width="14.85546875" style="2" customWidth="1"/>
    <col min="8984" max="8984" width="18.28515625" style="2" customWidth="1"/>
    <col min="8985" max="8985" width="18.85546875" style="2" customWidth="1"/>
    <col min="8986" max="8986" width="25.140625" style="2" customWidth="1"/>
    <col min="8987" max="8987" width="23.28515625" style="2" customWidth="1"/>
    <col min="8988" max="8988" width="26.140625" style="2" customWidth="1"/>
    <col min="8989" max="8989" width="23.28515625" style="2" customWidth="1"/>
    <col min="8990" max="8990" width="18.28515625" style="2" customWidth="1"/>
    <col min="8991" max="9216" width="9.140625" style="2"/>
    <col min="9217" max="9217" width="12.7109375" style="2" customWidth="1"/>
    <col min="9218" max="9218" width="18" style="2" customWidth="1"/>
    <col min="9219" max="9221" width="16.42578125" style="2" customWidth="1"/>
    <col min="9222" max="9222" width="18" style="2" customWidth="1"/>
    <col min="9223" max="9223" width="16.42578125" style="2" customWidth="1"/>
    <col min="9224" max="9224" width="18" style="2" customWidth="1"/>
    <col min="9225" max="9225" width="16.42578125" style="2" customWidth="1"/>
    <col min="9226" max="9226" width="18" style="2" customWidth="1"/>
    <col min="9227" max="9229" width="16.42578125" style="2" customWidth="1"/>
    <col min="9230" max="9230" width="20.85546875" style="2" customWidth="1"/>
    <col min="9231" max="9231" width="19.28515625" style="2" customWidth="1"/>
    <col min="9232" max="9232" width="16.85546875" style="2" customWidth="1"/>
    <col min="9233" max="9233" width="15.28515625" style="2" customWidth="1"/>
    <col min="9234" max="9234" width="16.85546875" style="2" customWidth="1"/>
    <col min="9235" max="9235" width="15.28515625" style="2" customWidth="1"/>
    <col min="9236" max="9236" width="19.42578125" style="2" customWidth="1"/>
    <col min="9237" max="9237" width="16.28515625" style="2" customWidth="1"/>
    <col min="9238" max="9238" width="18" style="2" customWidth="1"/>
    <col min="9239" max="9239" width="14.85546875" style="2" customWidth="1"/>
    <col min="9240" max="9240" width="18.28515625" style="2" customWidth="1"/>
    <col min="9241" max="9241" width="18.85546875" style="2" customWidth="1"/>
    <col min="9242" max="9242" width="25.140625" style="2" customWidth="1"/>
    <col min="9243" max="9243" width="23.28515625" style="2" customWidth="1"/>
    <col min="9244" max="9244" width="26.140625" style="2" customWidth="1"/>
    <col min="9245" max="9245" width="23.28515625" style="2" customWidth="1"/>
    <col min="9246" max="9246" width="18.28515625" style="2" customWidth="1"/>
    <col min="9247" max="9472" width="9.140625" style="2"/>
    <col min="9473" max="9473" width="12.7109375" style="2" customWidth="1"/>
    <col min="9474" max="9474" width="18" style="2" customWidth="1"/>
    <col min="9475" max="9477" width="16.42578125" style="2" customWidth="1"/>
    <col min="9478" max="9478" width="18" style="2" customWidth="1"/>
    <col min="9479" max="9479" width="16.42578125" style="2" customWidth="1"/>
    <col min="9480" max="9480" width="18" style="2" customWidth="1"/>
    <col min="9481" max="9481" width="16.42578125" style="2" customWidth="1"/>
    <col min="9482" max="9482" width="18" style="2" customWidth="1"/>
    <col min="9483" max="9485" width="16.42578125" style="2" customWidth="1"/>
    <col min="9486" max="9486" width="20.85546875" style="2" customWidth="1"/>
    <col min="9487" max="9487" width="19.28515625" style="2" customWidth="1"/>
    <col min="9488" max="9488" width="16.85546875" style="2" customWidth="1"/>
    <col min="9489" max="9489" width="15.28515625" style="2" customWidth="1"/>
    <col min="9490" max="9490" width="16.85546875" style="2" customWidth="1"/>
    <col min="9491" max="9491" width="15.28515625" style="2" customWidth="1"/>
    <col min="9492" max="9492" width="19.42578125" style="2" customWidth="1"/>
    <col min="9493" max="9493" width="16.28515625" style="2" customWidth="1"/>
    <col min="9494" max="9494" width="18" style="2" customWidth="1"/>
    <col min="9495" max="9495" width="14.85546875" style="2" customWidth="1"/>
    <col min="9496" max="9496" width="18.28515625" style="2" customWidth="1"/>
    <col min="9497" max="9497" width="18.85546875" style="2" customWidth="1"/>
    <col min="9498" max="9498" width="25.140625" style="2" customWidth="1"/>
    <col min="9499" max="9499" width="23.28515625" style="2" customWidth="1"/>
    <col min="9500" max="9500" width="26.140625" style="2" customWidth="1"/>
    <col min="9501" max="9501" width="23.28515625" style="2" customWidth="1"/>
    <col min="9502" max="9502" width="18.28515625" style="2" customWidth="1"/>
    <col min="9503" max="9728" width="9.140625" style="2"/>
    <col min="9729" max="9729" width="12.7109375" style="2" customWidth="1"/>
    <col min="9730" max="9730" width="18" style="2" customWidth="1"/>
    <col min="9731" max="9733" width="16.42578125" style="2" customWidth="1"/>
    <col min="9734" max="9734" width="18" style="2" customWidth="1"/>
    <col min="9735" max="9735" width="16.42578125" style="2" customWidth="1"/>
    <col min="9736" max="9736" width="18" style="2" customWidth="1"/>
    <col min="9737" max="9737" width="16.42578125" style="2" customWidth="1"/>
    <col min="9738" max="9738" width="18" style="2" customWidth="1"/>
    <col min="9739" max="9741" width="16.42578125" style="2" customWidth="1"/>
    <col min="9742" max="9742" width="20.85546875" style="2" customWidth="1"/>
    <col min="9743" max="9743" width="19.28515625" style="2" customWidth="1"/>
    <col min="9744" max="9744" width="16.85546875" style="2" customWidth="1"/>
    <col min="9745" max="9745" width="15.28515625" style="2" customWidth="1"/>
    <col min="9746" max="9746" width="16.85546875" style="2" customWidth="1"/>
    <col min="9747" max="9747" width="15.28515625" style="2" customWidth="1"/>
    <col min="9748" max="9748" width="19.42578125" style="2" customWidth="1"/>
    <col min="9749" max="9749" width="16.28515625" style="2" customWidth="1"/>
    <col min="9750" max="9750" width="18" style="2" customWidth="1"/>
    <col min="9751" max="9751" width="14.85546875" style="2" customWidth="1"/>
    <col min="9752" max="9752" width="18.28515625" style="2" customWidth="1"/>
    <col min="9753" max="9753" width="18.85546875" style="2" customWidth="1"/>
    <col min="9754" max="9754" width="25.140625" style="2" customWidth="1"/>
    <col min="9755" max="9755" width="23.28515625" style="2" customWidth="1"/>
    <col min="9756" max="9756" width="26.140625" style="2" customWidth="1"/>
    <col min="9757" max="9757" width="23.28515625" style="2" customWidth="1"/>
    <col min="9758" max="9758" width="18.28515625" style="2" customWidth="1"/>
    <col min="9759" max="9984" width="9.140625" style="2"/>
    <col min="9985" max="9985" width="12.7109375" style="2" customWidth="1"/>
    <col min="9986" max="9986" width="18" style="2" customWidth="1"/>
    <col min="9987" max="9989" width="16.42578125" style="2" customWidth="1"/>
    <col min="9990" max="9990" width="18" style="2" customWidth="1"/>
    <col min="9991" max="9991" width="16.42578125" style="2" customWidth="1"/>
    <col min="9992" max="9992" width="18" style="2" customWidth="1"/>
    <col min="9993" max="9993" width="16.42578125" style="2" customWidth="1"/>
    <col min="9994" max="9994" width="18" style="2" customWidth="1"/>
    <col min="9995" max="9997" width="16.42578125" style="2" customWidth="1"/>
    <col min="9998" max="9998" width="20.85546875" style="2" customWidth="1"/>
    <col min="9999" max="9999" width="19.28515625" style="2" customWidth="1"/>
    <col min="10000" max="10000" width="16.85546875" style="2" customWidth="1"/>
    <col min="10001" max="10001" width="15.28515625" style="2" customWidth="1"/>
    <col min="10002" max="10002" width="16.85546875" style="2" customWidth="1"/>
    <col min="10003" max="10003" width="15.28515625" style="2" customWidth="1"/>
    <col min="10004" max="10004" width="19.42578125" style="2" customWidth="1"/>
    <col min="10005" max="10005" width="16.28515625" style="2" customWidth="1"/>
    <col min="10006" max="10006" width="18" style="2" customWidth="1"/>
    <col min="10007" max="10007" width="14.85546875" style="2" customWidth="1"/>
    <col min="10008" max="10008" width="18.28515625" style="2" customWidth="1"/>
    <col min="10009" max="10009" width="18.85546875" style="2" customWidth="1"/>
    <col min="10010" max="10010" width="25.140625" style="2" customWidth="1"/>
    <col min="10011" max="10011" width="23.28515625" style="2" customWidth="1"/>
    <col min="10012" max="10012" width="26.140625" style="2" customWidth="1"/>
    <col min="10013" max="10013" width="23.28515625" style="2" customWidth="1"/>
    <col min="10014" max="10014" width="18.28515625" style="2" customWidth="1"/>
    <col min="10015" max="10240" width="9.140625" style="2"/>
    <col min="10241" max="10241" width="12.7109375" style="2" customWidth="1"/>
    <col min="10242" max="10242" width="18" style="2" customWidth="1"/>
    <col min="10243" max="10245" width="16.42578125" style="2" customWidth="1"/>
    <col min="10246" max="10246" width="18" style="2" customWidth="1"/>
    <col min="10247" max="10247" width="16.42578125" style="2" customWidth="1"/>
    <col min="10248" max="10248" width="18" style="2" customWidth="1"/>
    <col min="10249" max="10249" width="16.42578125" style="2" customWidth="1"/>
    <col min="10250" max="10250" width="18" style="2" customWidth="1"/>
    <col min="10251" max="10253" width="16.42578125" style="2" customWidth="1"/>
    <col min="10254" max="10254" width="20.85546875" style="2" customWidth="1"/>
    <col min="10255" max="10255" width="19.28515625" style="2" customWidth="1"/>
    <col min="10256" max="10256" width="16.85546875" style="2" customWidth="1"/>
    <col min="10257" max="10257" width="15.28515625" style="2" customWidth="1"/>
    <col min="10258" max="10258" width="16.85546875" style="2" customWidth="1"/>
    <col min="10259" max="10259" width="15.28515625" style="2" customWidth="1"/>
    <col min="10260" max="10260" width="19.42578125" style="2" customWidth="1"/>
    <col min="10261" max="10261" width="16.28515625" style="2" customWidth="1"/>
    <col min="10262" max="10262" width="18" style="2" customWidth="1"/>
    <col min="10263" max="10263" width="14.85546875" style="2" customWidth="1"/>
    <col min="10264" max="10264" width="18.28515625" style="2" customWidth="1"/>
    <col min="10265" max="10265" width="18.85546875" style="2" customWidth="1"/>
    <col min="10266" max="10266" width="25.140625" style="2" customWidth="1"/>
    <col min="10267" max="10267" width="23.28515625" style="2" customWidth="1"/>
    <col min="10268" max="10268" width="26.140625" style="2" customWidth="1"/>
    <col min="10269" max="10269" width="23.28515625" style="2" customWidth="1"/>
    <col min="10270" max="10270" width="18.28515625" style="2" customWidth="1"/>
    <col min="10271" max="10496" width="9.140625" style="2"/>
    <col min="10497" max="10497" width="12.7109375" style="2" customWidth="1"/>
    <col min="10498" max="10498" width="18" style="2" customWidth="1"/>
    <col min="10499" max="10501" width="16.42578125" style="2" customWidth="1"/>
    <col min="10502" max="10502" width="18" style="2" customWidth="1"/>
    <col min="10503" max="10503" width="16.42578125" style="2" customWidth="1"/>
    <col min="10504" max="10504" width="18" style="2" customWidth="1"/>
    <col min="10505" max="10505" width="16.42578125" style="2" customWidth="1"/>
    <col min="10506" max="10506" width="18" style="2" customWidth="1"/>
    <col min="10507" max="10509" width="16.42578125" style="2" customWidth="1"/>
    <col min="10510" max="10510" width="20.85546875" style="2" customWidth="1"/>
    <col min="10511" max="10511" width="19.28515625" style="2" customWidth="1"/>
    <col min="10512" max="10512" width="16.85546875" style="2" customWidth="1"/>
    <col min="10513" max="10513" width="15.28515625" style="2" customWidth="1"/>
    <col min="10514" max="10514" width="16.85546875" style="2" customWidth="1"/>
    <col min="10515" max="10515" width="15.28515625" style="2" customWidth="1"/>
    <col min="10516" max="10516" width="19.42578125" style="2" customWidth="1"/>
    <col min="10517" max="10517" width="16.28515625" style="2" customWidth="1"/>
    <col min="10518" max="10518" width="18" style="2" customWidth="1"/>
    <col min="10519" max="10519" width="14.85546875" style="2" customWidth="1"/>
    <col min="10520" max="10520" width="18.28515625" style="2" customWidth="1"/>
    <col min="10521" max="10521" width="18.85546875" style="2" customWidth="1"/>
    <col min="10522" max="10522" width="25.140625" style="2" customWidth="1"/>
    <col min="10523" max="10523" width="23.28515625" style="2" customWidth="1"/>
    <col min="10524" max="10524" width="26.140625" style="2" customWidth="1"/>
    <col min="10525" max="10525" width="23.28515625" style="2" customWidth="1"/>
    <col min="10526" max="10526" width="18.28515625" style="2" customWidth="1"/>
    <col min="10527" max="10752" width="9.140625" style="2"/>
    <col min="10753" max="10753" width="12.7109375" style="2" customWidth="1"/>
    <col min="10754" max="10754" width="18" style="2" customWidth="1"/>
    <col min="10755" max="10757" width="16.42578125" style="2" customWidth="1"/>
    <col min="10758" max="10758" width="18" style="2" customWidth="1"/>
    <col min="10759" max="10759" width="16.42578125" style="2" customWidth="1"/>
    <col min="10760" max="10760" width="18" style="2" customWidth="1"/>
    <col min="10761" max="10761" width="16.42578125" style="2" customWidth="1"/>
    <col min="10762" max="10762" width="18" style="2" customWidth="1"/>
    <col min="10763" max="10765" width="16.42578125" style="2" customWidth="1"/>
    <col min="10766" max="10766" width="20.85546875" style="2" customWidth="1"/>
    <col min="10767" max="10767" width="19.28515625" style="2" customWidth="1"/>
    <col min="10768" max="10768" width="16.85546875" style="2" customWidth="1"/>
    <col min="10769" max="10769" width="15.28515625" style="2" customWidth="1"/>
    <col min="10770" max="10770" width="16.85546875" style="2" customWidth="1"/>
    <col min="10771" max="10771" width="15.28515625" style="2" customWidth="1"/>
    <col min="10772" max="10772" width="19.42578125" style="2" customWidth="1"/>
    <col min="10773" max="10773" width="16.28515625" style="2" customWidth="1"/>
    <col min="10774" max="10774" width="18" style="2" customWidth="1"/>
    <col min="10775" max="10775" width="14.85546875" style="2" customWidth="1"/>
    <col min="10776" max="10776" width="18.28515625" style="2" customWidth="1"/>
    <col min="10777" max="10777" width="18.85546875" style="2" customWidth="1"/>
    <col min="10778" max="10778" width="25.140625" style="2" customWidth="1"/>
    <col min="10779" max="10779" width="23.28515625" style="2" customWidth="1"/>
    <col min="10780" max="10780" width="26.140625" style="2" customWidth="1"/>
    <col min="10781" max="10781" width="23.28515625" style="2" customWidth="1"/>
    <col min="10782" max="10782" width="18.28515625" style="2" customWidth="1"/>
    <col min="10783" max="11008" width="9.140625" style="2"/>
    <col min="11009" max="11009" width="12.7109375" style="2" customWidth="1"/>
    <col min="11010" max="11010" width="18" style="2" customWidth="1"/>
    <col min="11011" max="11013" width="16.42578125" style="2" customWidth="1"/>
    <col min="11014" max="11014" width="18" style="2" customWidth="1"/>
    <col min="11015" max="11015" width="16.42578125" style="2" customWidth="1"/>
    <col min="11016" max="11016" width="18" style="2" customWidth="1"/>
    <col min="11017" max="11017" width="16.42578125" style="2" customWidth="1"/>
    <col min="11018" max="11018" width="18" style="2" customWidth="1"/>
    <col min="11019" max="11021" width="16.42578125" style="2" customWidth="1"/>
    <col min="11022" max="11022" width="20.85546875" style="2" customWidth="1"/>
    <col min="11023" max="11023" width="19.28515625" style="2" customWidth="1"/>
    <col min="11024" max="11024" width="16.85546875" style="2" customWidth="1"/>
    <col min="11025" max="11025" width="15.28515625" style="2" customWidth="1"/>
    <col min="11026" max="11026" width="16.85546875" style="2" customWidth="1"/>
    <col min="11027" max="11027" width="15.28515625" style="2" customWidth="1"/>
    <col min="11028" max="11028" width="19.42578125" style="2" customWidth="1"/>
    <col min="11029" max="11029" width="16.28515625" style="2" customWidth="1"/>
    <col min="11030" max="11030" width="18" style="2" customWidth="1"/>
    <col min="11031" max="11031" width="14.85546875" style="2" customWidth="1"/>
    <col min="11032" max="11032" width="18.28515625" style="2" customWidth="1"/>
    <col min="11033" max="11033" width="18.85546875" style="2" customWidth="1"/>
    <col min="11034" max="11034" width="25.140625" style="2" customWidth="1"/>
    <col min="11035" max="11035" width="23.28515625" style="2" customWidth="1"/>
    <col min="11036" max="11036" width="26.140625" style="2" customWidth="1"/>
    <col min="11037" max="11037" width="23.28515625" style="2" customWidth="1"/>
    <col min="11038" max="11038" width="18.28515625" style="2" customWidth="1"/>
    <col min="11039" max="11264" width="9.140625" style="2"/>
    <col min="11265" max="11265" width="12.7109375" style="2" customWidth="1"/>
    <col min="11266" max="11266" width="18" style="2" customWidth="1"/>
    <col min="11267" max="11269" width="16.42578125" style="2" customWidth="1"/>
    <col min="11270" max="11270" width="18" style="2" customWidth="1"/>
    <col min="11271" max="11271" width="16.42578125" style="2" customWidth="1"/>
    <col min="11272" max="11272" width="18" style="2" customWidth="1"/>
    <col min="11273" max="11273" width="16.42578125" style="2" customWidth="1"/>
    <col min="11274" max="11274" width="18" style="2" customWidth="1"/>
    <col min="11275" max="11277" width="16.42578125" style="2" customWidth="1"/>
    <col min="11278" max="11278" width="20.85546875" style="2" customWidth="1"/>
    <col min="11279" max="11279" width="19.28515625" style="2" customWidth="1"/>
    <col min="11280" max="11280" width="16.85546875" style="2" customWidth="1"/>
    <col min="11281" max="11281" width="15.28515625" style="2" customWidth="1"/>
    <col min="11282" max="11282" width="16.85546875" style="2" customWidth="1"/>
    <col min="11283" max="11283" width="15.28515625" style="2" customWidth="1"/>
    <col min="11284" max="11284" width="19.42578125" style="2" customWidth="1"/>
    <col min="11285" max="11285" width="16.28515625" style="2" customWidth="1"/>
    <col min="11286" max="11286" width="18" style="2" customWidth="1"/>
    <col min="11287" max="11287" width="14.85546875" style="2" customWidth="1"/>
    <col min="11288" max="11288" width="18.28515625" style="2" customWidth="1"/>
    <col min="11289" max="11289" width="18.85546875" style="2" customWidth="1"/>
    <col min="11290" max="11290" width="25.140625" style="2" customWidth="1"/>
    <col min="11291" max="11291" width="23.28515625" style="2" customWidth="1"/>
    <col min="11292" max="11292" width="26.140625" style="2" customWidth="1"/>
    <col min="11293" max="11293" width="23.28515625" style="2" customWidth="1"/>
    <col min="11294" max="11294" width="18.28515625" style="2" customWidth="1"/>
    <col min="11295" max="11520" width="9.140625" style="2"/>
    <col min="11521" max="11521" width="12.7109375" style="2" customWidth="1"/>
    <col min="11522" max="11522" width="18" style="2" customWidth="1"/>
    <col min="11523" max="11525" width="16.42578125" style="2" customWidth="1"/>
    <col min="11526" max="11526" width="18" style="2" customWidth="1"/>
    <col min="11527" max="11527" width="16.42578125" style="2" customWidth="1"/>
    <col min="11528" max="11528" width="18" style="2" customWidth="1"/>
    <col min="11529" max="11529" width="16.42578125" style="2" customWidth="1"/>
    <col min="11530" max="11530" width="18" style="2" customWidth="1"/>
    <col min="11531" max="11533" width="16.42578125" style="2" customWidth="1"/>
    <col min="11534" max="11534" width="20.85546875" style="2" customWidth="1"/>
    <col min="11535" max="11535" width="19.28515625" style="2" customWidth="1"/>
    <col min="11536" max="11536" width="16.85546875" style="2" customWidth="1"/>
    <col min="11537" max="11537" width="15.28515625" style="2" customWidth="1"/>
    <col min="11538" max="11538" width="16.85546875" style="2" customWidth="1"/>
    <col min="11539" max="11539" width="15.28515625" style="2" customWidth="1"/>
    <col min="11540" max="11540" width="19.42578125" style="2" customWidth="1"/>
    <col min="11541" max="11541" width="16.28515625" style="2" customWidth="1"/>
    <col min="11542" max="11542" width="18" style="2" customWidth="1"/>
    <col min="11543" max="11543" width="14.85546875" style="2" customWidth="1"/>
    <col min="11544" max="11544" width="18.28515625" style="2" customWidth="1"/>
    <col min="11545" max="11545" width="18.85546875" style="2" customWidth="1"/>
    <col min="11546" max="11546" width="25.140625" style="2" customWidth="1"/>
    <col min="11547" max="11547" width="23.28515625" style="2" customWidth="1"/>
    <col min="11548" max="11548" width="26.140625" style="2" customWidth="1"/>
    <col min="11549" max="11549" width="23.28515625" style="2" customWidth="1"/>
    <col min="11550" max="11550" width="18.28515625" style="2" customWidth="1"/>
    <col min="11551" max="11776" width="9.140625" style="2"/>
    <col min="11777" max="11777" width="12.7109375" style="2" customWidth="1"/>
    <col min="11778" max="11778" width="18" style="2" customWidth="1"/>
    <col min="11779" max="11781" width="16.42578125" style="2" customWidth="1"/>
    <col min="11782" max="11782" width="18" style="2" customWidth="1"/>
    <col min="11783" max="11783" width="16.42578125" style="2" customWidth="1"/>
    <col min="11784" max="11784" width="18" style="2" customWidth="1"/>
    <col min="11785" max="11785" width="16.42578125" style="2" customWidth="1"/>
    <col min="11786" max="11786" width="18" style="2" customWidth="1"/>
    <col min="11787" max="11789" width="16.42578125" style="2" customWidth="1"/>
    <col min="11790" max="11790" width="20.85546875" style="2" customWidth="1"/>
    <col min="11791" max="11791" width="19.28515625" style="2" customWidth="1"/>
    <col min="11792" max="11792" width="16.85546875" style="2" customWidth="1"/>
    <col min="11793" max="11793" width="15.28515625" style="2" customWidth="1"/>
    <col min="11794" max="11794" width="16.85546875" style="2" customWidth="1"/>
    <col min="11795" max="11795" width="15.28515625" style="2" customWidth="1"/>
    <col min="11796" max="11796" width="19.42578125" style="2" customWidth="1"/>
    <col min="11797" max="11797" width="16.28515625" style="2" customWidth="1"/>
    <col min="11798" max="11798" width="18" style="2" customWidth="1"/>
    <col min="11799" max="11799" width="14.85546875" style="2" customWidth="1"/>
    <col min="11800" max="11800" width="18.28515625" style="2" customWidth="1"/>
    <col min="11801" max="11801" width="18.85546875" style="2" customWidth="1"/>
    <col min="11802" max="11802" width="25.140625" style="2" customWidth="1"/>
    <col min="11803" max="11803" width="23.28515625" style="2" customWidth="1"/>
    <col min="11804" max="11804" width="26.140625" style="2" customWidth="1"/>
    <col min="11805" max="11805" width="23.28515625" style="2" customWidth="1"/>
    <col min="11806" max="11806" width="18.28515625" style="2" customWidth="1"/>
    <col min="11807" max="12032" width="9.140625" style="2"/>
    <col min="12033" max="12033" width="12.7109375" style="2" customWidth="1"/>
    <col min="12034" max="12034" width="18" style="2" customWidth="1"/>
    <col min="12035" max="12037" width="16.42578125" style="2" customWidth="1"/>
    <col min="12038" max="12038" width="18" style="2" customWidth="1"/>
    <col min="12039" max="12039" width="16.42578125" style="2" customWidth="1"/>
    <col min="12040" max="12040" width="18" style="2" customWidth="1"/>
    <col min="12041" max="12041" width="16.42578125" style="2" customWidth="1"/>
    <col min="12042" max="12042" width="18" style="2" customWidth="1"/>
    <col min="12043" max="12045" width="16.42578125" style="2" customWidth="1"/>
    <col min="12046" max="12046" width="20.85546875" style="2" customWidth="1"/>
    <col min="12047" max="12047" width="19.28515625" style="2" customWidth="1"/>
    <col min="12048" max="12048" width="16.85546875" style="2" customWidth="1"/>
    <col min="12049" max="12049" width="15.28515625" style="2" customWidth="1"/>
    <col min="12050" max="12050" width="16.85546875" style="2" customWidth="1"/>
    <col min="12051" max="12051" width="15.28515625" style="2" customWidth="1"/>
    <col min="12052" max="12052" width="19.42578125" style="2" customWidth="1"/>
    <col min="12053" max="12053" width="16.28515625" style="2" customWidth="1"/>
    <col min="12054" max="12054" width="18" style="2" customWidth="1"/>
    <col min="12055" max="12055" width="14.85546875" style="2" customWidth="1"/>
    <col min="12056" max="12056" width="18.28515625" style="2" customWidth="1"/>
    <col min="12057" max="12057" width="18.85546875" style="2" customWidth="1"/>
    <col min="12058" max="12058" width="25.140625" style="2" customWidth="1"/>
    <col min="12059" max="12059" width="23.28515625" style="2" customWidth="1"/>
    <col min="12060" max="12060" width="26.140625" style="2" customWidth="1"/>
    <col min="12061" max="12061" width="23.28515625" style="2" customWidth="1"/>
    <col min="12062" max="12062" width="18.28515625" style="2" customWidth="1"/>
    <col min="12063" max="12288" width="9.140625" style="2"/>
    <col min="12289" max="12289" width="12.7109375" style="2" customWidth="1"/>
    <col min="12290" max="12290" width="18" style="2" customWidth="1"/>
    <col min="12291" max="12293" width="16.42578125" style="2" customWidth="1"/>
    <col min="12294" max="12294" width="18" style="2" customWidth="1"/>
    <col min="12295" max="12295" width="16.42578125" style="2" customWidth="1"/>
    <col min="12296" max="12296" width="18" style="2" customWidth="1"/>
    <col min="12297" max="12297" width="16.42578125" style="2" customWidth="1"/>
    <col min="12298" max="12298" width="18" style="2" customWidth="1"/>
    <col min="12299" max="12301" width="16.42578125" style="2" customWidth="1"/>
    <col min="12302" max="12302" width="20.85546875" style="2" customWidth="1"/>
    <col min="12303" max="12303" width="19.28515625" style="2" customWidth="1"/>
    <col min="12304" max="12304" width="16.85546875" style="2" customWidth="1"/>
    <col min="12305" max="12305" width="15.28515625" style="2" customWidth="1"/>
    <col min="12306" max="12306" width="16.85546875" style="2" customWidth="1"/>
    <col min="12307" max="12307" width="15.28515625" style="2" customWidth="1"/>
    <col min="12308" max="12308" width="19.42578125" style="2" customWidth="1"/>
    <col min="12309" max="12309" width="16.28515625" style="2" customWidth="1"/>
    <col min="12310" max="12310" width="18" style="2" customWidth="1"/>
    <col min="12311" max="12311" width="14.85546875" style="2" customWidth="1"/>
    <col min="12312" max="12312" width="18.28515625" style="2" customWidth="1"/>
    <col min="12313" max="12313" width="18.85546875" style="2" customWidth="1"/>
    <col min="12314" max="12314" width="25.140625" style="2" customWidth="1"/>
    <col min="12315" max="12315" width="23.28515625" style="2" customWidth="1"/>
    <col min="12316" max="12316" width="26.140625" style="2" customWidth="1"/>
    <col min="12317" max="12317" width="23.28515625" style="2" customWidth="1"/>
    <col min="12318" max="12318" width="18.28515625" style="2" customWidth="1"/>
    <col min="12319" max="12544" width="9.140625" style="2"/>
    <col min="12545" max="12545" width="12.7109375" style="2" customWidth="1"/>
    <col min="12546" max="12546" width="18" style="2" customWidth="1"/>
    <col min="12547" max="12549" width="16.42578125" style="2" customWidth="1"/>
    <col min="12550" max="12550" width="18" style="2" customWidth="1"/>
    <col min="12551" max="12551" width="16.42578125" style="2" customWidth="1"/>
    <col min="12552" max="12552" width="18" style="2" customWidth="1"/>
    <col min="12553" max="12553" width="16.42578125" style="2" customWidth="1"/>
    <col min="12554" max="12554" width="18" style="2" customWidth="1"/>
    <col min="12555" max="12557" width="16.42578125" style="2" customWidth="1"/>
    <col min="12558" max="12558" width="20.85546875" style="2" customWidth="1"/>
    <col min="12559" max="12559" width="19.28515625" style="2" customWidth="1"/>
    <col min="12560" max="12560" width="16.85546875" style="2" customWidth="1"/>
    <col min="12561" max="12561" width="15.28515625" style="2" customWidth="1"/>
    <col min="12562" max="12562" width="16.85546875" style="2" customWidth="1"/>
    <col min="12563" max="12563" width="15.28515625" style="2" customWidth="1"/>
    <col min="12564" max="12564" width="19.42578125" style="2" customWidth="1"/>
    <col min="12565" max="12565" width="16.28515625" style="2" customWidth="1"/>
    <col min="12566" max="12566" width="18" style="2" customWidth="1"/>
    <col min="12567" max="12567" width="14.85546875" style="2" customWidth="1"/>
    <col min="12568" max="12568" width="18.28515625" style="2" customWidth="1"/>
    <col min="12569" max="12569" width="18.85546875" style="2" customWidth="1"/>
    <col min="12570" max="12570" width="25.140625" style="2" customWidth="1"/>
    <col min="12571" max="12571" width="23.28515625" style="2" customWidth="1"/>
    <col min="12572" max="12572" width="26.140625" style="2" customWidth="1"/>
    <col min="12573" max="12573" width="23.28515625" style="2" customWidth="1"/>
    <col min="12574" max="12574" width="18.28515625" style="2" customWidth="1"/>
    <col min="12575" max="12800" width="9.140625" style="2"/>
    <col min="12801" max="12801" width="12.7109375" style="2" customWidth="1"/>
    <col min="12802" max="12802" width="18" style="2" customWidth="1"/>
    <col min="12803" max="12805" width="16.42578125" style="2" customWidth="1"/>
    <col min="12806" max="12806" width="18" style="2" customWidth="1"/>
    <col min="12807" max="12807" width="16.42578125" style="2" customWidth="1"/>
    <col min="12808" max="12808" width="18" style="2" customWidth="1"/>
    <col min="12809" max="12809" width="16.42578125" style="2" customWidth="1"/>
    <col min="12810" max="12810" width="18" style="2" customWidth="1"/>
    <col min="12811" max="12813" width="16.42578125" style="2" customWidth="1"/>
    <col min="12814" max="12814" width="20.85546875" style="2" customWidth="1"/>
    <col min="12815" max="12815" width="19.28515625" style="2" customWidth="1"/>
    <col min="12816" max="12816" width="16.85546875" style="2" customWidth="1"/>
    <col min="12817" max="12817" width="15.28515625" style="2" customWidth="1"/>
    <col min="12818" max="12818" width="16.85546875" style="2" customWidth="1"/>
    <col min="12819" max="12819" width="15.28515625" style="2" customWidth="1"/>
    <col min="12820" max="12820" width="19.42578125" style="2" customWidth="1"/>
    <col min="12821" max="12821" width="16.28515625" style="2" customWidth="1"/>
    <col min="12822" max="12822" width="18" style="2" customWidth="1"/>
    <col min="12823" max="12823" width="14.85546875" style="2" customWidth="1"/>
    <col min="12824" max="12824" width="18.28515625" style="2" customWidth="1"/>
    <col min="12825" max="12825" width="18.85546875" style="2" customWidth="1"/>
    <col min="12826" max="12826" width="25.140625" style="2" customWidth="1"/>
    <col min="12827" max="12827" width="23.28515625" style="2" customWidth="1"/>
    <col min="12828" max="12828" width="26.140625" style="2" customWidth="1"/>
    <col min="12829" max="12829" width="23.28515625" style="2" customWidth="1"/>
    <col min="12830" max="12830" width="18.28515625" style="2" customWidth="1"/>
    <col min="12831" max="13056" width="9.140625" style="2"/>
    <col min="13057" max="13057" width="12.7109375" style="2" customWidth="1"/>
    <col min="13058" max="13058" width="18" style="2" customWidth="1"/>
    <col min="13059" max="13061" width="16.42578125" style="2" customWidth="1"/>
    <col min="13062" max="13062" width="18" style="2" customWidth="1"/>
    <col min="13063" max="13063" width="16.42578125" style="2" customWidth="1"/>
    <col min="13064" max="13064" width="18" style="2" customWidth="1"/>
    <col min="13065" max="13065" width="16.42578125" style="2" customWidth="1"/>
    <col min="13066" max="13066" width="18" style="2" customWidth="1"/>
    <col min="13067" max="13069" width="16.42578125" style="2" customWidth="1"/>
    <col min="13070" max="13070" width="20.85546875" style="2" customWidth="1"/>
    <col min="13071" max="13071" width="19.28515625" style="2" customWidth="1"/>
    <col min="13072" max="13072" width="16.85546875" style="2" customWidth="1"/>
    <col min="13073" max="13073" width="15.28515625" style="2" customWidth="1"/>
    <col min="13074" max="13074" width="16.85546875" style="2" customWidth="1"/>
    <col min="13075" max="13075" width="15.28515625" style="2" customWidth="1"/>
    <col min="13076" max="13076" width="19.42578125" style="2" customWidth="1"/>
    <col min="13077" max="13077" width="16.28515625" style="2" customWidth="1"/>
    <col min="13078" max="13078" width="18" style="2" customWidth="1"/>
    <col min="13079" max="13079" width="14.85546875" style="2" customWidth="1"/>
    <col min="13080" max="13080" width="18.28515625" style="2" customWidth="1"/>
    <col min="13081" max="13081" width="18.85546875" style="2" customWidth="1"/>
    <col min="13082" max="13082" width="25.140625" style="2" customWidth="1"/>
    <col min="13083" max="13083" width="23.28515625" style="2" customWidth="1"/>
    <col min="13084" max="13084" width="26.140625" style="2" customWidth="1"/>
    <col min="13085" max="13085" width="23.28515625" style="2" customWidth="1"/>
    <col min="13086" max="13086" width="18.28515625" style="2" customWidth="1"/>
    <col min="13087" max="13312" width="9.140625" style="2"/>
    <col min="13313" max="13313" width="12.7109375" style="2" customWidth="1"/>
    <col min="13314" max="13314" width="18" style="2" customWidth="1"/>
    <col min="13315" max="13317" width="16.42578125" style="2" customWidth="1"/>
    <col min="13318" max="13318" width="18" style="2" customWidth="1"/>
    <col min="13319" max="13319" width="16.42578125" style="2" customWidth="1"/>
    <col min="13320" max="13320" width="18" style="2" customWidth="1"/>
    <col min="13321" max="13321" width="16.42578125" style="2" customWidth="1"/>
    <col min="13322" max="13322" width="18" style="2" customWidth="1"/>
    <col min="13323" max="13325" width="16.42578125" style="2" customWidth="1"/>
    <col min="13326" max="13326" width="20.85546875" style="2" customWidth="1"/>
    <col min="13327" max="13327" width="19.28515625" style="2" customWidth="1"/>
    <col min="13328" max="13328" width="16.85546875" style="2" customWidth="1"/>
    <col min="13329" max="13329" width="15.28515625" style="2" customWidth="1"/>
    <col min="13330" max="13330" width="16.85546875" style="2" customWidth="1"/>
    <col min="13331" max="13331" width="15.28515625" style="2" customWidth="1"/>
    <col min="13332" max="13332" width="19.42578125" style="2" customWidth="1"/>
    <col min="13333" max="13333" width="16.28515625" style="2" customWidth="1"/>
    <col min="13334" max="13334" width="18" style="2" customWidth="1"/>
    <col min="13335" max="13335" width="14.85546875" style="2" customWidth="1"/>
    <col min="13336" max="13336" width="18.28515625" style="2" customWidth="1"/>
    <col min="13337" max="13337" width="18.85546875" style="2" customWidth="1"/>
    <col min="13338" max="13338" width="25.140625" style="2" customWidth="1"/>
    <col min="13339" max="13339" width="23.28515625" style="2" customWidth="1"/>
    <col min="13340" max="13340" width="26.140625" style="2" customWidth="1"/>
    <col min="13341" max="13341" width="23.28515625" style="2" customWidth="1"/>
    <col min="13342" max="13342" width="18.28515625" style="2" customWidth="1"/>
    <col min="13343" max="13568" width="9.140625" style="2"/>
    <col min="13569" max="13569" width="12.7109375" style="2" customWidth="1"/>
    <col min="13570" max="13570" width="18" style="2" customWidth="1"/>
    <col min="13571" max="13573" width="16.42578125" style="2" customWidth="1"/>
    <col min="13574" max="13574" width="18" style="2" customWidth="1"/>
    <col min="13575" max="13575" width="16.42578125" style="2" customWidth="1"/>
    <col min="13576" max="13576" width="18" style="2" customWidth="1"/>
    <col min="13577" max="13577" width="16.42578125" style="2" customWidth="1"/>
    <col min="13578" max="13578" width="18" style="2" customWidth="1"/>
    <col min="13579" max="13581" width="16.42578125" style="2" customWidth="1"/>
    <col min="13582" max="13582" width="20.85546875" style="2" customWidth="1"/>
    <col min="13583" max="13583" width="19.28515625" style="2" customWidth="1"/>
    <col min="13584" max="13584" width="16.85546875" style="2" customWidth="1"/>
    <col min="13585" max="13585" width="15.28515625" style="2" customWidth="1"/>
    <col min="13586" max="13586" width="16.85546875" style="2" customWidth="1"/>
    <col min="13587" max="13587" width="15.28515625" style="2" customWidth="1"/>
    <col min="13588" max="13588" width="19.42578125" style="2" customWidth="1"/>
    <col min="13589" max="13589" width="16.28515625" style="2" customWidth="1"/>
    <col min="13590" max="13590" width="18" style="2" customWidth="1"/>
    <col min="13591" max="13591" width="14.85546875" style="2" customWidth="1"/>
    <col min="13592" max="13592" width="18.28515625" style="2" customWidth="1"/>
    <col min="13593" max="13593" width="18.85546875" style="2" customWidth="1"/>
    <col min="13594" max="13594" width="25.140625" style="2" customWidth="1"/>
    <col min="13595" max="13595" width="23.28515625" style="2" customWidth="1"/>
    <col min="13596" max="13596" width="26.140625" style="2" customWidth="1"/>
    <col min="13597" max="13597" width="23.28515625" style="2" customWidth="1"/>
    <col min="13598" max="13598" width="18.28515625" style="2" customWidth="1"/>
    <col min="13599" max="13824" width="9.140625" style="2"/>
    <col min="13825" max="13825" width="12.7109375" style="2" customWidth="1"/>
    <col min="13826" max="13826" width="18" style="2" customWidth="1"/>
    <col min="13827" max="13829" width="16.42578125" style="2" customWidth="1"/>
    <col min="13830" max="13830" width="18" style="2" customWidth="1"/>
    <col min="13831" max="13831" width="16.42578125" style="2" customWidth="1"/>
    <col min="13832" max="13832" width="18" style="2" customWidth="1"/>
    <col min="13833" max="13833" width="16.42578125" style="2" customWidth="1"/>
    <col min="13834" max="13834" width="18" style="2" customWidth="1"/>
    <col min="13835" max="13837" width="16.42578125" style="2" customWidth="1"/>
    <col min="13838" max="13838" width="20.85546875" style="2" customWidth="1"/>
    <col min="13839" max="13839" width="19.28515625" style="2" customWidth="1"/>
    <col min="13840" max="13840" width="16.85546875" style="2" customWidth="1"/>
    <col min="13841" max="13841" width="15.28515625" style="2" customWidth="1"/>
    <col min="13842" max="13842" width="16.85546875" style="2" customWidth="1"/>
    <col min="13843" max="13843" width="15.28515625" style="2" customWidth="1"/>
    <col min="13844" max="13844" width="19.42578125" style="2" customWidth="1"/>
    <col min="13845" max="13845" width="16.28515625" style="2" customWidth="1"/>
    <col min="13846" max="13846" width="18" style="2" customWidth="1"/>
    <col min="13847" max="13847" width="14.85546875" style="2" customWidth="1"/>
    <col min="13848" max="13848" width="18.28515625" style="2" customWidth="1"/>
    <col min="13849" max="13849" width="18.85546875" style="2" customWidth="1"/>
    <col min="13850" max="13850" width="25.140625" style="2" customWidth="1"/>
    <col min="13851" max="13851" width="23.28515625" style="2" customWidth="1"/>
    <col min="13852" max="13852" width="26.140625" style="2" customWidth="1"/>
    <col min="13853" max="13853" width="23.28515625" style="2" customWidth="1"/>
    <col min="13854" max="13854" width="18.28515625" style="2" customWidth="1"/>
    <col min="13855" max="14080" width="9.140625" style="2"/>
    <col min="14081" max="14081" width="12.7109375" style="2" customWidth="1"/>
    <col min="14082" max="14082" width="18" style="2" customWidth="1"/>
    <col min="14083" max="14085" width="16.42578125" style="2" customWidth="1"/>
    <col min="14086" max="14086" width="18" style="2" customWidth="1"/>
    <col min="14087" max="14087" width="16.42578125" style="2" customWidth="1"/>
    <col min="14088" max="14088" width="18" style="2" customWidth="1"/>
    <col min="14089" max="14089" width="16.42578125" style="2" customWidth="1"/>
    <col min="14090" max="14090" width="18" style="2" customWidth="1"/>
    <col min="14091" max="14093" width="16.42578125" style="2" customWidth="1"/>
    <col min="14094" max="14094" width="20.85546875" style="2" customWidth="1"/>
    <col min="14095" max="14095" width="19.28515625" style="2" customWidth="1"/>
    <col min="14096" max="14096" width="16.85546875" style="2" customWidth="1"/>
    <col min="14097" max="14097" width="15.28515625" style="2" customWidth="1"/>
    <col min="14098" max="14098" width="16.85546875" style="2" customWidth="1"/>
    <col min="14099" max="14099" width="15.28515625" style="2" customWidth="1"/>
    <col min="14100" max="14100" width="19.42578125" style="2" customWidth="1"/>
    <col min="14101" max="14101" width="16.28515625" style="2" customWidth="1"/>
    <col min="14102" max="14102" width="18" style="2" customWidth="1"/>
    <col min="14103" max="14103" width="14.85546875" style="2" customWidth="1"/>
    <col min="14104" max="14104" width="18.28515625" style="2" customWidth="1"/>
    <col min="14105" max="14105" width="18.85546875" style="2" customWidth="1"/>
    <col min="14106" max="14106" width="25.140625" style="2" customWidth="1"/>
    <col min="14107" max="14107" width="23.28515625" style="2" customWidth="1"/>
    <col min="14108" max="14108" width="26.140625" style="2" customWidth="1"/>
    <col min="14109" max="14109" width="23.28515625" style="2" customWidth="1"/>
    <col min="14110" max="14110" width="18.28515625" style="2" customWidth="1"/>
    <col min="14111" max="14336" width="9.140625" style="2"/>
    <col min="14337" max="14337" width="12.7109375" style="2" customWidth="1"/>
    <col min="14338" max="14338" width="18" style="2" customWidth="1"/>
    <col min="14339" max="14341" width="16.42578125" style="2" customWidth="1"/>
    <col min="14342" max="14342" width="18" style="2" customWidth="1"/>
    <col min="14343" max="14343" width="16.42578125" style="2" customWidth="1"/>
    <col min="14344" max="14344" width="18" style="2" customWidth="1"/>
    <col min="14345" max="14345" width="16.42578125" style="2" customWidth="1"/>
    <col min="14346" max="14346" width="18" style="2" customWidth="1"/>
    <col min="14347" max="14349" width="16.42578125" style="2" customWidth="1"/>
    <col min="14350" max="14350" width="20.85546875" style="2" customWidth="1"/>
    <col min="14351" max="14351" width="19.28515625" style="2" customWidth="1"/>
    <col min="14352" max="14352" width="16.85546875" style="2" customWidth="1"/>
    <col min="14353" max="14353" width="15.28515625" style="2" customWidth="1"/>
    <col min="14354" max="14354" width="16.85546875" style="2" customWidth="1"/>
    <col min="14355" max="14355" width="15.28515625" style="2" customWidth="1"/>
    <col min="14356" max="14356" width="19.42578125" style="2" customWidth="1"/>
    <col min="14357" max="14357" width="16.28515625" style="2" customWidth="1"/>
    <col min="14358" max="14358" width="18" style="2" customWidth="1"/>
    <col min="14359" max="14359" width="14.85546875" style="2" customWidth="1"/>
    <col min="14360" max="14360" width="18.28515625" style="2" customWidth="1"/>
    <col min="14361" max="14361" width="18.85546875" style="2" customWidth="1"/>
    <col min="14362" max="14362" width="25.140625" style="2" customWidth="1"/>
    <col min="14363" max="14363" width="23.28515625" style="2" customWidth="1"/>
    <col min="14364" max="14364" width="26.140625" style="2" customWidth="1"/>
    <col min="14365" max="14365" width="23.28515625" style="2" customWidth="1"/>
    <col min="14366" max="14366" width="18.28515625" style="2" customWidth="1"/>
    <col min="14367" max="14592" width="9.140625" style="2"/>
    <col min="14593" max="14593" width="12.7109375" style="2" customWidth="1"/>
    <col min="14594" max="14594" width="18" style="2" customWidth="1"/>
    <col min="14595" max="14597" width="16.42578125" style="2" customWidth="1"/>
    <col min="14598" max="14598" width="18" style="2" customWidth="1"/>
    <col min="14599" max="14599" width="16.42578125" style="2" customWidth="1"/>
    <col min="14600" max="14600" width="18" style="2" customWidth="1"/>
    <col min="14601" max="14601" width="16.42578125" style="2" customWidth="1"/>
    <col min="14602" max="14602" width="18" style="2" customWidth="1"/>
    <col min="14603" max="14605" width="16.42578125" style="2" customWidth="1"/>
    <col min="14606" max="14606" width="20.85546875" style="2" customWidth="1"/>
    <col min="14607" max="14607" width="19.28515625" style="2" customWidth="1"/>
    <col min="14608" max="14608" width="16.85546875" style="2" customWidth="1"/>
    <col min="14609" max="14609" width="15.28515625" style="2" customWidth="1"/>
    <col min="14610" max="14610" width="16.85546875" style="2" customWidth="1"/>
    <col min="14611" max="14611" width="15.28515625" style="2" customWidth="1"/>
    <col min="14612" max="14612" width="19.42578125" style="2" customWidth="1"/>
    <col min="14613" max="14613" width="16.28515625" style="2" customWidth="1"/>
    <col min="14614" max="14614" width="18" style="2" customWidth="1"/>
    <col min="14615" max="14615" width="14.85546875" style="2" customWidth="1"/>
    <col min="14616" max="14616" width="18.28515625" style="2" customWidth="1"/>
    <col min="14617" max="14617" width="18.85546875" style="2" customWidth="1"/>
    <col min="14618" max="14618" width="25.140625" style="2" customWidth="1"/>
    <col min="14619" max="14619" width="23.28515625" style="2" customWidth="1"/>
    <col min="14620" max="14620" width="26.140625" style="2" customWidth="1"/>
    <col min="14621" max="14621" width="23.28515625" style="2" customWidth="1"/>
    <col min="14622" max="14622" width="18.28515625" style="2" customWidth="1"/>
    <col min="14623" max="14848" width="9.140625" style="2"/>
    <col min="14849" max="14849" width="12.7109375" style="2" customWidth="1"/>
    <col min="14850" max="14850" width="18" style="2" customWidth="1"/>
    <col min="14851" max="14853" width="16.42578125" style="2" customWidth="1"/>
    <col min="14854" max="14854" width="18" style="2" customWidth="1"/>
    <col min="14855" max="14855" width="16.42578125" style="2" customWidth="1"/>
    <col min="14856" max="14856" width="18" style="2" customWidth="1"/>
    <col min="14857" max="14857" width="16.42578125" style="2" customWidth="1"/>
    <col min="14858" max="14858" width="18" style="2" customWidth="1"/>
    <col min="14859" max="14861" width="16.42578125" style="2" customWidth="1"/>
    <col min="14862" max="14862" width="20.85546875" style="2" customWidth="1"/>
    <col min="14863" max="14863" width="19.28515625" style="2" customWidth="1"/>
    <col min="14864" max="14864" width="16.85546875" style="2" customWidth="1"/>
    <col min="14865" max="14865" width="15.28515625" style="2" customWidth="1"/>
    <col min="14866" max="14866" width="16.85546875" style="2" customWidth="1"/>
    <col min="14867" max="14867" width="15.28515625" style="2" customWidth="1"/>
    <col min="14868" max="14868" width="19.42578125" style="2" customWidth="1"/>
    <col min="14869" max="14869" width="16.28515625" style="2" customWidth="1"/>
    <col min="14870" max="14870" width="18" style="2" customWidth="1"/>
    <col min="14871" max="14871" width="14.85546875" style="2" customWidth="1"/>
    <col min="14872" max="14872" width="18.28515625" style="2" customWidth="1"/>
    <col min="14873" max="14873" width="18.85546875" style="2" customWidth="1"/>
    <col min="14874" max="14874" width="25.140625" style="2" customWidth="1"/>
    <col min="14875" max="14875" width="23.28515625" style="2" customWidth="1"/>
    <col min="14876" max="14876" width="26.140625" style="2" customWidth="1"/>
    <col min="14877" max="14877" width="23.28515625" style="2" customWidth="1"/>
    <col min="14878" max="14878" width="18.28515625" style="2" customWidth="1"/>
    <col min="14879" max="15104" width="9.140625" style="2"/>
    <col min="15105" max="15105" width="12.7109375" style="2" customWidth="1"/>
    <col min="15106" max="15106" width="18" style="2" customWidth="1"/>
    <col min="15107" max="15109" width="16.42578125" style="2" customWidth="1"/>
    <col min="15110" max="15110" width="18" style="2" customWidth="1"/>
    <col min="15111" max="15111" width="16.42578125" style="2" customWidth="1"/>
    <col min="15112" max="15112" width="18" style="2" customWidth="1"/>
    <col min="15113" max="15113" width="16.42578125" style="2" customWidth="1"/>
    <col min="15114" max="15114" width="18" style="2" customWidth="1"/>
    <col min="15115" max="15117" width="16.42578125" style="2" customWidth="1"/>
    <col min="15118" max="15118" width="20.85546875" style="2" customWidth="1"/>
    <col min="15119" max="15119" width="19.28515625" style="2" customWidth="1"/>
    <col min="15120" max="15120" width="16.85546875" style="2" customWidth="1"/>
    <col min="15121" max="15121" width="15.28515625" style="2" customWidth="1"/>
    <col min="15122" max="15122" width="16.85546875" style="2" customWidth="1"/>
    <col min="15123" max="15123" width="15.28515625" style="2" customWidth="1"/>
    <col min="15124" max="15124" width="19.42578125" style="2" customWidth="1"/>
    <col min="15125" max="15125" width="16.28515625" style="2" customWidth="1"/>
    <col min="15126" max="15126" width="18" style="2" customWidth="1"/>
    <col min="15127" max="15127" width="14.85546875" style="2" customWidth="1"/>
    <col min="15128" max="15128" width="18.28515625" style="2" customWidth="1"/>
    <col min="15129" max="15129" width="18.85546875" style="2" customWidth="1"/>
    <col min="15130" max="15130" width="25.140625" style="2" customWidth="1"/>
    <col min="15131" max="15131" width="23.28515625" style="2" customWidth="1"/>
    <col min="15132" max="15132" width="26.140625" style="2" customWidth="1"/>
    <col min="15133" max="15133" width="23.28515625" style="2" customWidth="1"/>
    <col min="15134" max="15134" width="18.28515625" style="2" customWidth="1"/>
    <col min="15135" max="15360" width="9.140625" style="2"/>
    <col min="15361" max="15361" width="12.7109375" style="2" customWidth="1"/>
    <col min="15362" max="15362" width="18" style="2" customWidth="1"/>
    <col min="15363" max="15365" width="16.42578125" style="2" customWidth="1"/>
    <col min="15366" max="15366" width="18" style="2" customWidth="1"/>
    <col min="15367" max="15367" width="16.42578125" style="2" customWidth="1"/>
    <col min="15368" max="15368" width="18" style="2" customWidth="1"/>
    <col min="15369" max="15369" width="16.42578125" style="2" customWidth="1"/>
    <col min="15370" max="15370" width="18" style="2" customWidth="1"/>
    <col min="15371" max="15373" width="16.42578125" style="2" customWidth="1"/>
    <col min="15374" max="15374" width="20.85546875" style="2" customWidth="1"/>
    <col min="15375" max="15375" width="19.28515625" style="2" customWidth="1"/>
    <col min="15376" max="15376" width="16.85546875" style="2" customWidth="1"/>
    <col min="15377" max="15377" width="15.28515625" style="2" customWidth="1"/>
    <col min="15378" max="15378" width="16.85546875" style="2" customWidth="1"/>
    <col min="15379" max="15379" width="15.28515625" style="2" customWidth="1"/>
    <col min="15380" max="15380" width="19.42578125" style="2" customWidth="1"/>
    <col min="15381" max="15381" width="16.28515625" style="2" customWidth="1"/>
    <col min="15382" max="15382" width="18" style="2" customWidth="1"/>
    <col min="15383" max="15383" width="14.85546875" style="2" customWidth="1"/>
    <col min="15384" max="15384" width="18.28515625" style="2" customWidth="1"/>
    <col min="15385" max="15385" width="18.85546875" style="2" customWidth="1"/>
    <col min="15386" max="15386" width="25.140625" style="2" customWidth="1"/>
    <col min="15387" max="15387" width="23.28515625" style="2" customWidth="1"/>
    <col min="15388" max="15388" width="26.140625" style="2" customWidth="1"/>
    <col min="15389" max="15389" width="23.28515625" style="2" customWidth="1"/>
    <col min="15390" max="15390" width="18.28515625" style="2" customWidth="1"/>
    <col min="15391" max="15616" width="9.140625" style="2"/>
    <col min="15617" max="15617" width="12.7109375" style="2" customWidth="1"/>
    <col min="15618" max="15618" width="18" style="2" customWidth="1"/>
    <col min="15619" max="15621" width="16.42578125" style="2" customWidth="1"/>
    <col min="15622" max="15622" width="18" style="2" customWidth="1"/>
    <col min="15623" max="15623" width="16.42578125" style="2" customWidth="1"/>
    <col min="15624" max="15624" width="18" style="2" customWidth="1"/>
    <col min="15625" max="15625" width="16.42578125" style="2" customWidth="1"/>
    <col min="15626" max="15626" width="18" style="2" customWidth="1"/>
    <col min="15627" max="15629" width="16.42578125" style="2" customWidth="1"/>
    <col min="15630" max="15630" width="20.85546875" style="2" customWidth="1"/>
    <col min="15631" max="15631" width="19.28515625" style="2" customWidth="1"/>
    <col min="15632" max="15632" width="16.85546875" style="2" customWidth="1"/>
    <col min="15633" max="15633" width="15.28515625" style="2" customWidth="1"/>
    <col min="15634" max="15634" width="16.85546875" style="2" customWidth="1"/>
    <col min="15635" max="15635" width="15.28515625" style="2" customWidth="1"/>
    <col min="15636" max="15636" width="19.42578125" style="2" customWidth="1"/>
    <col min="15637" max="15637" width="16.28515625" style="2" customWidth="1"/>
    <col min="15638" max="15638" width="18" style="2" customWidth="1"/>
    <col min="15639" max="15639" width="14.85546875" style="2" customWidth="1"/>
    <col min="15640" max="15640" width="18.28515625" style="2" customWidth="1"/>
    <col min="15641" max="15641" width="18.85546875" style="2" customWidth="1"/>
    <col min="15642" max="15642" width="25.140625" style="2" customWidth="1"/>
    <col min="15643" max="15643" width="23.28515625" style="2" customWidth="1"/>
    <col min="15644" max="15644" width="26.140625" style="2" customWidth="1"/>
    <col min="15645" max="15645" width="23.28515625" style="2" customWidth="1"/>
    <col min="15646" max="15646" width="18.28515625" style="2" customWidth="1"/>
    <col min="15647" max="15872" width="9.140625" style="2"/>
    <col min="15873" max="15873" width="12.7109375" style="2" customWidth="1"/>
    <col min="15874" max="15874" width="18" style="2" customWidth="1"/>
    <col min="15875" max="15877" width="16.42578125" style="2" customWidth="1"/>
    <col min="15878" max="15878" width="18" style="2" customWidth="1"/>
    <col min="15879" max="15879" width="16.42578125" style="2" customWidth="1"/>
    <col min="15880" max="15880" width="18" style="2" customWidth="1"/>
    <col min="15881" max="15881" width="16.42578125" style="2" customWidth="1"/>
    <col min="15882" max="15882" width="18" style="2" customWidth="1"/>
    <col min="15883" max="15885" width="16.42578125" style="2" customWidth="1"/>
    <col min="15886" max="15886" width="20.85546875" style="2" customWidth="1"/>
    <col min="15887" max="15887" width="19.28515625" style="2" customWidth="1"/>
    <col min="15888" max="15888" width="16.85546875" style="2" customWidth="1"/>
    <col min="15889" max="15889" width="15.28515625" style="2" customWidth="1"/>
    <col min="15890" max="15890" width="16.85546875" style="2" customWidth="1"/>
    <col min="15891" max="15891" width="15.28515625" style="2" customWidth="1"/>
    <col min="15892" max="15892" width="19.42578125" style="2" customWidth="1"/>
    <col min="15893" max="15893" width="16.28515625" style="2" customWidth="1"/>
    <col min="15894" max="15894" width="18" style="2" customWidth="1"/>
    <col min="15895" max="15895" width="14.85546875" style="2" customWidth="1"/>
    <col min="15896" max="15896" width="18.28515625" style="2" customWidth="1"/>
    <col min="15897" max="15897" width="18.85546875" style="2" customWidth="1"/>
    <col min="15898" max="15898" width="25.140625" style="2" customWidth="1"/>
    <col min="15899" max="15899" width="23.28515625" style="2" customWidth="1"/>
    <col min="15900" max="15900" width="26.140625" style="2" customWidth="1"/>
    <col min="15901" max="15901" width="23.28515625" style="2" customWidth="1"/>
    <col min="15902" max="15902" width="18.28515625" style="2" customWidth="1"/>
    <col min="15903" max="16128" width="9.140625" style="2"/>
    <col min="16129" max="16129" width="12.7109375" style="2" customWidth="1"/>
    <col min="16130" max="16130" width="18" style="2" customWidth="1"/>
    <col min="16131" max="16133" width="16.42578125" style="2" customWidth="1"/>
    <col min="16134" max="16134" width="18" style="2" customWidth="1"/>
    <col min="16135" max="16135" width="16.42578125" style="2" customWidth="1"/>
    <col min="16136" max="16136" width="18" style="2" customWidth="1"/>
    <col min="16137" max="16137" width="16.42578125" style="2" customWidth="1"/>
    <col min="16138" max="16138" width="18" style="2" customWidth="1"/>
    <col min="16139" max="16141" width="16.42578125" style="2" customWidth="1"/>
    <col min="16142" max="16142" width="20.85546875" style="2" customWidth="1"/>
    <col min="16143" max="16143" width="19.28515625" style="2" customWidth="1"/>
    <col min="16144" max="16144" width="16.85546875" style="2" customWidth="1"/>
    <col min="16145" max="16145" width="15.28515625" style="2" customWidth="1"/>
    <col min="16146" max="16146" width="16.85546875" style="2" customWidth="1"/>
    <col min="16147" max="16147" width="15.28515625" style="2" customWidth="1"/>
    <col min="16148" max="16148" width="19.42578125" style="2" customWidth="1"/>
    <col min="16149" max="16149" width="16.28515625" style="2" customWidth="1"/>
    <col min="16150" max="16150" width="18" style="2" customWidth="1"/>
    <col min="16151" max="16151" width="14.85546875" style="2" customWidth="1"/>
    <col min="16152" max="16152" width="18.28515625" style="2" customWidth="1"/>
    <col min="16153" max="16153" width="18.85546875" style="2" customWidth="1"/>
    <col min="16154" max="16154" width="25.140625" style="2" customWidth="1"/>
    <col min="16155" max="16155" width="23.28515625" style="2" customWidth="1"/>
    <col min="16156" max="16156" width="26.140625" style="2" customWidth="1"/>
    <col min="16157" max="16157" width="23.28515625" style="2" customWidth="1"/>
    <col min="16158" max="16158" width="18.28515625" style="2" customWidth="1"/>
    <col min="16159" max="16384" width="9.140625" style="2"/>
  </cols>
  <sheetData>
    <row r="1" spans="1:30" ht="19.5" x14ac:dyDescent="0.4">
      <c r="A1" s="313"/>
      <c r="B1" s="313"/>
      <c r="C1" s="313"/>
      <c r="D1" s="313"/>
      <c r="E1" s="313"/>
      <c r="F1" s="313"/>
      <c r="G1" s="313"/>
    </row>
    <row r="2" spans="1:30" ht="19.5" x14ac:dyDescent="0.4">
      <c r="A2" s="313"/>
      <c r="B2" s="313"/>
      <c r="C2" s="313"/>
      <c r="D2" s="313"/>
      <c r="E2" s="313"/>
      <c r="F2" s="313"/>
      <c r="G2" s="313"/>
    </row>
    <row r="3" spans="1:30" ht="19.5" x14ac:dyDescent="0.4">
      <c r="A3" s="313" t="s">
        <v>101</v>
      </c>
      <c r="B3" s="313"/>
      <c r="C3" s="313"/>
      <c r="D3" s="313"/>
      <c r="E3" s="313"/>
      <c r="F3" s="313"/>
      <c r="G3" s="313"/>
    </row>
    <row r="4" spans="1:30" ht="19.5" x14ac:dyDescent="0.4">
      <c r="A4" s="313" t="s">
        <v>102</v>
      </c>
      <c r="B4" s="313"/>
      <c r="C4" s="313"/>
      <c r="D4" s="313"/>
      <c r="E4" s="313"/>
      <c r="F4" s="313"/>
      <c r="G4" s="313"/>
    </row>
    <row r="5" spans="1:30" ht="18.75" x14ac:dyDescent="0.4">
      <c r="A5" s="5"/>
      <c r="B5" s="5"/>
      <c r="C5" s="5"/>
      <c r="D5" s="5"/>
      <c r="E5" s="5"/>
      <c r="F5" s="5"/>
      <c r="G5" s="5"/>
    </row>
    <row r="6" spans="1:30" ht="18.75" x14ac:dyDescent="0.4">
      <c r="A6" s="4"/>
      <c r="B6" s="336" t="s">
        <v>1</v>
      </c>
      <c r="C6" s="337"/>
      <c r="D6" s="336" t="s">
        <v>39</v>
      </c>
      <c r="E6" s="338"/>
      <c r="F6" s="336" t="s">
        <v>2</v>
      </c>
      <c r="G6" s="338"/>
      <c r="H6" s="336" t="s">
        <v>40</v>
      </c>
      <c r="I6" s="337"/>
      <c r="J6" s="336" t="s">
        <v>3</v>
      </c>
      <c r="K6" s="337"/>
      <c r="L6" s="336" t="s">
        <v>4</v>
      </c>
      <c r="M6" s="338"/>
      <c r="N6" s="336" t="s">
        <v>5</v>
      </c>
      <c r="O6" s="338"/>
      <c r="P6" s="336" t="s">
        <v>41</v>
      </c>
      <c r="Q6" s="338"/>
      <c r="R6" s="336" t="s">
        <v>42</v>
      </c>
      <c r="S6" s="338"/>
      <c r="T6" s="336" t="s">
        <v>43</v>
      </c>
      <c r="U6" s="337"/>
      <c r="V6" s="336" t="s">
        <v>44</v>
      </c>
      <c r="W6" s="337"/>
      <c r="X6" s="336" t="s">
        <v>45</v>
      </c>
      <c r="Y6" s="337"/>
      <c r="Z6" s="336" t="s">
        <v>103</v>
      </c>
      <c r="AA6" s="338"/>
      <c r="AB6" s="19">
        <v>2014</v>
      </c>
      <c r="AC6" s="19">
        <v>2013</v>
      </c>
      <c r="AD6" s="4">
        <v>2014</v>
      </c>
    </row>
    <row r="7" spans="1:30" ht="18.75" x14ac:dyDescent="0.4">
      <c r="A7" s="4" t="s">
        <v>57</v>
      </c>
      <c r="B7" s="4" t="s">
        <v>49</v>
      </c>
      <c r="C7" s="4" t="s">
        <v>50</v>
      </c>
      <c r="D7" s="4" t="s">
        <v>49</v>
      </c>
      <c r="E7" s="4" t="s">
        <v>50</v>
      </c>
      <c r="F7" s="4" t="s">
        <v>49</v>
      </c>
      <c r="G7" s="4" t="s">
        <v>50</v>
      </c>
      <c r="H7" s="4" t="s">
        <v>49</v>
      </c>
      <c r="I7" s="4" t="s">
        <v>50</v>
      </c>
      <c r="J7" s="4" t="s">
        <v>49</v>
      </c>
      <c r="K7" s="4" t="s">
        <v>50</v>
      </c>
      <c r="L7" s="4" t="s">
        <v>49</v>
      </c>
      <c r="M7" s="4" t="s">
        <v>50</v>
      </c>
      <c r="N7" s="4" t="s">
        <v>49</v>
      </c>
      <c r="O7" s="4" t="s">
        <v>50</v>
      </c>
      <c r="P7" s="4" t="s">
        <v>49</v>
      </c>
      <c r="Q7" s="4" t="s">
        <v>50</v>
      </c>
      <c r="R7" s="4" t="s">
        <v>49</v>
      </c>
      <c r="S7" s="4" t="s">
        <v>50</v>
      </c>
      <c r="T7" s="4" t="s">
        <v>49</v>
      </c>
      <c r="U7" s="4" t="s">
        <v>50</v>
      </c>
      <c r="V7" s="4" t="s">
        <v>49</v>
      </c>
      <c r="W7" s="4" t="s">
        <v>50</v>
      </c>
      <c r="X7" s="4" t="s">
        <v>49</v>
      </c>
      <c r="Y7" s="4" t="s">
        <v>50</v>
      </c>
      <c r="Z7" s="18" t="s">
        <v>49</v>
      </c>
      <c r="AA7" s="18" t="s">
        <v>50</v>
      </c>
      <c r="AB7" s="18" t="s">
        <v>47</v>
      </c>
      <c r="AC7" s="4" t="s">
        <v>47</v>
      </c>
      <c r="AD7" s="4" t="s">
        <v>6</v>
      </c>
    </row>
    <row r="8" spans="1:30" ht="19.5" x14ac:dyDescent="0.4">
      <c r="A8" s="4" t="s">
        <v>104</v>
      </c>
      <c r="B8" s="239">
        <v>10463357.560000001</v>
      </c>
      <c r="C8" s="239">
        <v>2087701.71</v>
      </c>
      <c r="D8" s="239">
        <v>7909033.8499999996</v>
      </c>
      <c r="E8" s="239">
        <v>3597286.43</v>
      </c>
      <c r="F8" s="239">
        <v>10261305.09</v>
      </c>
      <c r="G8" s="239">
        <v>3759579</v>
      </c>
      <c r="H8" s="239">
        <v>9309385</v>
      </c>
      <c r="I8" s="239">
        <v>3777769</v>
      </c>
      <c r="J8" s="239">
        <v>10343848.24</v>
      </c>
      <c r="K8" s="239">
        <v>4772167.71</v>
      </c>
      <c r="L8" s="239">
        <v>8920333.2699999996</v>
      </c>
      <c r="M8" s="239">
        <v>5102354.9800000004</v>
      </c>
      <c r="N8" s="240">
        <v>11349630.9</v>
      </c>
      <c r="O8" s="240">
        <v>9019532</v>
      </c>
      <c r="P8" s="232">
        <v>9481701</v>
      </c>
      <c r="Q8" s="232">
        <v>3894698</v>
      </c>
      <c r="R8" s="232">
        <f>6435589.27+4028035</f>
        <v>10463624.27</v>
      </c>
      <c r="S8" s="232">
        <f>1608441+2397051.29+718</f>
        <v>4006210.29</v>
      </c>
      <c r="T8" s="22">
        <v>10308022.949999999</v>
      </c>
      <c r="U8" s="12">
        <v>3633764</v>
      </c>
      <c r="V8" s="22">
        <v>10716110.52</v>
      </c>
      <c r="W8" s="12">
        <v>6640105.71</v>
      </c>
      <c r="X8" s="24">
        <v>8629942.7400000002</v>
      </c>
      <c r="Y8" s="24">
        <v>4373094</v>
      </c>
      <c r="Z8" s="22">
        <f t="shared" ref="Z8:AA12" si="0">B8+D8+F8+H8+J8+L8+N8+P8+R8+T8+V8+X8</f>
        <v>118156295.39</v>
      </c>
      <c r="AA8" s="22">
        <f t="shared" si="0"/>
        <v>54664262.829999998</v>
      </c>
      <c r="AB8" s="22">
        <f>SUM(Z8:AA8)</f>
        <v>172820558.22</v>
      </c>
      <c r="AC8" s="239">
        <v>187122868.69999999</v>
      </c>
      <c r="AD8" s="22">
        <f>(AB8-AC8)*100/AC8</f>
        <v>-7.6432723479297486</v>
      </c>
    </row>
    <row r="9" spans="1:30" ht="19.5" x14ac:dyDescent="0.4">
      <c r="A9" s="4" t="s">
        <v>58</v>
      </c>
      <c r="B9" s="239">
        <v>247008</v>
      </c>
      <c r="C9" s="239">
        <v>27310.5</v>
      </c>
      <c r="D9" s="239">
        <v>261126</v>
      </c>
      <c r="E9" s="239">
        <v>27822.5</v>
      </c>
      <c r="F9" s="239">
        <v>268144</v>
      </c>
      <c r="G9" s="239">
        <v>28022.5</v>
      </c>
      <c r="H9" s="239">
        <v>274322</v>
      </c>
      <c r="I9" s="239">
        <v>29164</v>
      </c>
      <c r="J9" s="239">
        <v>281277</v>
      </c>
      <c r="K9" s="239">
        <v>30224</v>
      </c>
      <c r="L9" s="239">
        <f>367441.5</f>
        <v>367441.5</v>
      </c>
      <c r="M9" s="239">
        <v>54224.5</v>
      </c>
      <c r="N9" s="240">
        <v>314118.3</v>
      </c>
      <c r="O9" s="240">
        <v>23214.5</v>
      </c>
      <c r="P9" s="232">
        <v>322104</v>
      </c>
      <c r="Q9" s="232">
        <v>27104</v>
      </c>
      <c r="R9" s="232">
        <v>346011</v>
      </c>
      <c r="S9" s="232">
        <v>27934.5</v>
      </c>
      <c r="T9" s="22">
        <v>351277</v>
      </c>
      <c r="U9" s="12">
        <v>38821</v>
      </c>
      <c r="V9" s="22">
        <v>353128</v>
      </c>
      <c r="W9" s="12">
        <v>38790</v>
      </c>
      <c r="X9" s="24">
        <v>357221</v>
      </c>
      <c r="Y9" s="24">
        <v>39240</v>
      </c>
      <c r="Z9" s="22">
        <f>B9+D9+F9+H9+J9+L9+N9+P9+R9+T9+V9+X9</f>
        <v>3743177.8</v>
      </c>
      <c r="AA9" s="22">
        <f>C9+E9+G9+I9+K9+M9+O9+Q9+S9+U9+W9+Y9</f>
        <v>391872</v>
      </c>
      <c r="AB9" s="22">
        <f>SUM(Z9:AA9)</f>
        <v>4135049.8</v>
      </c>
      <c r="AC9" s="239">
        <v>4620440.9000000004</v>
      </c>
      <c r="AD9" s="22">
        <f>(AB9-AC9)*100/AC9</f>
        <v>-10.505298314712793</v>
      </c>
    </row>
    <row r="10" spans="1:30" ht="19.5" x14ac:dyDescent="0.4">
      <c r="A10" s="4" t="s">
        <v>105</v>
      </c>
      <c r="B10" s="239">
        <v>48814</v>
      </c>
      <c r="C10" s="239">
        <v>473687</v>
      </c>
      <c r="D10" s="239">
        <v>442951</v>
      </c>
      <c r="E10" s="239">
        <v>89618</v>
      </c>
      <c r="F10" s="239">
        <v>630858</v>
      </c>
      <c r="G10" s="239">
        <v>52058</v>
      </c>
      <c r="H10" s="239">
        <v>472013</v>
      </c>
      <c r="I10" s="239">
        <v>27025</v>
      </c>
      <c r="J10" s="239">
        <v>541134</v>
      </c>
      <c r="K10" s="239">
        <v>66437</v>
      </c>
      <c r="L10" s="239">
        <v>35808</v>
      </c>
      <c r="M10" s="239">
        <v>549339</v>
      </c>
      <c r="N10" s="240">
        <v>597813</v>
      </c>
      <c r="O10" s="240">
        <v>741123</v>
      </c>
      <c r="P10" s="232">
        <v>651004</v>
      </c>
      <c r="Q10" s="232">
        <v>41442</v>
      </c>
      <c r="R10" s="232">
        <v>41732</v>
      </c>
      <c r="S10" s="232">
        <v>706135</v>
      </c>
      <c r="T10" s="22">
        <v>554249</v>
      </c>
      <c r="U10" s="12">
        <v>146159</v>
      </c>
      <c r="V10" s="22">
        <f>55569+4197</f>
        <v>59766</v>
      </c>
      <c r="W10" s="12">
        <f>54100+3427</f>
        <v>57527</v>
      </c>
      <c r="X10" s="12">
        <v>66364</v>
      </c>
      <c r="Y10" s="12">
        <v>59804</v>
      </c>
      <c r="Z10" s="22">
        <f>B10+D10+F10+H10+J10+L10+N10+P10+R10+T10+V10+X10</f>
        <v>4142506</v>
      </c>
      <c r="AA10" s="22">
        <f>C10+E10+G10+I10+K10+M10+O10+Q10+S10+U10+W10+Y10</f>
        <v>3010354</v>
      </c>
      <c r="AB10" s="22">
        <f>SUM(Z10:AA10)</f>
        <v>7152860</v>
      </c>
      <c r="AC10" s="239">
        <v>8768792</v>
      </c>
      <c r="AD10" s="22">
        <f>(AB10-AC10)*100/AC10</f>
        <v>-18.428216794285916</v>
      </c>
    </row>
    <row r="11" spans="1:30" ht="19.5" x14ac:dyDescent="0.4">
      <c r="A11" s="4" t="s">
        <v>71</v>
      </c>
      <c r="B11" s="239">
        <v>393134</v>
      </c>
      <c r="C11" s="239">
        <v>23099</v>
      </c>
      <c r="D11" s="239">
        <v>417604</v>
      </c>
      <c r="E11" s="239">
        <v>34820</v>
      </c>
      <c r="F11" s="239">
        <v>415110</v>
      </c>
      <c r="G11" s="239">
        <v>62515</v>
      </c>
      <c r="H11" s="239">
        <v>440321</v>
      </c>
      <c r="I11" s="239">
        <v>32417</v>
      </c>
      <c r="J11" s="239">
        <v>468273</v>
      </c>
      <c r="K11" s="239">
        <v>23101</v>
      </c>
      <c r="L11" s="239">
        <v>574380</v>
      </c>
      <c r="M11" s="239">
        <v>28993</v>
      </c>
      <c r="N11" s="240">
        <v>497238</v>
      </c>
      <c r="O11" s="240">
        <v>27262</v>
      </c>
      <c r="P11" s="232">
        <v>278703</v>
      </c>
      <c r="Q11" s="232">
        <v>13297</v>
      </c>
      <c r="R11" s="232">
        <v>277465</v>
      </c>
      <c r="S11" s="232">
        <v>33957</v>
      </c>
      <c r="T11" s="22">
        <v>484287</v>
      </c>
      <c r="U11" s="12">
        <v>29206</v>
      </c>
      <c r="V11" s="22">
        <v>497467</v>
      </c>
      <c r="W11" s="12">
        <v>18907</v>
      </c>
      <c r="X11" s="12">
        <v>525000</v>
      </c>
      <c r="Y11" s="12">
        <v>49388</v>
      </c>
      <c r="Z11" s="22">
        <f t="shared" si="0"/>
        <v>5268982</v>
      </c>
      <c r="AA11" s="22">
        <f t="shared" si="0"/>
        <v>376962</v>
      </c>
      <c r="AB11" s="22">
        <f>SUM(Z11:AA11)</f>
        <v>5645944</v>
      </c>
      <c r="AC11" s="239">
        <v>3592516.4</v>
      </c>
      <c r="AD11" s="22">
        <f>(AB11-AC11)*100/AC11</f>
        <v>57.158475323870476</v>
      </c>
    </row>
    <row r="12" spans="1:30" ht="19.5" x14ac:dyDescent="0.4">
      <c r="A12" s="4" t="s">
        <v>38</v>
      </c>
      <c r="B12" s="239">
        <f t="shared" ref="B12:Y12" si="1">SUM(B8:B11)</f>
        <v>11152313.560000001</v>
      </c>
      <c r="C12" s="239">
        <f t="shared" si="1"/>
        <v>2611798.21</v>
      </c>
      <c r="D12" s="239">
        <f t="shared" si="1"/>
        <v>9030714.8499999996</v>
      </c>
      <c r="E12" s="239">
        <f t="shared" si="1"/>
        <v>3749546.93</v>
      </c>
      <c r="F12" s="239">
        <f t="shared" si="1"/>
        <v>11575417.09</v>
      </c>
      <c r="G12" s="239">
        <f t="shared" si="1"/>
        <v>3902174.5</v>
      </c>
      <c r="H12" s="239">
        <f t="shared" si="1"/>
        <v>10496041</v>
      </c>
      <c r="I12" s="239">
        <f t="shared" si="1"/>
        <v>3866375</v>
      </c>
      <c r="J12" s="239">
        <f t="shared" si="1"/>
        <v>11634532.24</v>
      </c>
      <c r="K12" s="239">
        <f t="shared" si="1"/>
        <v>4891929.71</v>
      </c>
      <c r="L12" s="239">
        <f t="shared" si="1"/>
        <v>9897962.7699999996</v>
      </c>
      <c r="M12" s="239">
        <f t="shared" si="1"/>
        <v>5734911.4800000004</v>
      </c>
      <c r="N12" s="241">
        <f t="shared" si="1"/>
        <v>12758800.200000001</v>
      </c>
      <c r="O12" s="241">
        <f t="shared" si="1"/>
        <v>9811131.5</v>
      </c>
      <c r="P12" s="237">
        <f t="shared" si="1"/>
        <v>10733512</v>
      </c>
      <c r="Q12" s="237">
        <f t="shared" si="1"/>
        <v>3976541</v>
      </c>
      <c r="R12" s="237">
        <f t="shared" si="1"/>
        <v>11128832.27</v>
      </c>
      <c r="S12" s="237">
        <f t="shared" si="1"/>
        <v>4774236.79</v>
      </c>
      <c r="T12" s="23">
        <f t="shared" si="1"/>
        <v>11697835.949999999</v>
      </c>
      <c r="U12" s="14">
        <f t="shared" si="1"/>
        <v>3847950</v>
      </c>
      <c r="V12" s="23">
        <f t="shared" si="1"/>
        <v>11626471.52</v>
      </c>
      <c r="W12" s="14">
        <f t="shared" si="1"/>
        <v>6755329.71</v>
      </c>
      <c r="X12" s="23">
        <f t="shared" si="1"/>
        <v>9578527.7400000002</v>
      </c>
      <c r="Y12" s="23">
        <f t="shared" si="1"/>
        <v>4521526</v>
      </c>
      <c r="Z12" s="22">
        <f t="shared" si="0"/>
        <v>131310961.19</v>
      </c>
      <c r="AA12" s="22">
        <f t="shared" si="0"/>
        <v>58443450.829999998</v>
      </c>
      <c r="AB12" s="23">
        <f>SUM(Z12:AA12)</f>
        <v>189754412.01999998</v>
      </c>
      <c r="AC12" s="242">
        <f>SUM(AC8:AC11)</f>
        <v>204104618</v>
      </c>
      <c r="AD12" s="22">
        <f>(AB12-AC12)*100/AC12</f>
        <v>-7.0308090628307189</v>
      </c>
    </row>
    <row r="13" spans="1:30" ht="18.75" x14ac:dyDescent="0.4">
      <c r="A13" s="5"/>
      <c r="B13" s="5"/>
      <c r="C13" s="5"/>
      <c r="D13" s="5"/>
      <c r="E13" s="5"/>
      <c r="F13" s="5"/>
      <c r="G13" s="5"/>
    </row>
    <row r="14" spans="1:30" ht="18.75" x14ac:dyDescent="0.4">
      <c r="A14" s="5"/>
      <c r="B14" s="244"/>
      <c r="C14" s="244"/>
      <c r="D14" s="244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244"/>
      <c r="R14" s="24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</row>
    <row r="15" spans="1:30" ht="18.75" x14ac:dyDescent="0.4">
      <c r="A15" s="5"/>
      <c r="B15" s="5"/>
      <c r="C15" s="5"/>
      <c r="D15" s="5"/>
      <c r="E15" s="5"/>
      <c r="F15" s="5"/>
      <c r="G15" s="5"/>
    </row>
    <row r="16" spans="1:30" ht="22.5" x14ac:dyDescent="0.45">
      <c r="A16" s="330" t="s">
        <v>106</v>
      </c>
      <c r="B16" s="330"/>
      <c r="C16" s="330"/>
      <c r="D16" s="330"/>
      <c r="E16" s="330"/>
      <c r="F16" s="330"/>
      <c r="G16" s="330"/>
    </row>
    <row r="17" spans="1:30" ht="18.75" x14ac:dyDescent="0.4">
      <c r="A17" s="5"/>
      <c r="B17" s="5"/>
      <c r="C17" s="5"/>
      <c r="D17" s="5"/>
      <c r="E17" s="5"/>
      <c r="F17" s="5"/>
      <c r="G17" s="5"/>
    </row>
    <row r="18" spans="1:30" ht="22.5" x14ac:dyDescent="0.45">
      <c r="A18" s="7"/>
      <c r="B18" s="314" t="s">
        <v>1</v>
      </c>
      <c r="C18" s="316"/>
      <c r="D18" s="314" t="s">
        <v>39</v>
      </c>
      <c r="E18" s="316"/>
      <c r="F18" s="314" t="s">
        <v>2</v>
      </c>
      <c r="G18" s="316"/>
      <c r="H18" s="314" t="s">
        <v>40</v>
      </c>
      <c r="I18" s="316"/>
      <c r="J18" s="314" t="s">
        <v>3</v>
      </c>
      <c r="K18" s="316"/>
      <c r="L18" s="314" t="s">
        <v>4</v>
      </c>
      <c r="M18" s="316"/>
      <c r="N18" s="314" t="s">
        <v>5</v>
      </c>
      <c r="O18" s="316"/>
      <c r="P18" s="314" t="s">
        <v>41</v>
      </c>
      <c r="Q18" s="316"/>
      <c r="R18" s="314" t="s">
        <v>42</v>
      </c>
      <c r="S18" s="316"/>
      <c r="T18" s="336" t="s">
        <v>43</v>
      </c>
      <c r="U18" s="337"/>
      <c r="V18" s="336" t="s">
        <v>44</v>
      </c>
      <c r="W18" s="337"/>
      <c r="X18" s="336" t="s">
        <v>45</v>
      </c>
      <c r="Y18" s="337"/>
      <c r="Z18" s="336" t="s">
        <v>103</v>
      </c>
      <c r="AA18" s="337"/>
      <c r="AB18" s="10">
        <v>2014</v>
      </c>
      <c r="AC18" s="11">
        <v>2013</v>
      </c>
      <c r="AD18" s="11">
        <v>2014</v>
      </c>
    </row>
    <row r="19" spans="1:30" ht="22.5" x14ac:dyDescent="0.45">
      <c r="A19" s="7" t="s">
        <v>57</v>
      </c>
      <c r="B19" s="7" t="s">
        <v>49</v>
      </c>
      <c r="C19" s="7" t="s">
        <v>50</v>
      </c>
      <c r="D19" s="7" t="s">
        <v>49</v>
      </c>
      <c r="E19" s="7" t="s">
        <v>50</v>
      </c>
      <c r="F19" s="7" t="s">
        <v>49</v>
      </c>
      <c r="G19" s="7" t="s">
        <v>50</v>
      </c>
      <c r="H19" s="7" t="s">
        <v>49</v>
      </c>
      <c r="I19" s="7" t="s">
        <v>50</v>
      </c>
      <c r="J19" s="7" t="s">
        <v>49</v>
      </c>
      <c r="K19" s="7" t="s">
        <v>50</v>
      </c>
      <c r="L19" s="7" t="s">
        <v>49</v>
      </c>
      <c r="M19" s="7" t="s">
        <v>50</v>
      </c>
      <c r="N19" s="7" t="s">
        <v>49</v>
      </c>
      <c r="O19" s="7" t="s">
        <v>50</v>
      </c>
      <c r="P19" s="7" t="s">
        <v>49</v>
      </c>
      <c r="Q19" s="7" t="s">
        <v>50</v>
      </c>
      <c r="R19" s="7" t="s">
        <v>49</v>
      </c>
      <c r="S19" s="7" t="s">
        <v>50</v>
      </c>
      <c r="T19" s="18" t="s">
        <v>49</v>
      </c>
      <c r="U19" s="18" t="s">
        <v>50</v>
      </c>
      <c r="V19" s="18" t="s">
        <v>49</v>
      </c>
      <c r="W19" s="18" t="s">
        <v>50</v>
      </c>
      <c r="X19" s="18" t="s">
        <v>49</v>
      </c>
      <c r="Y19" s="18" t="s">
        <v>50</v>
      </c>
      <c r="Z19" s="18" t="s">
        <v>49</v>
      </c>
      <c r="AA19" s="18" t="s">
        <v>50</v>
      </c>
      <c r="AB19" s="11" t="s">
        <v>47</v>
      </c>
      <c r="AC19" s="11" t="s">
        <v>47</v>
      </c>
      <c r="AD19" s="11" t="s">
        <v>6</v>
      </c>
    </row>
    <row r="20" spans="1:30" ht="18.75" x14ac:dyDescent="0.4">
      <c r="A20" s="4" t="s">
        <v>104</v>
      </c>
      <c r="B20" s="243">
        <v>117960</v>
      </c>
      <c r="C20" s="243">
        <v>23789</v>
      </c>
      <c r="D20" s="243">
        <v>133671</v>
      </c>
      <c r="E20" s="243">
        <v>33184</v>
      </c>
      <c r="F20" s="243">
        <v>138660.5</v>
      </c>
      <c r="G20" s="243">
        <v>42968</v>
      </c>
      <c r="H20" s="239">
        <v>130301.52</v>
      </c>
      <c r="I20" s="239">
        <v>25278</v>
      </c>
      <c r="J20" s="239">
        <v>146543</v>
      </c>
      <c r="K20" s="239">
        <v>24369</v>
      </c>
      <c r="L20" s="239">
        <v>132315</v>
      </c>
      <c r="M20" s="239">
        <v>28840</v>
      </c>
      <c r="N20" s="243">
        <v>148202.5</v>
      </c>
      <c r="O20" s="243">
        <v>21822</v>
      </c>
      <c r="P20" s="243">
        <v>123823</v>
      </c>
      <c r="Q20" s="243">
        <v>15673</v>
      </c>
      <c r="R20" s="243">
        <f>94831+34270</f>
        <v>129101</v>
      </c>
      <c r="S20" s="243">
        <f>1936+23282</f>
        <v>25218</v>
      </c>
      <c r="T20" s="22">
        <v>144238.65</v>
      </c>
      <c r="U20" s="22">
        <v>17191</v>
      </c>
      <c r="V20" s="22">
        <v>94859.85</v>
      </c>
      <c r="W20" s="22">
        <v>24684</v>
      </c>
      <c r="X20" s="22">
        <v>162349</v>
      </c>
      <c r="Y20" s="22">
        <v>26212</v>
      </c>
      <c r="Z20" s="22">
        <f t="shared" ref="Z20:AA24" si="2">B20+D20+F20+H20+J20+L20+N20+P20+R20+T20+V20+X20</f>
        <v>1602025.02</v>
      </c>
      <c r="AA20" s="22">
        <f t="shared" si="2"/>
        <v>309228</v>
      </c>
      <c r="AB20" s="22">
        <f>SUM(Z20:AA20)</f>
        <v>1911253.02</v>
      </c>
      <c r="AC20" s="239">
        <v>2870804.3</v>
      </c>
      <c r="AD20" s="22">
        <f>(AB20-AC20)*100/AC20</f>
        <v>-33.42447550325879</v>
      </c>
    </row>
    <row r="21" spans="1:30" ht="18.75" x14ac:dyDescent="0.4">
      <c r="A21" s="4" t="s">
        <v>58</v>
      </c>
      <c r="B21" s="243">
        <v>58611.5</v>
      </c>
      <c r="C21" s="243">
        <v>267690</v>
      </c>
      <c r="D21" s="243">
        <v>62013</v>
      </c>
      <c r="E21" s="243">
        <v>268463.5</v>
      </c>
      <c r="F21" s="243">
        <v>62515</v>
      </c>
      <c r="G21" s="243">
        <v>288236.5</v>
      </c>
      <c r="H21" s="239">
        <v>63418</v>
      </c>
      <c r="I21" s="239">
        <v>281222</v>
      </c>
      <c r="J21" s="239">
        <v>63713</v>
      </c>
      <c r="K21" s="239">
        <v>290618</v>
      </c>
      <c r="L21" s="239">
        <f>359626</f>
        <v>359626</v>
      </c>
      <c r="M21" s="239">
        <v>61249</v>
      </c>
      <c r="N21" s="243">
        <v>211700</v>
      </c>
      <c r="O21" s="243">
        <v>25243</v>
      </c>
      <c r="P21" s="243">
        <v>238429</v>
      </c>
      <c r="Q21" s="243">
        <v>24433</v>
      </c>
      <c r="R21" s="243">
        <v>246099</v>
      </c>
      <c r="S21" s="243">
        <v>25062</v>
      </c>
      <c r="T21" s="12">
        <v>54637</v>
      </c>
      <c r="U21" s="12">
        <v>374428</v>
      </c>
      <c r="V21" s="22">
        <v>27932</v>
      </c>
      <c r="W21" s="22">
        <v>380213.5</v>
      </c>
      <c r="X21" s="24">
        <v>28116</v>
      </c>
      <c r="Y21" s="24">
        <v>392443</v>
      </c>
      <c r="Z21" s="22">
        <f t="shared" si="2"/>
        <v>1476809.5</v>
      </c>
      <c r="AA21" s="22">
        <f t="shared" si="2"/>
        <v>2679301.5</v>
      </c>
      <c r="AB21" s="22">
        <f>SUM(Z21:AA21)</f>
        <v>4156111</v>
      </c>
      <c r="AC21" s="239">
        <v>3576181.6</v>
      </c>
      <c r="AD21" s="22">
        <f>(AB21-AC21)*100/AC21</f>
        <v>16.216441581154601</v>
      </c>
    </row>
    <row r="22" spans="1:30" ht="18.75" x14ac:dyDescent="0.4">
      <c r="A22" s="4" t="s">
        <v>105</v>
      </c>
      <c r="B22" s="243">
        <v>0</v>
      </c>
      <c r="C22" s="243">
        <v>0</v>
      </c>
      <c r="D22" s="243">
        <v>0</v>
      </c>
      <c r="E22" s="243">
        <v>0</v>
      </c>
      <c r="F22" s="243">
        <v>0</v>
      </c>
      <c r="G22" s="243">
        <v>0</v>
      </c>
      <c r="H22" s="239">
        <v>0</v>
      </c>
      <c r="I22" s="239">
        <v>0</v>
      </c>
      <c r="J22" s="239">
        <v>0</v>
      </c>
      <c r="K22" s="239">
        <v>0</v>
      </c>
      <c r="L22" s="239">
        <v>0</v>
      </c>
      <c r="M22" s="239">
        <v>0</v>
      </c>
      <c r="N22" s="243">
        <v>0</v>
      </c>
      <c r="O22" s="243">
        <v>0</v>
      </c>
      <c r="P22" s="243">
        <v>0</v>
      </c>
      <c r="Q22" s="243">
        <v>0</v>
      </c>
      <c r="R22" s="243">
        <v>0</v>
      </c>
      <c r="S22" s="243">
        <v>0</v>
      </c>
      <c r="T22" s="12">
        <v>0</v>
      </c>
      <c r="U22" s="12">
        <v>0</v>
      </c>
      <c r="V22" s="22">
        <v>0</v>
      </c>
      <c r="W22" s="22">
        <v>0</v>
      </c>
      <c r="X22" s="12">
        <v>0</v>
      </c>
      <c r="Y22" s="12">
        <v>0</v>
      </c>
      <c r="Z22" s="22">
        <f t="shared" si="2"/>
        <v>0</v>
      </c>
      <c r="AA22" s="22">
        <f t="shared" si="2"/>
        <v>0</v>
      </c>
      <c r="AB22" s="22">
        <f>SUM(Z22:AA22)</f>
        <v>0</v>
      </c>
      <c r="AC22" s="239">
        <v>1</v>
      </c>
      <c r="AD22" s="22">
        <f>(AB22-AC22)*100/AC22</f>
        <v>-100</v>
      </c>
    </row>
    <row r="23" spans="1:30" ht="18.75" x14ac:dyDescent="0.4">
      <c r="A23" s="4" t="s">
        <v>71</v>
      </c>
      <c r="B23" s="243">
        <v>0</v>
      </c>
      <c r="C23" s="243">
        <v>0</v>
      </c>
      <c r="D23" s="243">
        <v>0</v>
      </c>
      <c r="E23" s="243">
        <v>1381</v>
      </c>
      <c r="F23" s="243">
        <v>0</v>
      </c>
      <c r="G23" s="243">
        <v>0</v>
      </c>
      <c r="H23" s="239">
        <v>0</v>
      </c>
      <c r="I23" s="239">
        <v>1005</v>
      </c>
      <c r="J23" s="239">
        <v>1369</v>
      </c>
      <c r="K23" s="239">
        <v>2</v>
      </c>
      <c r="L23" s="239">
        <v>0</v>
      </c>
      <c r="M23" s="239">
        <v>0</v>
      </c>
      <c r="N23" s="243">
        <v>0</v>
      </c>
      <c r="O23" s="243">
        <v>1757</v>
      </c>
      <c r="P23" s="243">
        <v>0</v>
      </c>
      <c r="Q23" s="243">
        <v>1585</v>
      </c>
      <c r="R23" s="243">
        <v>1717</v>
      </c>
      <c r="S23" s="243">
        <v>0</v>
      </c>
      <c r="T23" s="12">
        <v>0</v>
      </c>
      <c r="U23" s="12">
        <v>2257</v>
      </c>
      <c r="V23" s="12">
        <v>0</v>
      </c>
      <c r="W23" s="12">
        <v>2231</v>
      </c>
      <c r="X23" s="12">
        <v>0</v>
      </c>
      <c r="Y23" s="12">
        <v>0</v>
      </c>
      <c r="Z23" s="22">
        <f t="shared" si="2"/>
        <v>3086</v>
      </c>
      <c r="AA23" s="22">
        <f t="shared" si="2"/>
        <v>10218</v>
      </c>
      <c r="AB23" s="22">
        <f>SUM(Z23:AA23)</f>
        <v>13304</v>
      </c>
      <c r="AC23" s="239">
        <v>5642.3</v>
      </c>
      <c r="AD23" s="22">
        <f>(AB23-AC23)*100/AC23</f>
        <v>135.79036917569076</v>
      </c>
    </row>
    <row r="24" spans="1:30" ht="19.5" x14ac:dyDescent="0.4">
      <c r="A24" s="4" t="s">
        <v>38</v>
      </c>
      <c r="B24" s="243">
        <f t="shared" ref="B24:Y24" si="3">SUM(B20:B23)</f>
        <v>176571.5</v>
      </c>
      <c r="C24" s="243">
        <f t="shared" si="3"/>
        <v>291479</v>
      </c>
      <c r="D24" s="243">
        <f t="shared" si="3"/>
        <v>195684</v>
      </c>
      <c r="E24" s="243">
        <f t="shared" si="3"/>
        <v>303028.5</v>
      </c>
      <c r="F24" s="243">
        <f t="shared" si="3"/>
        <v>201175.5</v>
      </c>
      <c r="G24" s="243">
        <f t="shared" si="3"/>
        <v>331204.5</v>
      </c>
      <c r="H24" s="239">
        <f t="shared" si="3"/>
        <v>193719.52000000002</v>
      </c>
      <c r="I24" s="239">
        <f t="shared" si="3"/>
        <v>307505</v>
      </c>
      <c r="J24" s="239">
        <f t="shared" si="3"/>
        <v>211625</v>
      </c>
      <c r="K24" s="239">
        <f t="shared" si="3"/>
        <v>314989</v>
      </c>
      <c r="L24" s="239">
        <f t="shared" si="3"/>
        <v>491941</v>
      </c>
      <c r="M24" s="239">
        <f t="shared" si="3"/>
        <v>90089</v>
      </c>
      <c r="N24" s="241">
        <f t="shared" si="3"/>
        <v>359902.5</v>
      </c>
      <c r="O24" s="241">
        <f t="shared" si="3"/>
        <v>48822</v>
      </c>
      <c r="P24" s="241">
        <f t="shared" si="3"/>
        <v>362252</v>
      </c>
      <c r="Q24" s="241">
        <f t="shared" si="3"/>
        <v>41691</v>
      </c>
      <c r="R24" s="241">
        <f t="shared" si="3"/>
        <v>376917</v>
      </c>
      <c r="S24" s="241">
        <f t="shared" si="3"/>
        <v>50280</v>
      </c>
      <c r="T24" s="14">
        <f t="shared" si="3"/>
        <v>198875.65</v>
      </c>
      <c r="U24" s="14">
        <f t="shared" si="3"/>
        <v>393876</v>
      </c>
      <c r="V24" s="23">
        <f t="shared" si="3"/>
        <v>122791.85</v>
      </c>
      <c r="W24" s="23">
        <f t="shared" si="3"/>
        <v>407128.5</v>
      </c>
      <c r="X24" s="14">
        <f t="shared" si="3"/>
        <v>190465</v>
      </c>
      <c r="Y24" s="14">
        <f t="shared" si="3"/>
        <v>418655</v>
      </c>
      <c r="Z24" s="22">
        <f t="shared" si="2"/>
        <v>3081920.52</v>
      </c>
      <c r="AA24" s="22">
        <f t="shared" si="2"/>
        <v>2998747.5</v>
      </c>
      <c r="AB24" s="23">
        <f>SUM(Z24:AA24)</f>
        <v>6080668.0199999996</v>
      </c>
      <c r="AC24" s="242">
        <f>SUM(AC20:AC23)</f>
        <v>6452629.2000000002</v>
      </c>
      <c r="AD24" s="22">
        <f>(AB24-AC24)*100/AC24</f>
        <v>-5.7644902329115792</v>
      </c>
    </row>
    <row r="26" spans="1:30" x14ac:dyDescent="0.25">
      <c r="B26" s="245"/>
      <c r="C26" s="245"/>
      <c r="D26" s="245"/>
      <c r="E26" s="245"/>
      <c r="F26" s="245"/>
      <c r="G26" s="245"/>
      <c r="H26" s="245"/>
      <c r="I26" s="245"/>
      <c r="J26" s="245"/>
      <c r="K26" s="245"/>
      <c r="L26" s="245"/>
      <c r="M26" s="245"/>
      <c r="N26" s="245"/>
      <c r="O26" s="245"/>
      <c r="P26" s="245"/>
      <c r="Q26" s="245"/>
      <c r="R26" s="245"/>
      <c r="S26" s="245"/>
      <c r="T26" s="245"/>
      <c r="U26" s="245"/>
      <c r="V26" s="245"/>
      <c r="W26" s="245"/>
      <c r="X26" s="245"/>
      <c r="Y26" s="245"/>
      <c r="Z26" s="245"/>
      <c r="AA26" s="245"/>
      <c r="AB26" s="245"/>
      <c r="AC26" s="245"/>
    </row>
  </sheetData>
  <mergeCells count="31">
    <mergeCell ref="A1:G1"/>
    <mergeCell ref="A2:G2"/>
    <mergeCell ref="A3:G3"/>
    <mergeCell ref="A4:G4"/>
    <mergeCell ref="B6:C6"/>
    <mergeCell ref="D6:E6"/>
    <mergeCell ref="F6:G6"/>
    <mergeCell ref="B18:C18"/>
    <mergeCell ref="D18:E18"/>
    <mergeCell ref="F18:G18"/>
    <mergeCell ref="H18:I18"/>
    <mergeCell ref="J18:K18"/>
    <mergeCell ref="T6:U6"/>
    <mergeCell ref="V6:W6"/>
    <mergeCell ref="X6:Y6"/>
    <mergeCell ref="Z6:AA6"/>
    <mergeCell ref="A16:G16"/>
    <mergeCell ref="H6:I6"/>
    <mergeCell ref="J6:K6"/>
    <mergeCell ref="L6:M6"/>
    <mergeCell ref="N6:O6"/>
    <mergeCell ref="P6:Q6"/>
    <mergeCell ref="R6:S6"/>
    <mergeCell ref="X18:Y18"/>
    <mergeCell ref="Z18:AA18"/>
    <mergeCell ref="L18:M18"/>
    <mergeCell ref="N18:O18"/>
    <mergeCell ref="P18:Q18"/>
    <mergeCell ref="R18:S18"/>
    <mergeCell ref="T18:U18"/>
    <mergeCell ref="V18:W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33"/>
  <sheetViews>
    <sheetView workbookViewId="0">
      <selection activeCell="A2" sqref="A2:M2"/>
    </sheetView>
  </sheetViews>
  <sheetFormatPr defaultRowHeight="15" x14ac:dyDescent="0.25"/>
  <cols>
    <col min="1" max="1" width="14.85546875" style="2" customWidth="1"/>
    <col min="2" max="2" width="18.7109375" style="2" customWidth="1"/>
    <col min="3" max="3" width="17.7109375" style="2" customWidth="1"/>
    <col min="4" max="4" width="17.140625" style="2" customWidth="1"/>
    <col min="5" max="7" width="17.7109375" style="2" customWidth="1"/>
    <col min="8" max="8" width="17.5703125" style="2" customWidth="1"/>
    <col min="9" max="10" width="17.140625" style="2" customWidth="1"/>
    <col min="11" max="11" width="16.7109375" style="2" customWidth="1"/>
    <col min="12" max="12" width="18.5703125" style="2" customWidth="1"/>
    <col min="13" max="13" width="19.28515625" style="2" customWidth="1"/>
    <col min="14" max="14" width="20.28515625" style="2" customWidth="1"/>
    <col min="15" max="15" width="23.140625" style="2" customWidth="1"/>
    <col min="16" max="16" width="16.42578125" style="2" customWidth="1"/>
    <col min="17" max="17" width="17.28515625" style="2" customWidth="1"/>
    <col min="18" max="18" width="16.42578125" style="2" customWidth="1"/>
    <col min="19" max="19" width="18.42578125" style="2" customWidth="1"/>
    <col min="20" max="20" width="19.7109375" style="2" customWidth="1"/>
    <col min="21" max="21" width="15.7109375" style="2" customWidth="1"/>
    <col min="22" max="22" width="21" style="2" customWidth="1"/>
    <col min="23" max="23" width="19.42578125" style="2" customWidth="1"/>
    <col min="24" max="24" width="20.28515625" style="2" customWidth="1"/>
    <col min="25" max="25" width="18.140625" style="2" customWidth="1"/>
    <col min="26" max="26" width="23" style="2" customWidth="1"/>
    <col min="27" max="27" width="18.7109375" style="2" customWidth="1"/>
    <col min="28" max="28" width="20.5703125" style="2" customWidth="1"/>
    <col min="29" max="29" width="16.140625" style="2" customWidth="1"/>
    <col min="30" max="30" width="16" style="2" customWidth="1"/>
    <col min="31" max="32" width="9.140625" style="2"/>
    <col min="33" max="33" width="11.140625" style="2" customWidth="1"/>
    <col min="34" max="256" width="9.140625" style="2"/>
    <col min="257" max="257" width="14.85546875" style="2" customWidth="1"/>
    <col min="258" max="258" width="18.7109375" style="2" customWidth="1"/>
    <col min="259" max="259" width="17.7109375" style="2" customWidth="1"/>
    <col min="260" max="260" width="17.140625" style="2" customWidth="1"/>
    <col min="261" max="263" width="17.7109375" style="2" customWidth="1"/>
    <col min="264" max="264" width="17.5703125" style="2" customWidth="1"/>
    <col min="265" max="266" width="17.140625" style="2" customWidth="1"/>
    <col min="267" max="267" width="16.7109375" style="2" customWidth="1"/>
    <col min="268" max="268" width="18.5703125" style="2" customWidth="1"/>
    <col min="269" max="269" width="19.28515625" style="2" customWidth="1"/>
    <col min="270" max="270" width="20.28515625" style="2" customWidth="1"/>
    <col min="271" max="271" width="23.140625" style="2" customWidth="1"/>
    <col min="272" max="272" width="16.42578125" style="2" customWidth="1"/>
    <col min="273" max="273" width="17.28515625" style="2" customWidth="1"/>
    <col min="274" max="274" width="16.42578125" style="2" customWidth="1"/>
    <col min="275" max="275" width="18.42578125" style="2" customWidth="1"/>
    <col min="276" max="276" width="19.7109375" style="2" customWidth="1"/>
    <col min="277" max="277" width="15.7109375" style="2" customWidth="1"/>
    <col min="278" max="278" width="21" style="2" customWidth="1"/>
    <col min="279" max="279" width="19.42578125" style="2" customWidth="1"/>
    <col min="280" max="280" width="20.28515625" style="2" customWidth="1"/>
    <col min="281" max="281" width="18.140625" style="2" customWidth="1"/>
    <col min="282" max="282" width="23" style="2" customWidth="1"/>
    <col min="283" max="283" width="18.7109375" style="2" customWidth="1"/>
    <col min="284" max="284" width="20.5703125" style="2" customWidth="1"/>
    <col min="285" max="285" width="16.140625" style="2" customWidth="1"/>
    <col min="286" max="286" width="16" style="2" customWidth="1"/>
    <col min="287" max="512" width="9.140625" style="2"/>
    <col min="513" max="513" width="14.85546875" style="2" customWidth="1"/>
    <col min="514" max="514" width="18.7109375" style="2" customWidth="1"/>
    <col min="515" max="515" width="17.7109375" style="2" customWidth="1"/>
    <col min="516" max="516" width="17.140625" style="2" customWidth="1"/>
    <col min="517" max="519" width="17.7109375" style="2" customWidth="1"/>
    <col min="520" max="520" width="17.5703125" style="2" customWidth="1"/>
    <col min="521" max="522" width="17.140625" style="2" customWidth="1"/>
    <col min="523" max="523" width="16.7109375" style="2" customWidth="1"/>
    <col min="524" max="524" width="18.5703125" style="2" customWidth="1"/>
    <col min="525" max="525" width="19.28515625" style="2" customWidth="1"/>
    <col min="526" max="526" width="20.28515625" style="2" customWidth="1"/>
    <col min="527" max="527" width="23.140625" style="2" customWidth="1"/>
    <col min="528" max="528" width="16.42578125" style="2" customWidth="1"/>
    <col min="529" max="529" width="17.28515625" style="2" customWidth="1"/>
    <col min="530" max="530" width="16.42578125" style="2" customWidth="1"/>
    <col min="531" max="531" width="18.42578125" style="2" customWidth="1"/>
    <col min="532" max="532" width="19.7109375" style="2" customWidth="1"/>
    <col min="533" max="533" width="15.7109375" style="2" customWidth="1"/>
    <col min="534" max="534" width="21" style="2" customWidth="1"/>
    <col min="535" max="535" width="19.42578125" style="2" customWidth="1"/>
    <col min="536" max="536" width="20.28515625" style="2" customWidth="1"/>
    <col min="537" max="537" width="18.140625" style="2" customWidth="1"/>
    <col min="538" max="538" width="23" style="2" customWidth="1"/>
    <col min="539" max="539" width="18.7109375" style="2" customWidth="1"/>
    <col min="540" max="540" width="20.5703125" style="2" customWidth="1"/>
    <col min="541" max="541" width="16.140625" style="2" customWidth="1"/>
    <col min="542" max="542" width="16" style="2" customWidth="1"/>
    <col min="543" max="768" width="9.140625" style="2"/>
    <col min="769" max="769" width="14.85546875" style="2" customWidth="1"/>
    <col min="770" max="770" width="18.7109375" style="2" customWidth="1"/>
    <col min="771" max="771" width="17.7109375" style="2" customWidth="1"/>
    <col min="772" max="772" width="17.140625" style="2" customWidth="1"/>
    <col min="773" max="775" width="17.7109375" style="2" customWidth="1"/>
    <col min="776" max="776" width="17.5703125" style="2" customWidth="1"/>
    <col min="777" max="778" width="17.140625" style="2" customWidth="1"/>
    <col min="779" max="779" width="16.7109375" style="2" customWidth="1"/>
    <col min="780" max="780" width="18.5703125" style="2" customWidth="1"/>
    <col min="781" max="781" width="19.28515625" style="2" customWidth="1"/>
    <col min="782" max="782" width="20.28515625" style="2" customWidth="1"/>
    <col min="783" max="783" width="23.140625" style="2" customWidth="1"/>
    <col min="784" max="784" width="16.42578125" style="2" customWidth="1"/>
    <col min="785" max="785" width="17.28515625" style="2" customWidth="1"/>
    <col min="786" max="786" width="16.42578125" style="2" customWidth="1"/>
    <col min="787" max="787" width="18.42578125" style="2" customWidth="1"/>
    <col min="788" max="788" width="19.7109375" style="2" customWidth="1"/>
    <col min="789" max="789" width="15.7109375" style="2" customWidth="1"/>
    <col min="790" max="790" width="21" style="2" customWidth="1"/>
    <col min="791" max="791" width="19.42578125" style="2" customWidth="1"/>
    <col min="792" max="792" width="20.28515625" style="2" customWidth="1"/>
    <col min="793" max="793" width="18.140625" style="2" customWidth="1"/>
    <col min="794" max="794" width="23" style="2" customWidth="1"/>
    <col min="795" max="795" width="18.7109375" style="2" customWidth="1"/>
    <col min="796" max="796" width="20.5703125" style="2" customWidth="1"/>
    <col min="797" max="797" width="16.140625" style="2" customWidth="1"/>
    <col min="798" max="798" width="16" style="2" customWidth="1"/>
    <col min="799" max="1024" width="9.140625" style="2"/>
    <col min="1025" max="1025" width="14.85546875" style="2" customWidth="1"/>
    <col min="1026" max="1026" width="18.7109375" style="2" customWidth="1"/>
    <col min="1027" max="1027" width="17.7109375" style="2" customWidth="1"/>
    <col min="1028" max="1028" width="17.140625" style="2" customWidth="1"/>
    <col min="1029" max="1031" width="17.7109375" style="2" customWidth="1"/>
    <col min="1032" max="1032" width="17.5703125" style="2" customWidth="1"/>
    <col min="1033" max="1034" width="17.140625" style="2" customWidth="1"/>
    <col min="1035" max="1035" width="16.7109375" style="2" customWidth="1"/>
    <col min="1036" max="1036" width="18.5703125" style="2" customWidth="1"/>
    <col min="1037" max="1037" width="19.28515625" style="2" customWidth="1"/>
    <col min="1038" max="1038" width="20.28515625" style="2" customWidth="1"/>
    <col min="1039" max="1039" width="23.140625" style="2" customWidth="1"/>
    <col min="1040" max="1040" width="16.42578125" style="2" customWidth="1"/>
    <col min="1041" max="1041" width="17.28515625" style="2" customWidth="1"/>
    <col min="1042" max="1042" width="16.42578125" style="2" customWidth="1"/>
    <col min="1043" max="1043" width="18.42578125" style="2" customWidth="1"/>
    <col min="1044" max="1044" width="19.7109375" style="2" customWidth="1"/>
    <col min="1045" max="1045" width="15.7109375" style="2" customWidth="1"/>
    <col min="1046" max="1046" width="21" style="2" customWidth="1"/>
    <col min="1047" max="1047" width="19.42578125" style="2" customWidth="1"/>
    <col min="1048" max="1048" width="20.28515625" style="2" customWidth="1"/>
    <col min="1049" max="1049" width="18.140625" style="2" customWidth="1"/>
    <col min="1050" max="1050" width="23" style="2" customWidth="1"/>
    <col min="1051" max="1051" width="18.7109375" style="2" customWidth="1"/>
    <col min="1052" max="1052" width="20.5703125" style="2" customWidth="1"/>
    <col min="1053" max="1053" width="16.140625" style="2" customWidth="1"/>
    <col min="1054" max="1054" width="16" style="2" customWidth="1"/>
    <col min="1055" max="1280" width="9.140625" style="2"/>
    <col min="1281" max="1281" width="14.85546875" style="2" customWidth="1"/>
    <col min="1282" max="1282" width="18.7109375" style="2" customWidth="1"/>
    <col min="1283" max="1283" width="17.7109375" style="2" customWidth="1"/>
    <col min="1284" max="1284" width="17.140625" style="2" customWidth="1"/>
    <col min="1285" max="1287" width="17.7109375" style="2" customWidth="1"/>
    <col min="1288" max="1288" width="17.5703125" style="2" customWidth="1"/>
    <col min="1289" max="1290" width="17.140625" style="2" customWidth="1"/>
    <col min="1291" max="1291" width="16.7109375" style="2" customWidth="1"/>
    <col min="1292" max="1292" width="18.5703125" style="2" customWidth="1"/>
    <col min="1293" max="1293" width="19.28515625" style="2" customWidth="1"/>
    <col min="1294" max="1294" width="20.28515625" style="2" customWidth="1"/>
    <col min="1295" max="1295" width="23.140625" style="2" customWidth="1"/>
    <col min="1296" max="1296" width="16.42578125" style="2" customWidth="1"/>
    <col min="1297" max="1297" width="17.28515625" style="2" customWidth="1"/>
    <col min="1298" max="1298" width="16.42578125" style="2" customWidth="1"/>
    <col min="1299" max="1299" width="18.42578125" style="2" customWidth="1"/>
    <col min="1300" max="1300" width="19.7109375" style="2" customWidth="1"/>
    <col min="1301" max="1301" width="15.7109375" style="2" customWidth="1"/>
    <col min="1302" max="1302" width="21" style="2" customWidth="1"/>
    <col min="1303" max="1303" width="19.42578125" style="2" customWidth="1"/>
    <col min="1304" max="1304" width="20.28515625" style="2" customWidth="1"/>
    <col min="1305" max="1305" width="18.140625" style="2" customWidth="1"/>
    <col min="1306" max="1306" width="23" style="2" customWidth="1"/>
    <col min="1307" max="1307" width="18.7109375" style="2" customWidth="1"/>
    <col min="1308" max="1308" width="20.5703125" style="2" customWidth="1"/>
    <col min="1309" max="1309" width="16.140625" style="2" customWidth="1"/>
    <col min="1310" max="1310" width="16" style="2" customWidth="1"/>
    <col min="1311" max="1536" width="9.140625" style="2"/>
    <col min="1537" max="1537" width="14.85546875" style="2" customWidth="1"/>
    <col min="1538" max="1538" width="18.7109375" style="2" customWidth="1"/>
    <col min="1539" max="1539" width="17.7109375" style="2" customWidth="1"/>
    <col min="1540" max="1540" width="17.140625" style="2" customWidth="1"/>
    <col min="1541" max="1543" width="17.7109375" style="2" customWidth="1"/>
    <col min="1544" max="1544" width="17.5703125" style="2" customWidth="1"/>
    <col min="1545" max="1546" width="17.140625" style="2" customWidth="1"/>
    <col min="1547" max="1547" width="16.7109375" style="2" customWidth="1"/>
    <col min="1548" max="1548" width="18.5703125" style="2" customWidth="1"/>
    <col min="1549" max="1549" width="19.28515625" style="2" customWidth="1"/>
    <col min="1550" max="1550" width="20.28515625" style="2" customWidth="1"/>
    <col min="1551" max="1551" width="23.140625" style="2" customWidth="1"/>
    <col min="1552" max="1552" width="16.42578125" style="2" customWidth="1"/>
    <col min="1553" max="1553" width="17.28515625" style="2" customWidth="1"/>
    <col min="1554" max="1554" width="16.42578125" style="2" customWidth="1"/>
    <col min="1555" max="1555" width="18.42578125" style="2" customWidth="1"/>
    <col min="1556" max="1556" width="19.7109375" style="2" customWidth="1"/>
    <col min="1557" max="1557" width="15.7109375" style="2" customWidth="1"/>
    <col min="1558" max="1558" width="21" style="2" customWidth="1"/>
    <col min="1559" max="1559" width="19.42578125" style="2" customWidth="1"/>
    <col min="1560" max="1560" width="20.28515625" style="2" customWidth="1"/>
    <col min="1561" max="1561" width="18.140625" style="2" customWidth="1"/>
    <col min="1562" max="1562" width="23" style="2" customWidth="1"/>
    <col min="1563" max="1563" width="18.7109375" style="2" customWidth="1"/>
    <col min="1564" max="1564" width="20.5703125" style="2" customWidth="1"/>
    <col min="1565" max="1565" width="16.140625" style="2" customWidth="1"/>
    <col min="1566" max="1566" width="16" style="2" customWidth="1"/>
    <col min="1567" max="1792" width="9.140625" style="2"/>
    <col min="1793" max="1793" width="14.85546875" style="2" customWidth="1"/>
    <col min="1794" max="1794" width="18.7109375" style="2" customWidth="1"/>
    <col min="1795" max="1795" width="17.7109375" style="2" customWidth="1"/>
    <col min="1796" max="1796" width="17.140625" style="2" customWidth="1"/>
    <col min="1797" max="1799" width="17.7109375" style="2" customWidth="1"/>
    <col min="1800" max="1800" width="17.5703125" style="2" customWidth="1"/>
    <col min="1801" max="1802" width="17.140625" style="2" customWidth="1"/>
    <col min="1803" max="1803" width="16.7109375" style="2" customWidth="1"/>
    <col min="1804" max="1804" width="18.5703125" style="2" customWidth="1"/>
    <col min="1805" max="1805" width="19.28515625" style="2" customWidth="1"/>
    <col min="1806" max="1806" width="20.28515625" style="2" customWidth="1"/>
    <col min="1807" max="1807" width="23.140625" style="2" customWidth="1"/>
    <col min="1808" max="1808" width="16.42578125" style="2" customWidth="1"/>
    <col min="1809" max="1809" width="17.28515625" style="2" customWidth="1"/>
    <col min="1810" max="1810" width="16.42578125" style="2" customWidth="1"/>
    <col min="1811" max="1811" width="18.42578125" style="2" customWidth="1"/>
    <col min="1812" max="1812" width="19.7109375" style="2" customWidth="1"/>
    <col min="1813" max="1813" width="15.7109375" style="2" customWidth="1"/>
    <col min="1814" max="1814" width="21" style="2" customWidth="1"/>
    <col min="1815" max="1815" width="19.42578125" style="2" customWidth="1"/>
    <col min="1816" max="1816" width="20.28515625" style="2" customWidth="1"/>
    <col min="1817" max="1817" width="18.140625" style="2" customWidth="1"/>
    <col min="1818" max="1818" width="23" style="2" customWidth="1"/>
    <col min="1819" max="1819" width="18.7109375" style="2" customWidth="1"/>
    <col min="1820" max="1820" width="20.5703125" style="2" customWidth="1"/>
    <col min="1821" max="1821" width="16.140625" style="2" customWidth="1"/>
    <col min="1822" max="1822" width="16" style="2" customWidth="1"/>
    <col min="1823" max="2048" width="9.140625" style="2"/>
    <col min="2049" max="2049" width="14.85546875" style="2" customWidth="1"/>
    <col min="2050" max="2050" width="18.7109375" style="2" customWidth="1"/>
    <col min="2051" max="2051" width="17.7109375" style="2" customWidth="1"/>
    <col min="2052" max="2052" width="17.140625" style="2" customWidth="1"/>
    <col min="2053" max="2055" width="17.7109375" style="2" customWidth="1"/>
    <col min="2056" max="2056" width="17.5703125" style="2" customWidth="1"/>
    <col min="2057" max="2058" width="17.140625" style="2" customWidth="1"/>
    <col min="2059" max="2059" width="16.7109375" style="2" customWidth="1"/>
    <col min="2060" max="2060" width="18.5703125" style="2" customWidth="1"/>
    <col min="2061" max="2061" width="19.28515625" style="2" customWidth="1"/>
    <col min="2062" max="2062" width="20.28515625" style="2" customWidth="1"/>
    <col min="2063" max="2063" width="23.140625" style="2" customWidth="1"/>
    <col min="2064" max="2064" width="16.42578125" style="2" customWidth="1"/>
    <col min="2065" max="2065" width="17.28515625" style="2" customWidth="1"/>
    <col min="2066" max="2066" width="16.42578125" style="2" customWidth="1"/>
    <col min="2067" max="2067" width="18.42578125" style="2" customWidth="1"/>
    <col min="2068" max="2068" width="19.7109375" style="2" customWidth="1"/>
    <col min="2069" max="2069" width="15.7109375" style="2" customWidth="1"/>
    <col min="2070" max="2070" width="21" style="2" customWidth="1"/>
    <col min="2071" max="2071" width="19.42578125" style="2" customWidth="1"/>
    <col min="2072" max="2072" width="20.28515625" style="2" customWidth="1"/>
    <col min="2073" max="2073" width="18.140625" style="2" customWidth="1"/>
    <col min="2074" max="2074" width="23" style="2" customWidth="1"/>
    <col min="2075" max="2075" width="18.7109375" style="2" customWidth="1"/>
    <col min="2076" max="2076" width="20.5703125" style="2" customWidth="1"/>
    <col min="2077" max="2077" width="16.140625" style="2" customWidth="1"/>
    <col min="2078" max="2078" width="16" style="2" customWidth="1"/>
    <col min="2079" max="2304" width="9.140625" style="2"/>
    <col min="2305" max="2305" width="14.85546875" style="2" customWidth="1"/>
    <col min="2306" max="2306" width="18.7109375" style="2" customWidth="1"/>
    <col min="2307" max="2307" width="17.7109375" style="2" customWidth="1"/>
    <col min="2308" max="2308" width="17.140625" style="2" customWidth="1"/>
    <col min="2309" max="2311" width="17.7109375" style="2" customWidth="1"/>
    <col min="2312" max="2312" width="17.5703125" style="2" customWidth="1"/>
    <col min="2313" max="2314" width="17.140625" style="2" customWidth="1"/>
    <col min="2315" max="2315" width="16.7109375" style="2" customWidth="1"/>
    <col min="2316" max="2316" width="18.5703125" style="2" customWidth="1"/>
    <col min="2317" max="2317" width="19.28515625" style="2" customWidth="1"/>
    <col min="2318" max="2318" width="20.28515625" style="2" customWidth="1"/>
    <col min="2319" max="2319" width="23.140625" style="2" customWidth="1"/>
    <col min="2320" max="2320" width="16.42578125" style="2" customWidth="1"/>
    <col min="2321" max="2321" width="17.28515625" style="2" customWidth="1"/>
    <col min="2322" max="2322" width="16.42578125" style="2" customWidth="1"/>
    <col min="2323" max="2323" width="18.42578125" style="2" customWidth="1"/>
    <col min="2324" max="2324" width="19.7109375" style="2" customWidth="1"/>
    <col min="2325" max="2325" width="15.7109375" style="2" customWidth="1"/>
    <col min="2326" max="2326" width="21" style="2" customWidth="1"/>
    <col min="2327" max="2327" width="19.42578125" style="2" customWidth="1"/>
    <col min="2328" max="2328" width="20.28515625" style="2" customWidth="1"/>
    <col min="2329" max="2329" width="18.140625" style="2" customWidth="1"/>
    <col min="2330" max="2330" width="23" style="2" customWidth="1"/>
    <col min="2331" max="2331" width="18.7109375" style="2" customWidth="1"/>
    <col min="2332" max="2332" width="20.5703125" style="2" customWidth="1"/>
    <col min="2333" max="2333" width="16.140625" style="2" customWidth="1"/>
    <col min="2334" max="2334" width="16" style="2" customWidth="1"/>
    <col min="2335" max="2560" width="9.140625" style="2"/>
    <col min="2561" max="2561" width="14.85546875" style="2" customWidth="1"/>
    <col min="2562" max="2562" width="18.7109375" style="2" customWidth="1"/>
    <col min="2563" max="2563" width="17.7109375" style="2" customWidth="1"/>
    <col min="2564" max="2564" width="17.140625" style="2" customWidth="1"/>
    <col min="2565" max="2567" width="17.7109375" style="2" customWidth="1"/>
    <col min="2568" max="2568" width="17.5703125" style="2" customWidth="1"/>
    <col min="2569" max="2570" width="17.140625" style="2" customWidth="1"/>
    <col min="2571" max="2571" width="16.7109375" style="2" customWidth="1"/>
    <col min="2572" max="2572" width="18.5703125" style="2" customWidth="1"/>
    <col min="2573" max="2573" width="19.28515625" style="2" customWidth="1"/>
    <col min="2574" max="2574" width="20.28515625" style="2" customWidth="1"/>
    <col min="2575" max="2575" width="23.140625" style="2" customWidth="1"/>
    <col min="2576" max="2576" width="16.42578125" style="2" customWidth="1"/>
    <col min="2577" max="2577" width="17.28515625" style="2" customWidth="1"/>
    <col min="2578" max="2578" width="16.42578125" style="2" customWidth="1"/>
    <col min="2579" max="2579" width="18.42578125" style="2" customWidth="1"/>
    <col min="2580" max="2580" width="19.7109375" style="2" customWidth="1"/>
    <col min="2581" max="2581" width="15.7109375" style="2" customWidth="1"/>
    <col min="2582" max="2582" width="21" style="2" customWidth="1"/>
    <col min="2583" max="2583" width="19.42578125" style="2" customWidth="1"/>
    <col min="2584" max="2584" width="20.28515625" style="2" customWidth="1"/>
    <col min="2585" max="2585" width="18.140625" style="2" customWidth="1"/>
    <col min="2586" max="2586" width="23" style="2" customWidth="1"/>
    <col min="2587" max="2587" width="18.7109375" style="2" customWidth="1"/>
    <col min="2588" max="2588" width="20.5703125" style="2" customWidth="1"/>
    <col min="2589" max="2589" width="16.140625" style="2" customWidth="1"/>
    <col min="2590" max="2590" width="16" style="2" customWidth="1"/>
    <col min="2591" max="2816" width="9.140625" style="2"/>
    <col min="2817" max="2817" width="14.85546875" style="2" customWidth="1"/>
    <col min="2818" max="2818" width="18.7109375" style="2" customWidth="1"/>
    <col min="2819" max="2819" width="17.7109375" style="2" customWidth="1"/>
    <col min="2820" max="2820" width="17.140625" style="2" customWidth="1"/>
    <col min="2821" max="2823" width="17.7109375" style="2" customWidth="1"/>
    <col min="2824" max="2824" width="17.5703125" style="2" customWidth="1"/>
    <col min="2825" max="2826" width="17.140625" style="2" customWidth="1"/>
    <col min="2827" max="2827" width="16.7109375" style="2" customWidth="1"/>
    <col min="2828" max="2828" width="18.5703125" style="2" customWidth="1"/>
    <col min="2829" max="2829" width="19.28515625" style="2" customWidth="1"/>
    <col min="2830" max="2830" width="20.28515625" style="2" customWidth="1"/>
    <col min="2831" max="2831" width="23.140625" style="2" customWidth="1"/>
    <col min="2832" max="2832" width="16.42578125" style="2" customWidth="1"/>
    <col min="2833" max="2833" width="17.28515625" style="2" customWidth="1"/>
    <col min="2834" max="2834" width="16.42578125" style="2" customWidth="1"/>
    <col min="2835" max="2835" width="18.42578125" style="2" customWidth="1"/>
    <col min="2836" max="2836" width="19.7109375" style="2" customWidth="1"/>
    <col min="2837" max="2837" width="15.7109375" style="2" customWidth="1"/>
    <col min="2838" max="2838" width="21" style="2" customWidth="1"/>
    <col min="2839" max="2839" width="19.42578125" style="2" customWidth="1"/>
    <col min="2840" max="2840" width="20.28515625" style="2" customWidth="1"/>
    <col min="2841" max="2841" width="18.140625" style="2" customWidth="1"/>
    <col min="2842" max="2842" width="23" style="2" customWidth="1"/>
    <col min="2843" max="2843" width="18.7109375" style="2" customWidth="1"/>
    <col min="2844" max="2844" width="20.5703125" style="2" customWidth="1"/>
    <col min="2845" max="2845" width="16.140625" style="2" customWidth="1"/>
    <col min="2846" max="2846" width="16" style="2" customWidth="1"/>
    <col min="2847" max="3072" width="9.140625" style="2"/>
    <col min="3073" max="3073" width="14.85546875" style="2" customWidth="1"/>
    <col min="3074" max="3074" width="18.7109375" style="2" customWidth="1"/>
    <col min="3075" max="3075" width="17.7109375" style="2" customWidth="1"/>
    <col min="3076" max="3076" width="17.140625" style="2" customWidth="1"/>
    <col min="3077" max="3079" width="17.7109375" style="2" customWidth="1"/>
    <col min="3080" max="3080" width="17.5703125" style="2" customWidth="1"/>
    <col min="3081" max="3082" width="17.140625" style="2" customWidth="1"/>
    <col min="3083" max="3083" width="16.7109375" style="2" customWidth="1"/>
    <col min="3084" max="3084" width="18.5703125" style="2" customWidth="1"/>
    <col min="3085" max="3085" width="19.28515625" style="2" customWidth="1"/>
    <col min="3086" max="3086" width="20.28515625" style="2" customWidth="1"/>
    <col min="3087" max="3087" width="23.140625" style="2" customWidth="1"/>
    <col min="3088" max="3088" width="16.42578125" style="2" customWidth="1"/>
    <col min="3089" max="3089" width="17.28515625" style="2" customWidth="1"/>
    <col min="3090" max="3090" width="16.42578125" style="2" customWidth="1"/>
    <col min="3091" max="3091" width="18.42578125" style="2" customWidth="1"/>
    <col min="3092" max="3092" width="19.7109375" style="2" customWidth="1"/>
    <col min="3093" max="3093" width="15.7109375" style="2" customWidth="1"/>
    <col min="3094" max="3094" width="21" style="2" customWidth="1"/>
    <col min="3095" max="3095" width="19.42578125" style="2" customWidth="1"/>
    <col min="3096" max="3096" width="20.28515625" style="2" customWidth="1"/>
    <col min="3097" max="3097" width="18.140625" style="2" customWidth="1"/>
    <col min="3098" max="3098" width="23" style="2" customWidth="1"/>
    <col min="3099" max="3099" width="18.7109375" style="2" customWidth="1"/>
    <col min="3100" max="3100" width="20.5703125" style="2" customWidth="1"/>
    <col min="3101" max="3101" width="16.140625" style="2" customWidth="1"/>
    <col min="3102" max="3102" width="16" style="2" customWidth="1"/>
    <col min="3103" max="3328" width="9.140625" style="2"/>
    <col min="3329" max="3329" width="14.85546875" style="2" customWidth="1"/>
    <col min="3330" max="3330" width="18.7109375" style="2" customWidth="1"/>
    <col min="3331" max="3331" width="17.7109375" style="2" customWidth="1"/>
    <col min="3332" max="3332" width="17.140625" style="2" customWidth="1"/>
    <col min="3333" max="3335" width="17.7109375" style="2" customWidth="1"/>
    <col min="3336" max="3336" width="17.5703125" style="2" customWidth="1"/>
    <col min="3337" max="3338" width="17.140625" style="2" customWidth="1"/>
    <col min="3339" max="3339" width="16.7109375" style="2" customWidth="1"/>
    <col min="3340" max="3340" width="18.5703125" style="2" customWidth="1"/>
    <col min="3341" max="3341" width="19.28515625" style="2" customWidth="1"/>
    <col min="3342" max="3342" width="20.28515625" style="2" customWidth="1"/>
    <col min="3343" max="3343" width="23.140625" style="2" customWidth="1"/>
    <col min="3344" max="3344" width="16.42578125" style="2" customWidth="1"/>
    <col min="3345" max="3345" width="17.28515625" style="2" customWidth="1"/>
    <col min="3346" max="3346" width="16.42578125" style="2" customWidth="1"/>
    <col min="3347" max="3347" width="18.42578125" style="2" customWidth="1"/>
    <col min="3348" max="3348" width="19.7109375" style="2" customWidth="1"/>
    <col min="3349" max="3349" width="15.7109375" style="2" customWidth="1"/>
    <col min="3350" max="3350" width="21" style="2" customWidth="1"/>
    <col min="3351" max="3351" width="19.42578125" style="2" customWidth="1"/>
    <col min="3352" max="3352" width="20.28515625" style="2" customWidth="1"/>
    <col min="3353" max="3353" width="18.140625" style="2" customWidth="1"/>
    <col min="3354" max="3354" width="23" style="2" customWidth="1"/>
    <col min="3355" max="3355" width="18.7109375" style="2" customWidth="1"/>
    <col min="3356" max="3356" width="20.5703125" style="2" customWidth="1"/>
    <col min="3357" max="3357" width="16.140625" style="2" customWidth="1"/>
    <col min="3358" max="3358" width="16" style="2" customWidth="1"/>
    <col min="3359" max="3584" width="9.140625" style="2"/>
    <col min="3585" max="3585" width="14.85546875" style="2" customWidth="1"/>
    <col min="3586" max="3586" width="18.7109375" style="2" customWidth="1"/>
    <col min="3587" max="3587" width="17.7109375" style="2" customWidth="1"/>
    <col min="3588" max="3588" width="17.140625" style="2" customWidth="1"/>
    <col min="3589" max="3591" width="17.7109375" style="2" customWidth="1"/>
    <col min="3592" max="3592" width="17.5703125" style="2" customWidth="1"/>
    <col min="3593" max="3594" width="17.140625" style="2" customWidth="1"/>
    <col min="3595" max="3595" width="16.7109375" style="2" customWidth="1"/>
    <col min="3596" max="3596" width="18.5703125" style="2" customWidth="1"/>
    <col min="3597" max="3597" width="19.28515625" style="2" customWidth="1"/>
    <col min="3598" max="3598" width="20.28515625" style="2" customWidth="1"/>
    <col min="3599" max="3599" width="23.140625" style="2" customWidth="1"/>
    <col min="3600" max="3600" width="16.42578125" style="2" customWidth="1"/>
    <col min="3601" max="3601" width="17.28515625" style="2" customWidth="1"/>
    <col min="3602" max="3602" width="16.42578125" style="2" customWidth="1"/>
    <col min="3603" max="3603" width="18.42578125" style="2" customWidth="1"/>
    <col min="3604" max="3604" width="19.7109375" style="2" customWidth="1"/>
    <col min="3605" max="3605" width="15.7109375" style="2" customWidth="1"/>
    <col min="3606" max="3606" width="21" style="2" customWidth="1"/>
    <col min="3607" max="3607" width="19.42578125" style="2" customWidth="1"/>
    <col min="3608" max="3608" width="20.28515625" style="2" customWidth="1"/>
    <col min="3609" max="3609" width="18.140625" style="2" customWidth="1"/>
    <col min="3610" max="3610" width="23" style="2" customWidth="1"/>
    <col min="3611" max="3611" width="18.7109375" style="2" customWidth="1"/>
    <col min="3612" max="3612" width="20.5703125" style="2" customWidth="1"/>
    <col min="3613" max="3613" width="16.140625" style="2" customWidth="1"/>
    <col min="3614" max="3614" width="16" style="2" customWidth="1"/>
    <col min="3615" max="3840" width="9.140625" style="2"/>
    <col min="3841" max="3841" width="14.85546875" style="2" customWidth="1"/>
    <col min="3842" max="3842" width="18.7109375" style="2" customWidth="1"/>
    <col min="3843" max="3843" width="17.7109375" style="2" customWidth="1"/>
    <col min="3844" max="3844" width="17.140625" style="2" customWidth="1"/>
    <col min="3845" max="3847" width="17.7109375" style="2" customWidth="1"/>
    <col min="3848" max="3848" width="17.5703125" style="2" customWidth="1"/>
    <col min="3849" max="3850" width="17.140625" style="2" customWidth="1"/>
    <col min="3851" max="3851" width="16.7109375" style="2" customWidth="1"/>
    <col min="3852" max="3852" width="18.5703125" style="2" customWidth="1"/>
    <col min="3853" max="3853" width="19.28515625" style="2" customWidth="1"/>
    <col min="3854" max="3854" width="20.28515625" style="2" customWidth="1"/>
    <col min="3855" max="3855" width="23.140625" style="2" customWidth="1"/>
    <col min="3856" max="3856" width="16.42578125" style="2" customWidth="1"/>
    <col min="3857" max="3857" width="17.28515625" style="2" customWidth="1"/>
    <col min="3858" max="3858" width="16.42578125" style="2" customWidth="1"/>
    <col min="3859" max="3859" width="18.42578125" style="2" customWidth="1"/>
    <col min="3860" max="3860" width="19.7109375" style="2" customWidth="1"/>
    <col min="3861" max="3861" width="15.7109375" style="2" customWidth="1"/>
    <col min="3862" max="3862" width="21" style="2" customWidth="1"/>
    <col min="3863" max="3863" width="19.42578125" style="2" customWidth="1"/>
    <col min="3864" max="3864" width="20.28515625" style="2" customWidth="1"/>
    <col min="3865" max="3865" width="18.140625" style="2" customWidth="1"/>
    <col min="3866" max="3866" width="23" style="2" customWidth="1"/>
    <col min="3867" max="3867" width="18.7109375" style="2" customWidth="1"/>
    <col min="3868" max="3868" width="20.5703125" style="2" customWidth="1"/>
    <col min="3869" max="3869" width="16.140625" style="2" customWidth="1"/>
    <col min="3870" max="3870" width="16" style="2" customWidth="1"/>
    <col min="3871" max="4096" width="9.140625" style="2"/>
    <col min="4097" max="4097" width="14.85546875" style="2" customWidth="1"/>
    <col min="4098" max="4098" width="18.7109375" style="2" customWidth="1"/>
    <col min="4099" max="4099" width="17.7109375" style="2" customWidth="1"/>
    <col min="4100" max="4100" width="17.140625" style="2" customWidth="1"/>
    <col min="4101" max="4103" width="17.7109375" style="2" customWidth="1"/>
    <col min="4104" max="4104" width="17.5703125" style="2" customWidth="1"/>
    <col min="4105" max="4106" width="17.140625" style="2" customWidth="1"/>
    <col min="4107" max="4107" width="16.7109375" style="2" customWidth="1"/>
    <col min="4108" max="4108" width="18.5703125" style="2" customWidth="1"/>
    <col min="4109" max="4109" width="19.28515625" style="2" customWidth="1"/>
    <col min="4110" max="4110" width="20.28515625" style="2" customWidth="1"/>
    <col min="4111" max="4111" width="23.140625" style="2" customWidth="1"/>
    <col min="4112" max="4112" width="16.42578125" style="2" customWidth="1"/>
    <col min="4113" max="4113" width="17.28515625" style="2" customWidth="1"/>
    <col min="4114" max="4114" width="16.42578125" style="2" customWidth="1"/>
    <col min="4115" max="4115" width="18.42578125" style="2" customWidth="1"/>
    <col min="4116" max="4116" width="19.7109375" style="2" customWidth="1"/>
    <col min="4117" max="4117" width="15.7109375" style="2" customWidth="1"/>
    <col min="4118" max="4118" width="21" style="2" customWidth="1"/>
    <col min="4119" max="4119" width="19.42578125" style="2" customWidth="1"/>
    <col min="4120" max="4120" width="20.28515625" style="2" customWidth="1"/>
    <col min="4121" max="4121" width="18.140625" style="2" customWidth="1"/>
    <col min="4122" max="4122" width="23" style="2" customWidth="1"/>
    <col min="4123" max="4123" width="18.7109375" style="2" customWidth="1"/>
    <col min="4124" max="4124" width="20.5703125" style="2" customWidth="1"/>
    <col min="4125" max="4125" width="16.140625" style="2" customWidth="1"/>
    <col min="4126" max="4126" width="16" style="2" customWidth="1"/>
    <col min="4127" max="4352" width="9.140625" style="2"/>
    <col min="4353" max="4353" width="14.85546875" style="2" customWidth="1"/>
    <col min="4354" max="4354" width="18.7109375" style="2" customWidth="1"/>
    <col min="4355" max="4355" width="17.7109375" style="2" customWidth="1"/>
    <col min="4356" max="4356" width="17.140625" style="2" customWidth="1"/>
    <col min="4357" max="4359" width="17.7109375" style="2" customWidth="1"/>
    <col min="4360" max="4360" width="17.5703125" style="2" customWidth="1"/>
    <col min="4361" max="4362" width="17.140625" style="2" customWidth="1"/>
    <col min="4363" max="4363" width="16.7109375" style="2" customWidth="1"/>
    <col min="4364" max="4364" width="18.5703125" style="2" customWidth="1"/>
    <col min="4365" max="4365" width="19.28515625" style="2" customWidth="1"/>
    <col min="4366" max="4366" width="20.28515625" style="2" customWidth="1"/>
    <col min="4367" max="4367" width="23.140625" style="2" customWidth="1"/>
    <col min="4368" max="4368" width="16.42578125" style="2" customWidth="1"/>
    <col min="4369" max="4369" width="17.28515625" style="2" customWidth="1"/>
    <col min="4370" max="4370" width="16.42578125" style="2" customWidth="1"/>
    <col min="4371" max="4371" width="18.42578125" style="2" customWidth="1"/>
    <col min="4372" max="4372" width="19.7109375" style="2" customWidth="1"/>
    <col min="4373" max="4373" width="15.7109375" style="2" customWidth="1"/>
    <col min="4374" max="4374" width="21" style="2" customWidth="1"/>
    <col min="4375" max="4375" width="19.42578125" style="2" customWidth="1"/>
    <col min="4376" max="4376" width="20.28515625" style="2" customWidth="1"/>
    <col min="4377" max="4377" width="18.140625" style="2" customWidth="1"/>
    <col min="4378" max="4378" width="23" style="2" customWidth="1"/>
    <col min="4379" max="4379" width="18.7109375" style="2" customWidth="1"/>
    <col min="4380" max="4380" width="20.5703125" style="2" customWidth="1"/>
    <col min="4381" max="4381" width="16.140625" style="2" customWidth="1"/>
    <col min="4382" max="4382" width="16" style="2" customWidth="1"/>
    <col min="4383" max="4608" width="9.140625" style="2"/>
    <col min="4609" max="4609" width="14.85546875" style="2" customWidth="1"/>
    <col min="4610" max="4610" width="18.7109375" style="2" customWidth="1"/>
    <col min="4611" max="4611" width="17.7109375" style="2" customWidth="1"/>
    <col min="4612" max="4612" width="17.140625" style="2" customWidth="1"/>
    <col min="4613" max="4615" width="17.7109375" style="2" customWidth="1"/>
    <col min="4616" max="4616" width="17.5703125" style="2" customWidth="1"/>
    <col min="4617" max="4618" width="17.140625" style="2" customWidth="1"/>
    <col min="4619" max="4619" width="16.7109375" style="2" customWidth="1"/>
    <col min="4620" max="4620" width="18.5703125" style="2" customWidth="1"/>
    <col min="4621" max="4621" width="19.28515625" style="2" customWidth="1"/>
    <col min="4622" max="4622" width="20.28515625" style="2" customWidth="1"/>
    <col min="4623" max="4623" width="23.140625" style="2" customWidth="1"/>
    <col min="4624" max="4624" width="16.42578125" style="2" customWidth="1"/>
    <col min="4625" max="4625" width="17.28515625" style="2" customWidth="1"/>
    <col min="4626" max="4626" width="16.42578125" style="2" customWidth="1"/>
    <col min="4627" max="4627" width="18.42578125" style="2" customWidth="1"/>
    <col min="4628" max="4628" width="19.7109375" style="2" customWidth="1"/>
    <col min="4629" max="4629" width="15.7109375" style="2" customWidth="1"/>
    <col min="4630" max="4630" width="21" style="2" customWidth="1"/>
    <col min="4631" max="4631" width="19.42578125" style="2" customWidth="1"/>
    <col min="4632" max="4632" width="20.28515625" style="2" customWidth="1"/>
    <col min="4633" max="4633" width="18.140625" style="2" customWidth="1"/>
    <col min="4634" max="4634" width="23" style="2" customWidth="1"/>
    <col min="4635" max="4635" width="18.7109375" style="2" customWidth="1"/>
    <col min="4636" max="4636" width="20.5703125" style="2" customWidth="1"/>
    <col min="4637" max="4637" width="16.140625" style="2" customWidth="1"/>
    <col min="4638" max="4638" width="16" style="2" customWidth="1"/>
    <col min="4639" max="4864" width="9.140625" style="2"/>
    <col min="4865" max="4865" width="14.85546875" style="2" customWidth="1"/>
    <col min="4866" max="4866" width="18.7109375" style="2" customWidth="1"/>
    <col min="4867" max="4867" width="17.7109375" style="2" customWidth="1"/>
    <col min="4868" max="4868" width="17.140625" style="2" customWidth="1"/>
    <col min="4869" max="4871" width="17.7109375" style="2" customWidth="1"/>
    <col min="4872" max="4872" width="17.5703125" style="2" customWidth="1"/>
    <col min="4873" max="4874" width="17.140625" style="2" customWidth="1"/>
    <col min="4875" max="4875" width="16.7109375" style="2" customWidth="1"/>
    <col min="4876" max="4876" width="18.5703125" style="2" customWidth="1"/>
    <col min="4877" max="4877" width="19.28515625" style="2" customWidth="1"/>
    <col min="4878" max="4878" width="20.28515625" style="2" customWidth="1"/>
    <col min="4879" max="4879" width="23.140625" style="2" customWidth="1"/>
    <col min="4880" max="4880" width="16.42578125" style="2" customWidth="1"/>
    <col min="4881" max="4881" width="17.28515625" style="2" customWidth="1"/>
    <col min="4882" max="4882" width="16.42578125" style="2" customWidth="1"/>
    <col min="4883" max="4883" width="18.42578125" style="2" customWidth="1"/>
    <col min="4884" max="4884" width="19.7109375" style="2" customWidth="1"/>
    <col min="4885" max="4885" width="15.7109375" style="2" customWidth="1"/>
    <col min="4886" max="4886" width="21" style="2" customWidth="1"/>
    <col min="4887" max="4887" width="19.42578125" style="2" customWidth="1"/>
    <col min="4888" max="4888" width="20.28515625" style="2" customWidth="1"/>
    <col min="4889" max="4889" width="18.140625" style="2" customWidth="1"/>
    <col min="4890" max="4890" width="23" style="2" customWidth="1"/>
    <col min="4891" max="4891" width="18.7109375" style="2" customWidth="1"/>
    <col min="4892" max="4892" width="20.5703125" style="2" customWidth="1"/>
    <col min="4893" max="4893" width="16.140625" style="2" customWidth="1"/>
    <col min="4894" max="4894" width="16" style="2" customWidth="1"/>
    <col min="4895" max="5120" width="9.140625" style="2"/>
    <col min="5121" max="5121" width="14.85546875" style="2" customWidth="1"/>
    <col min="5122" max="5122" width="18.7109375" style="2" customWidth="1"/>
    <col min="5123" max="5123" width="17.7109375" style="2" customWidth="1"/>
    <col min="5124" max="5124" width="17.140625" style="2" customWidth="1"/>
    <col min="5125" max="5127" width="17.7109375" style="2" customWidth="1"/>
    <col min="5128" max="5128" width="17.5703125" style="2" customWidth="1"/>
    <col min="5129" max="5130" width="17.140625" style="2" customWidth="1"/>
    <col min="5131" max="5131" width="16.7109375" style="2" customWidth="1"/>
    <col min="5132" max="5132" width="18.5703125" style="2" customWidth="1"/>
    <col min="5133" max="5133" width="19.28515625" style="2" customWidth="1"/>
    <col min="5134" max="5134" width="20.28515625" style="2" customWidth="1"/>
    <col min="5135" max="5135" width="23.140625" style="2" customWidth="1"/>
    <col min="5136" max="5136" width="16.42578125" style="2" customWidth="1"/>
    <col min="5137" max="5137" width="17.28515625" style="2" customWidth="1"/>
    <col min="5138" max="5138" width="16.42578125" style="2" customWidth="1"/>
    <col min="5139" max="5139" width="18.42578125" style="2" customWidth="1"/>
    <col min="5140" max="5140" width="19.7109375" style="2" customWidth="1"/>
    <col min="5141" max="5141" width="15.7109375" style="2" customWidth="1"/>
    <col min="5142" max="5142" width="21" style="2" customWidth="1"/>
    <col min="5143" max="5143" width="19.42578125" style="2" customWidth="1"/>
    <col min="5144" max="5144" width="20.28515625" style="2" customWidth="1"/>
    <col min="5145" max="5145" width="18.140625" style="2" customWidth="1"/>
    <col min="5146" max="5146" width="23" style="2" customWidth="1"/>
    <col min="5147" max="5147" width="18.7109375" style="2" customWidth="1"/>
    <col min="5148" max="5148" width="20.5703125" style="2" customWidth="1"/>
    <col min="5149" max="5149" width="16.140625" style="2" customWidth="1"/>
    <col min="5150" max="5150" width="16" style="2" customWidth="1"/>
    <col min="5151" max="5376" width="9.140625" style="2"/>
    <col min="5377" max="5377" width="14.85546875" style="2" customWidth="1"/>
    <col min="5378" max="5378" width="18.7109375" style="2" customWidth="1"/>
    <col min="5379" max="5379" width="17.7109375" style="2" customWidth="1"/>
    <col min="5380" max="5380" width="17.140625" style="2" customWidth="1"/>
    <col min="5381" max="5383" width="17.7109375" style="2" customWidth="1"/>
    <col min="5384" max="5384" width="17.5703125" style="2" customWidth="1"/>
    <col min="5385" max="5386" width="17.140625" style="2" customWidth="1"/>
    <col min="5387" max="5387" width="16.7109375" style="2" customWidth="1"/>
    <col min="5388" max="5388" width="18.5703125" style="2" customWidth="1"/>
    <col min="5389" max="5389" width="19.28515625" style="2" customWidth="1"/>
    <col min="5390" max="5390" width="20.28515625" style="2" customWidth="1"/>
    <col min="5391" max="5391" width="23.140625" style="2" customWidth="1"/>
    <col min="5392" max="5392" width="16.42578125" style="2" customWidth="1"/>
    <col min="5393" max="5393" width="17.28515625" style="2" customWidth="1"/>
    <col min="5394" max="5394" width="16.42578125" style="2" customWidth="1"/>
    <col min="5395" max="5395" width="18.42578125" style="2" customWidth="1"/>
    <col min="5396" max="5396" width="19.7109375" style="2" customWidth="1"/>
    <col min="5397" max="5397" width="15.7109375" style="2" customWidth="1"/>
    <col min="5398" max="5398" width="21" style="2" customWidth="1"/>
    <col min="5399" max="5399" width="19.42578125" style="2" customWidth="1"/>
    <col min="5400" max="5400" width="20.28515625" style="2" customWidth="1"/>
    <col min="5401" max="5401" width="18.140625" style="2" customWidth="1"/>
    <col min="5402" max="5402" width="23" style="2" customWidth="1"/>
    <col min="5403" max="5403" width="18.7109375" style="2" customWidth="1"/>
    <col min="5404" max="5404" width="20.5703125" style="2" customWidth="1"/>
    <col min="5405" max="5405" width="16.140625" style="2" customWidth="1"/>
    <col min="5406" max="5406" width="16" style="2" customWidth="1"/>
    <col min="5407" max="5632" width="9.140625" style="2"/>
    <col min="5633" max="5633" width="14.85546875" style="2" customWidth="1"/>
    <col min="5634" max="5634" width="18.7109375" style="2" customWidth="1"/>
    <col min="5635" max="5635" width="17.7109375" style="2" customWidth="1"/>
    <col min="5636" max="5636" width="17.140625" style="2" customWidth="1"/>
    <col min="5637" max="5639" width="17.7109375" style="2" customWidth="1"/>
    <col min="5640" max="5640" width="17.5703125" style="2" customWidth="1"/>
    <col min="5641" max="5642" width="17.140625" style="2" customWidth="1"/>
    <col min="5643" max="5643" width="16.7109375" style="2" customWidth="1"/>
    <col min="5644" max="5644" width="18.5703125" style="2" customWidth="1"/>
    <col min="5645" max="5645" width="19.28515625" style="2" customWidth="1"/>
    <col min="5646" max="5646" width="20.28515625" style="2" customWidth="1"/>
    <col min="5647" max="5647" width="23.140625" style="2" customWidth="1"/>
    <col min="5648" max="5648" width="16.42578125" style="2" customWidth="1"/>
    <col min="5649" max="5649" width="17.28515625" style="2" customWidth="1"/>
    <col min="5650" max="5650" width="16.42578125" style="2" customWidth="1"/>
    <col min="5651" max="5651" width="18.42578125" style="2" customWidth="1"/>
    <col min="5652" max="5652" width="19.7109375" style="2" customWidth="1"/>
    <col min="5653" max="5653" width="15.7109375" style="2" customWidth="1"/>
    <col min="5654" max="5654" width="21" style="2" customWidth="1"/>
    <col min="5655" max="5655" width="19.42578125" style="2" customWidth="1"/>
    <col min="5656" max="5656" width="20.28515625" style="2" customWidth="1"/>
    <col min="5657" max="5657" width="18.140625" style="2" customWidth="1"/>
    <col min="5658" max="5658" width="23" style="2" customWidth="1"/>
    <col min="5659" max="5659" width="18.7109375" style="2" customWidth="1"/>
    <col min="5660" max="5660" width="20.5703125" style="2" customWidth="1"/>
    <col min="5661" max="5661" width="16.140625" style="2" customWidth="1"/>
    <col min="5662" max="5662" width="16" style="2" customWidth="1"/>
    <col min="5663" max="5888" width="9.140625" style="2"/>
    <col min="5889" max="5889" width="14.85546875" style="2" customWidth="1"/>
    <col min="5890" max="5890" width="18.7109375" style="2" customWidth="1"/>
    <col min="5891" max="5891" width="17.7109375" style="2" customWidth="1"/>
    <col min="5892" max="5892" width="17.140625" style="2" customWidth="1"/>
    <col min="5893" max="5895" width="17.7109375" style="2" customWidth="1"/>
    <col min="5896" max="5896" width="17.5703125" style="2" customWidth="1"/>
    <col min="5897" max="5898" width="17.140625" style="2" customWidth="1"/>
    <col min="5899" max="5899" width="16.7109375" style="2" customWidth="1"/>
    <col min="5900" max="5900" width="18.5703125" style="2" customWidth="1"/>
    <col min="5901" max="5901" width="19.28515625" style="2" customWidth="1"/>
    <col min="5902" max="5902" width="20.28515625" style="2" customWidth="1"/>
    <col min="5903" max="5903" width="23.140625" style="2" customWidth="1"/>
    <col min="5904" max="5904" width="16.42578125" style="2" customWidth="1"/>
    <col min="5905" max="5905" width="17.28515625" style="2" customWidth="1"/>
    <col min="5906" max="5906" width="16.42578125" style="2" customWidth="1"/>
    <col min="5907" max="5907" width="18.42578125" style="2" customWidth="1"/>
    <col min="5908" max="5908" width="19.7109375" style="2" customWidth="1"/>
    <col min="5909" max="5909" width="15.7109375" style="2" customWidth="1"/>
    <col min="5910" max="5910" width="21" style="2" customWidth="1"/>
    <col min="5911" max="5911" width="19.42578125" style="2" customWidth="1"/>
    <col min="5912" max="5912" width="20.28515625" style="2" customWidth="1"/>
    <col min="5913" max="5913" width="18.140625" style="2" customWidth="1"/>
    <col min="5914" max="5914" width="23" style="2" customWidth="1"/>
    <col min="5915" max="5915" width="18.7109375" style="2" customWidth="1"/>
    <col min="5916" max="5916" width="20.5703125" style="2" customWidth="1"/>
    <col min="5917" max="5917" width="16.140625" style="2" customWidth="1"/>
    <col min="5918" max="5918" width="16" style="2" customWidth="1"/>
    <col min="5919" max="6144" width="9.140625" style="2"/>
    <col min="6145" max="6145" width="14.85546875" style="2" customWidth="1"/>
    <col min="6146" max="6146" width="18.7109375" style="2" customWidth="1"/>
    <col min="6147" max="6147" width="17.7109375" style="2" customWidth="1"/>
    <col min="6148" max="6148" width="17.140625" style="2" customWidth="1"/>
    <col min="6149" max="6151" width="17.7109375" style="2" customWidth="1"/>
    <col min="6152" max="6152" width="17.5703125" style="2" customWidth="1"/>
    <col min="6153" max="6154" width="17.140625" style="2" customWidth="1"/>
    <col min="6155" max="6155" width="16.7109375" style="2" customWidth="1"/>
    <col min="6156" max="6156" width="18.5703125" style="2" customWidth="1"/>
    <col min="6157" max="6157" width="19.28515625" style="2" customWidth="1"/>
    <col min="6158" max="6158" width="20.28515625" style="2" customWidth="1"/>
    <col min="6159" max="6159" width="23.140625" style="2" customWidth="1"/>
    <col min="6160" max="6160" width="16.42578125" style="2" customWidth="1"/>
    <col min="6161" max="6161" width="17.28515625" style="2" customWidth="1"/>
    <col min="6162" max="6162" width="16.42578125" style="2" customWidth="1"/>
    <col min="6163" max="6163" width="18.42578125" style="2" customWidth="1"/>
    <col min="6164" max="6164" width="19.7109375" style="2" customWidth="1"/>
    <col min="6165" max="6165" width="15.7109375" style="2" customWidth="1"/>
    <col min="6166" max="6166" width="21" style="2" customWidth="1"/>
    <col min="6167" max="6167" width="19.42578125" style="2" customWidth="1"/>
    <col min="6168" max="6168" width="20.28515625" style="2" customWidth="1"/>
    <col min="6169" max="6169" width="18.140625" style="2" customWidth="1"/>
    <col min="6170" max="6170" width="23" style="2" customWidth="1"/>
    <col min="6171" max="6171" width="18.7109375" style="2" customWidth="1"/>
    <col min="6172" max="6172" width="20.5703125" style="2" customWidth="1"/>
    <col min="6173" max="6173" width="16.140625" style="2" customWidth="1"/>
    <col min="6174" max="6174" width="16" style="2" customWidth="1"/>
    <col min="6175" max="6400" width="9.140625" style="2"/>
    <col min="6401" max="6401" width="14.85546875" style="2" customWidth="1"/>
    <col min="6402" max="6402" width="18.7109375" style="2" customWidth="1"/>
    <col min="6403" max="6403" width="17.7109375" style="2" customWidth="1"/>
    <col min="6404" max="6404" width="17.140625" style="2" customWidth="1"/>
    <col min="6405" max="6407" width="17.7109375" style="2" customWidth="1"/>
    <col min="6408" max="6408" width="17.5703125" style="2" customWidth="1"/>
    <col min="6409" max="6410" width="17.140625" style="2" customWidth="1"/>
    <col min="6411" max="6411" width="16.7109375" style="2" customWidth="1"/>
    <col min="6412" max="6412" width="18.5703125" style="2" customWidth="1"/>
    <col min="6413" max="6413" width="19.28515625" style="2" customWidth="1"/>
    <col min="6414" max="6414" width="20.28515625" style="2" customWidth="1"/>
    <col min="6415" max="6415" width="23.140625" style="2" customWidth="1"/>
    <col min="6416" max="6416" width="16.42578125" style="2" customWidth="1"/>
    <col min="6417" max="6417" width="17.28515625" style="2" customWidth="1"/>
    <col min="6418" max="6418" width="16.42578125" style="2" customWidth="1"/>
    <col min="6419" max="6419" width="18.42578125" style="2" customWidth="1"/>
    <col min="6420" max="6420" width="19.7109375" style="2" customWidth="1"/>
    <col min="6421" max="6421" width="15.7109375" style="2" customWidth="1"/>
    <col min="6422" max="6422" width="21" style="2" customWidth="1"/>
    <col min="6423" max="6423" width="19.42578125" style="2" customWidth="1"/>
    <col min="6424" max="6424" width="20.28515625" style="2" customWidth="1"/>
    <col min="6425" max="6425" width="18.140625" style="2" customWidth="1"/>
    <col min="6426" max="6426" width="23" style="2" customWidth="1"/>
    <col min="6427" max="6427" width="18.7109375" style="2" customWidth="1"/>
    <col min="6428" max="6428" width="20.5703125" style="2" customWidth="1"/>
    <col min="6429" max="6429" width="16.140625" style="2" customWidth="1"/>
    <col min="6430" max="6430" width="16" style="2" customWidth="1"/>
    <col min="6431" max="6656" width="9.140625" style="2"/>
    <col min="6657" max="6657" width="14.85546875" style="2" customWidth="1"/>
    <col min="6658" max="6658" width="18.7109375" style="2" customWidth="1"/>
    <col min="6659" max="6659" width="17.7109375" style="2" customWidth="1"/>
    <col min="6660" max="6660" width="17.140625" style="2" customWidth="1"/>
    <col min="6661" max="6663" width="17.7109375" style="2" customWidth="1"/>
    <col min="6664" max="6664" width="17.5703125" style="2" customWidth="1"/>
    <col min="6665" max="6666" width="17.140625" style="2" customWidth="1"/>
    <col min="6667" max="6667" width="16.7109375" style="2" customWidth="1"/>
    <col min="6668" max="6668" width="18.5703125" style="2" customWidth="1"/>
    <col min="6669" max="6669" width="19.28515625" style="2" customWidth="1"/>
    <col min="6670" max="6670" width="20.28515625" style="2" customWidth="1"/>
    <col min="6671" max="6671" width="23.140625" style="2" customWidth="1"/>
    <col min="6672" max="6672" width="16.42578125" style="2" customWidth="1"/>
    <col min="6673" max="6673" width="17.28515625" style="2" customWidth="1"/>
    <col min="6674" max="6674" width="16.42578125" style="2" customWidth="1"/>
    <col min="6675" max="6675" width="18.42578125" style="2" customWidth="1"/>
    <col min="6676" max="6676" width="19.7109375" style="2" customWidth="1"/>
    <col min="6677" max="6677" width="15.7109375" style="2" customWidth="1"/>
    <col min="6678" max="6678" width="21" style="2" customWidth="1"/>
    <col min="6679" max="6679" width="19.42578125" style="2" customWidth="1"/>
    <col min="6680" max="6680" width="20.28515625" style="2" customWidth="1"/>
    <col min="6681" max="6681" width="18.140625" style="2" customWidth="1"/>
    <col min="6682" max="6682" width="23" style="2" customWidth="1"/>
    <col min="6683" max="6683" width="18.7109375" style="2" customWidth="1"/>
    <col min="6684" max="6684" width="20.5703125" style="2" customWidth="1"/>
    <col min="6685" max="6685" width="16.140625" style="2" customWidth="1"/>
    <col min="6686" max="6686" width="16" style="2" customWidth="1"/>
    <col min="6687" max="6912" width="9.140625" style="2"/>
    <col min="6913" max="6913" width="14.85546875" style="2" customWidth="1"/>
    <col min="6914" max="6914" width="18.7109375" style="2" customWidth="1"/>
    <col min="6915" max="6915" width="17.7109375" style="2" customWidth="1"/>
    <col min="6916" max="6916" width="17.140625" style="2" customWidth="1"/>
    <col min="6917" max="6919" width="17.7109375" style="2" customWidth="1"/>
    <col min="6920" max="6920" width="17.5703125" style="2" customWidth="1"/>
    <col min="6921" max="6922" width="17.140625" style="2" customWidth="1"/>
    <col min="6923" max="6923" width="16.7109375" style="2" customWidth="1"/>
    <col min="6924" max="6924" width="18.5703125" style="2" customWidth="1"/>
    <col min="6925" max="6925" width="19.28515625" style="2" customWidth="1"/>
    <col min="6926" max="6926" width="20.28515625" style="2" customWidth="1"/>
    <col min="6927" max="6927" width="23.140625" style="2" customWidth="1"/>
    <col min="6928" max="6928" width="16.42578125" style="2" customWidth="1"/>
    <col min="6929" max="6929" width="17.28515625" style="2" customWidth="1"/>
    <col min="6930" max="6930" width="16.42578125" style="2" customWidth="1"/>
    <col min="6931" max="6931" width="18.42578125" style="2" customWidth="1"/>
    <col min="6932" max="6932" width="19.7109375" style="2" customWidth="1"/>
    <col min="6933" max="6933" width="15.7109375" style="2" customWidth="1"/>
    <col min="6934" max="6934" width="21" style="2" customWidth="1"/>
    <col min="6935" max="6935" width="19.42578125" style="2" customWidth="1"/>
    <col min="6936" max="6936" width="20.28515625" style="2" customWidth="1"/>
    <col min="6937" max="6937" width="18.140625" style="2" customWidth="1"/>
    <col min="6938" max="6938" width="23" style="2" customWidth="1"/>
    <col min="6939" max="6939" width="18.7109375" style="2" customWidth="1"/>
    <col min="6940" max="6940" width="20.5703125" style="2" customWidth="1"/>
    <col min="6941" max="6941" width="16.140625" style="2" customWidth="1"/>
    <col min="6942" max="6942" width="16" style="2" customWidth="1"/>
    <col min="6943" max="7168" width="9.140625" style="2"/>
    <col min="7169" max="7169" width="14.85546875" style="2" customWidth="1"/>
    <col min="7170" max="7170" width="18.7109375" style="2" customWidth="1"/>
    <col min="7171" max="7171" width="17.7109375" style="2" customWidth="1"/>
    <col min="7172" max="7172" width="17.140625" style="2" customWidth="1"/>
    <col min="7173" max="7175" width="17.7109375" style="2" customWidth="1"/>
    <col min="7176" max="7176" width="17.5703125" style="2" customWidth="1"/>
    <col min="7177" max="7178" width="17.140625" style="2" customWidth="1"/>
    <col min="7179" max="7179" width="16.7109375" style="2" customWidth="1"/>
    <col min="7180" max="7180" width="18.5703125" style="2" customWidth="1"/>
    <col min="7181" max="7181" width="19.28515625" style="2" customWidth="1"/>
    <col min="7182" max="7182" width="20.28515625" style="2" customWidth="1"/>
    <col min="7183" max="7183" width="23.140625" style="2" customWidth="1"/>
    <col min="7184" max="7184" width="16.42578125" style="2" customWidth="1"/>
    <col min="7185" max="7185" width="17.28515625" style="2" customWidth="1"/>
    <col min="7186" max="7186" width="16.42578125" style="2" customWidth="1"/>
    <col min="7187" max="7187" width="18.42578125" style="2" customWidth="1"/>
    <col min="7188" max="7188" width="19.7109375" style="2" customWidth="1"/>
    <col min="7189" max="7189" width="15.7109375" style="2" customWidth="1"/>
    <col min="7190" max="7190" width="21" style="2" customWidth="1"/>
    <col min="7191" max="7191" width="19.42578125" style="2" customWidth="1"/>
    <col min="7192" max="7192" width="20.28515625" style="2" customWidth="1"/>
    <col min="7193" max="7193" width="18.140625" style="2" customWidth="1"/>
    <col min="7194" max="7194" width="23" style="2" customWidth="1"/>
    <col min="7195" max="7195" width="18.7109375" style="2" customWidth="1"/>
    <col min="7196" max="7196" width="20.5703125" style="2" customWidth="1"/>
    <col min="7197" max="7197" width="16.140625" style="2" customWidth="1"/>
    <col min="7198" max="7198" width="16" style="2" customWidth="1"/>
    <col min="7199" max="7424" width="9.140625" style="2"/>
    <col min="7425" max="7425" width="14.85546875" style="2" customWidth="1"/>
    <col min="7426" max="7426" width="18.7109375" style="2" customWidth="1"/>
    <col min="7427" max="7427" width="17.7109375" style="2" customWidth="1"/>
    <col min="7428" max="7428" width="17.140625" style="2" customWidth="1"/>
    <col min="7429" max="7431" width="17.7109375" style="2" customWidth="1"/>
    <col min="7432" max="7432" width="17.5703125" style="2" customWidth="1"/>
    <col min="7433" max="7434" width="17.140625" style="2" customWidth="1"/>
    <col min="7435" max="7435" width="16.7109375" style="2" customWidth="1"/>
    <col min="7436" max="7436" width="18.5703125" style="2" customWidth="1"/>
    <col min="7437" max="7437" width="19.28515625" style="2" customWidth="1"/>
    <col min="7438" max="7438" width="20.28515625" style="2" customWidth="1"/>
    <col min="7439" max="7439" width="23.140625" style="2" customWidth="1"/>
    <col min="7440" max="7440" width="16.42578125" style="2" customWidth="1"/>
    <col min="7441" max="7441" width="17.28515625" style="2" customWidth="1"/>
    <col min="7442" max="7442" width="16.42578125" style="2" customWidth="1"/>
    <col min="7443" max="7443" width="18.42578125" style="2" customWidth="1"/>
    <col min="7444" max="7444" width="19.7109375" style="2" customWidth="1"/>
    <col min="7445" max="7445" width="15.7109375" style="2" customWidth="1"/>
    <col min="7446" max="7446" width="21" style="2" customWidth="1"/>
    <col min="7447" max="7447" width="19.42578125" style="2" customWidth="1"/>
    <col min="7448" max="7448" width="20.28515625" style="2" customWidth="1"/>
    <col min="7449" max="7449" width="18.140625" style="2" customWidth="1"/>
    <col min="7450" max="7450" width="23" style="2" customWidth="1"/>
    <col min="7451" max="7451" width="18.7109375" style="2" customWidth="1"/>
    <col min="7452" max="7452" width="20.5703125" style="2" customWidth="1"/>
    <col min="7453" max="7453" width="16.140625" style="2" customWidth="1"/>
    <col min="7454" max="7454" width="16" style="2" customWidth="1"/>
    <col min="7455" max="7680" width="9.140625" style="2"/>
    <col min="7681" max="7681" width="14.85546875" style="2" customWidth="1"/>
    <col min="7682" max="7682" width="18.7109375" style="2" customWidth="1"/>
    <col min="7683" max="7683" width="17.7109375" style="2" customWidth="1"/>
    <col min="7684" max="7684" width="17.140625" style="2" customWidth="1"/>
    <col min="7685" max="7687" width="17.7109375" style="2" customWidth="1"/>
    <col min="7688" max="7688" width="17.5703125" style="2" customWidth="1"/>
    <col min="7689" max="7690" width="17.140625" style="2" customWidth="1"/>
    <col min="7691" max="7691" width="16.7109375" style="2" customWidth="1"/>
    <col min="7692" max="7692" width="18.5703125" style="2" customWidth="1"/>
    <col min="7693" max="7693" width="19.28515625" style="2" customWidth="1"/>
    <col min="7694" max="7694" width="20.28515625" style="2" customWidth="1"/>
    <col min="7695" max="7695" width="23.140625" style="2" customWidth="1"/>
    <col min="7696" max="7696" width="16.42578125" style="2" customWidth="1"/>
    <col min="7697" max="7697" width="17.28515625" style="2" customWidth="1"/>
    <col min="7698" max="7698" width="16.42578125" style="2" customWidth="1"/>
    <col min="7699" max="7699" width="18.42578125" style="2" customWidth="1"/>
    <col min="7700" max="7700" width="19.7109375" style="2" customWidth="1"/>
    <col min="7701" max="7701" width="15.7109375" style="2" customWidth="1"/>
    <col min="7702" max="7702" width="21" style="2" customWidth="1"/>
    <col min="7703" max="7703" width="19.42578125" style="2" customWidth="1"/>
    <col min="7704" max="7704" width="20.28515625" style="2" customWidth="1"/>
    <col min="7705" max="7705" width="18.140625" style="2" customWidth="1"/>
    <col min="7706" max="7706" width="23" style="2" customWidth="1"/>
    <col min="7707" max="7707" width="18.7109375" style="2" customWidth="1"/>
    <col min="7708" max="7708" width="20.5703125" style="2" customWidth="1"/>
    <col min="7709" max="7709" width="16.140625" style="2" customWidth="1"/>
    <col min="7710" max="7710" width="16" style="2" customWidth="1"/>
    <col min="7711" max="7936" width="9.140625" style="2"/>
    <col min="7937" max="7937" width="14.85546875" style="2" customWidth="1"/>
    <col min="7938" max="7938" width="18.7109375" style="2" customWidth="1"/>
    <col min="7939" max="7939" width="17.7109375" style="2" customWidth="1"/>
    <col min="7940" max="7940" width="17.140625" style="2" customWidth="1"/>
    <col min="7941" max="7943" width="17.7109375" style="2" customWidth="1"/>
    <col min="7944" max="7944" width="17.5703125" style="2" customWidth="1"/>
    <col min="7945" max="7946" width="17.140625" style="2" customWidth="1"/>
    <col min="7947" max="7947" width="16.7109375" style="2" customWidth="1"/>
    <col min="7948" max="7948" width="18.5703125" style="2" customWidth="1"/>
    <col min="7949" max="7949" width="19.28515625" style="2" customWidth="1"/>
    <col min="7950" max="7950" width="20.28515625" style="2" customWidth="1"/>
    <col min="7951" max="7951" width="23.140625" style="2" customWidth="1"/>
    <col min="7952" max="7952" width="16.42578125" style="2" customWidth="1"/>
    <col min="7953" max="7953" width="17.28515625" style="2" customWidth="1"/>
    <col min="7954" max="7954" width="16.42578125" style="2" customWidth="1"/>
    <col min="7955" max="7955" width="18.42578125" style="2" customWidth="1"/>
    <col min="7956" max="7956" width="19.7109375" style="2" customWidth="1"/>
    <col min="7957" max="7957" width="15.7109375" style="2" customWidth="1"/>
    <col min="7958" max="7958" width="21" style="2" customWidth="1"/>
    <col min="7959" max="7959" width="19.42578125" style="2" customWidth="1"/>
    <col min="7960" max="7960" width="20.28515625" style="2" customWidth="1"/>
    <col min="7961" max="7961" width="18.140625" style="2" customWidth="1"/>
    <col min="7962" max="7962" width="23" style="2" customWidth="1"/>
    <col min="7963" max="7963" width="18.7109375" style="2" customWidth="1"/>
    <col min="7964" max="7964" width="20.5703125" style="2" customWidth="1"/>
    <col min="7965" max="7965" width="16.140625" style="2" customWidth="1"/>
    <col min="7966" max="7966" width="16" style="2" customWidth="1"/>
    <col min="7967" max="8192" width="9.140625" style="2"/>
    <col min="8193" max="8193" width="14.85546875" style="2" customWidth="1"/>
    <col min="8194" max="8194" width="18.7109375" style="2" customWidth="1"/>
    <col min="8195" max="8195" width="17.7109375" style="2" customWidth="1"/>
    <col min="8196" max="8196" width="17.140625" style="2" customWidth="1"/>
    <col min="8197" max="8199" width="17.7109375" style="2" customWidth="1"/>
    <col min="8200" max="8200" width="17.5703125" style="2" customWidth="1"/>
    <col min="8201" max="8202" width="17.140625" style="2" customWidth="1"/>
    <col min="8203" max="8203" width="16.7109375" style="2" customWidth="1"/>
    <col min="8204" max="8204" width="18.5703125" style="2" customWidth="1"/>
    <col min="8205" max="8205" width="19.28515625" style="2" customWidth="1"/>
    <col min="8206" max="8206" width="20.28515625" style="2" customWidth="1"/>
    <col min="8207" max="8207" width="23.140625" style="2" customWidth="1"/>
    <col min="8208" max="8208" width="16.42578125" style="2" customWidth="1"/>
    <col min="8209" max="8209" width="17.28515625" style="2" customWidth="1"/>
    <col min="8210" max="8210" width="16.42578125" style="2" customWidth="1"/>
    <col min="8211" max="8211" width="18.42578125" style="2" customWidth="1"/>
    <col min="8212" max="8212" width="19.7109375" style="2" customWidth="1"/>
    <col min="8213" max="8213" width="15.7109375" style="2" customWidth="1"/>
    <col min="8214" max="8214" width="21" style="2" customWidth="1"/>
    <col min="8215" max="8215" width="19.42578125" style="2" customWidth="1"/>
    <col min="8216" max="8216" width="20.28515625" style="2" customWidth="1"/>
    <col min="8217" max="8217" width="18.140625" style="2" customWidth="1"/>
    <col min="8218" max="8218" width="23" style="2" customWidth="1"/>
    <col min="8219" max="8219" width="18.7109375" style="2" customWidth="1"/>
    <col min="8220" max="8220" width="20.5703125" style="2" customWidth="1"/>
    <col min="8221" max="8221" width="16.140625" style="2" customWidth="1"/>
    <col min="8222" max="8222" width="16" style="2" customWidth="1"/>
    <col min="8223" max="8448" width="9.140625" style="2"/>
    <col min="8449" max="8449" width="14.85546875" style="2" customWidth="1"/>
    <col min="8450" max="8450" width="18.7109375" style="2" customWidth="1"/>
    <col min="8451" max="8451" width="17.7109375" style="2" customWidth="1"/>
    <col min="8452" max="8452" width="17.140625" style="2" customWidth="1"/>
    <col min="8453" max="8455" width="17.7109375" style="2" customWidth="1"/>
    <col min="8456" max="8456" width="17.5703125" style="2" customWidth="1"/>
    <col min="8457" max="8458" width="17.140625" style="2" customWidth="1"/>
    <col min="8459" max="8459" width="16.7109375" style="2" customWidth="1"/>
    <col min="8460" max="8460" width="18.5703125" style="2" customWidth="1"/>
    <col min="8461" max="8461" width="19.28515625" style="2" customWidth="1"/>
    <col min="8462" max="8462" width="20.28515625" style="2" customWidth="1"/>
    <col min="8463" max="8463" width="23.140625" style="2" customWidth="1"/>
    <col min="8464" max="8464" width="16.42578125" style="2" customWidth="1"/>
    <col min="8465" max="8465" width="17.28515625" style="2" customWidth="1"/>
    <col min="8466" max="8466" width="16.42578125" style="2" customWidth="1"/>
    <col min="8467" max="8467" width="18.42578125" style="2" customWidth="1"/>
    <col min="8468" max="8468" width="19.7109375" style="2" customWidth="1"/>
    <col min="8469" max="8469" width="15.7109375" style="2" customWidth="1"/>
    <col min="8470" max="8470" width="21" style="2" customWidth="1"/>
    <col min="8471" max="8471" width="19.42578125" style="2" customWidth="1"/>
    <col min="8472" max="8472" width="20.28515625" style="2" customWidth="1"/>
    <col min="8473" max="8473" width="18.140625" style="2" customWidth="1"/>
    <col min="8474" max="8474" width="23" style="2" customWidth="1"/>
    <col min="8475" max="8475" width="18.7109375" style="2" customWidth="1"/>
    <col min="8476" max="8476" width="20.5703125" style="2" customWidth="1"/>
    <col min="8477" max="8477" width="16.140625" style="2" customWidth="1"/>
    <col min="8478" max="8478" width="16" style="2" customWidth="1"/>
    <col min="8479" max="8704" width="9.140625" style="2"/>
    <col min="8705" max="8705" width="14.85546875" style="2" customWidth="1"/>
    <col min="8706" max="8706" width="18.7109375" style="2" customWidth="1"/>
    <col min="8707" max="8707" width="17.7109375" style="2" customWidth="1"/>
    <col min="8708" max="8708" width="17.140625" style="2" customWidth="1"/>
    <col min="8709" max="8711" width="17.7109375" style="2" customWidth="1"/>
    <col min="8712" max="8712" width="17.5703125" style="2" customWidth="1"/>
    <col min="8713" max="8714" width="17.140625" style="2" customWidth="1"/>
    <col min="8715" max="8715" width="16.7109375" style="2" customWidth="1"/>
    <col min="8716" max="8716" width="18.5703125" style="2" customWidth="1"/>
    <col min="8717" max="8717" width="19.28515625" style="2" customWidth="1"/>
    <col min="8718" max="8718" width="20.28515625" style="2" customWidth="1"/>
    <col min="8719" max="8719" width="23.140625" style="2" customWidth="1"/>
    <col min="8720" max="8720" width="16.42578125" style="2" customWidth="1"/>
    <col min="8721" max="8721" width="17.28515625" style="2" customWidth="1"/>
    <col min="8722" max="8722" width="16.42578125" style="2" customWidth="1"/>
    <col min="8723" max="8723" width="18.42578125" style="2" customWidth="1"/>
    <col min="8724" max="8724" width="19.7109375" style="2" customWidth="1"/>
    <col min="8725" max="8725" width="15.7109375" style="2" customWidth="1"/>
    <col min="8726" max="8726" width="21" style="2" customWidth="1"/>
    <col min="8727" max="8727" width="19.42578125" style="2" customWidth="1"/>
    <col min="8728" max="8728" width="20.28515625" style="2" customWidth="1"/>
    <col min="8729" max="8729" width="18.140625" style="2" customWidth="1"/>
    <col min="8730" max="8730" width="23" style="2" customWidth="1"/>
    <col min="8731" max="8731" width="18.7109375" style="2" customWidth="1"/>
    <col min="8732" max="8732" width="20.5703125" style="2" customWidth="1"/>
    <col min="8733" max="8733" width="16.140625" style="2" customWidth="1"/>
    <col min="8734" max="8734" width="16" style="2" customWidth="1"/>
    <col min="8735" max="8960" width="9.140625" style="2"/>
    <col min="8961" max="8961" width="14.85546875" style="2" customWidth="1"/>
    <col min="8962" max="8962" width="18.7109375" style="2" customWidth="1"/>
    <col min="8963" max="8963" width="17.7109375" style="2" customWidth="1"/>
    <col min="8964" max="8964" width="17.140625" style="2" customWidth="1"/>
    <col min="8965" max="8967" width="17.7109375" style="2" customWidth="1"/>
    <col min="8968" max="8968" width="17.5703125" style="2" customWidth="1"/>
    <col min="8969" max="8970" width="17.140625" style="2" customWidth="1"/>
    <col min="8971" max="8971" width="16.7109375" style="2" customWidth="1"/>
    <col min="8972" max="8972" width="18.5703125" style="2" customWidth="1"/>
    <col min="8973" max="8973" width="19.28515625" style="2" customWidth="1"/>
    <col min="8974" max="8974" width="20.28515625" style="2" customWidth="1"/>
    <col min="8975" max="8975" width="23.140625" style="2" customWidth="1"/>
    <col min="8976" max="8976" width="16.42578125" style="2" customWidth="1"/>
    <col min="8977" max="8977" width="17.28515625" style="2" customWidth="1"/>
    <col min="8978" max="8978" width="16.42578125" style="2" customWidth="1"/>
    <col min="8979" max="8979" width="18.42578125" style="2" customWidth="1"/>
    <col min="8980" max="8980" width="19.7109375" style="2" customWidth="1"/>
    <col min="8981" max="8981" width="15.7109375" style="2" customWidth="1"/>
    <col min="8982" max="8982" width="21" style="2" customWidth="1"/>
    <col min="8983" max="8983" width="19.42578125" style="2" customWidth="1"/>
    <col min="8984" max="8984" width="20.28515625" style="2" customWidth="1"/>
    <col min="8985" max="8985" width="18.140625" style="2" customWidth="1"/>
    <col min="8986" max="8986" width="23" style="2" customWidth="1"/>
    <col min="8987" max="8987" width="18.7109375" style="2" customWidth="1"/>
    <col min="8988" max="8988" width="20.5703125" style="2" customWidth="1"/>
    <col min="8989" max="8989" width="16.140625" style="2" customWidth="1"/>
    <col min="8990" max="8990" width="16" style="2" customWidth="1"/>
    <col min="8991" max="9216" width="9.140625" style="2"/>
    <col min="9217" max="9217" width="14.85546875" style="2" customWidth="1"/>
    <col min="9218" max="9218" width="18.7109375" style="2" customWidth="1"/>
    <col min="9219" max="9219" width="17.7109375" style="2" customWidth="1"/>
    <col min="9220" max="9220" width="17.140625" style="2" customWidth="1"/>
    <col min="9221" max="9223" width="17.7109375" style="2" customWidth="1"/>
    <col min="9224" max="9224" width="17.5703125" style="2" customWidth="1"/>
    <col min="9225" max="9226" width="17.140625" style="2" customWidth="1"/>
    <col min="9227" max="9227" width="16.7109375" style="2" customWidth="1"/>
    <col min="9228" max="9228" width="18.5703125" style="2" customWidth="1"/>
    <col min="9229" max="9229" width="19.28515625" style="2" customWidth="1"/>
    <col min="9230" max="9230" width="20.28515625" style="2" customWidth="1"/>
    <col min="9231" max="9231" width="23.140625" style="2" customWidth="1"/>
    <col min="9232" max="9232" width="16.42578125" style="2" customWidth="1"/>
    <col min="9233" max="9233" width="17.28515625" style="2" customWidth="1"/>
    <col min="9234" max="9234" width="16.42578125" style="2" customWidth="1"/>
    <col min="9235" max="9235" width="18.42578125" style="2" customWidth="1"/>
    <col min="9236" max="9236" width="19.7109375" style="2" customWidth="1"/>
    <col min="9237" max="9237" width="15.7109375" style="2" customWidth="1"/>
    <col min="9238" max="9238" width="21" style="2" customWidth="1"/>
    <col min="9239" max="9239" width="19.42578125" style="2" customWidth="1"/>
    <col min="9240" max="9240" width="20.28515625" style="2" customWidth="1"/>
    <col min="9241" max="9241" width="18.140625" style="2" customWidth="1"/>
    <col min="9242" max="9242" width="23" style="2" customWidth="1"/>
    <col min="9243" max="9243" width="18.7109375" style="2" customWidth="1"/>
    <col min="9244" max="9244" width="20.5703125" style="2" customWidth="1"/>
    <col min="9245" max="9245" width="16.140625" style="2" customWidth="1"/>
    <col min="9246" max="9246" width="16" style="2" customWidth="1"/>
    <col min="9247" max="9472" width="9.140625" style="2"/>
    <col min="9473" max="9473" width="14.85546875" style="2" customWidth="1"/>
    <col min="9474" max="9474" width="18.7109375" style="2" customWidth="1"/>
    <col min="9475" max="9475" width="17.7109375" style="2" customWidth="1"/>
    <col min="9476" max="9476" width="17.140625" style="2" customWidth="1"/>
    <col min="9477" max="9479" width="17.7109375" style="2" customWidth="1"/>
    <col min="9480" max="9480" width="17.5703125" style="2" customWidth="1"/>
    <col min="9481" max="9482" width="17.140625" style="2" customWidth="1"/>
    <col min="9483" max="9483" width="16.7109375" style="2" customWidth="1"/>
    <col min="9484" max="9484" width="18.5703125" style="2" customWidth="1"/>
    <col min="9485" max="9485" width="19.28515625" style="2" customWidth="1"/>
    <col min="9486" max="9486" width="20.28515625" style="2" customWidth="1"/>
    <col min="9487" max="9487" width="23.140625" style="2" customWidth="1"/>
    <col min="9488" max="9488" width="16.42578125" style="2" customWidth="1"/>
    <col min="9489" max="9489" width="17.28515625" style="2" customWidth="1"/>
    <col min="9490" max="9490" width="16.42578125" style="2" customWidth="1"/>
    <col min="9491" max="9491" width="18.42578125" style="2" customWidth="1"/>
    <col min="9492" max="9492" width="19.7109375" style="2" customWidth="1"/>
    <col min="9493" max="9493" width="15.7109375" style="2" customWidth="1"/>
    <col min="9494" max="9494" width="21" style="2" customWidth="1"/>
    <col min="9495" max="9495" width="19.42578125" style="2" customWidth="1"/>
    <col min="9496" max="9496" width="20.28515625" style="2" customWidth="1"/>
    <col min="9497" max="9497" width="18.140625" style="2" customWidth="1"/>
    <col min="9498" max="9498" width="23" style="2" customWidth="1"/>
    <col min="9499" max="9499" width="18.7109375" style="2" customWidth="1"/>
    <col min="9500" max="9500" width="20.5703125" style="2" customWidth="1"/>
    <col min="9501" max="9501" width="16.140625" style="2" customWidth="1"/>
    <col min="9502" max="9502" width="16" style="2" customWidth="1"/>
    <col min="9503" max="9728" width="9.140625" style="2"/>
    <col min="9729" max="9729" width="14.85546875" style="2" customWidth="1"/>
    <col min="9730" max="9730" width="18.7109375" style="2" customWidth="1"/>
    <col min="9731" max="9731" width="17.7109375" style="2" customWidth="1"/>
    <col min="9732" max="9732" width="17.140625" style="2" customWidth="1"/>
    <col min="9733" max="9735" width="17.7109375" style="2" customWidth="1"/>
    <col min="9736" max="9736" width="17.5703125" style="2" customWidth="1"/>
    <col min="9737" max="9738" width="17.140625" style="2" customWidth="1"/>
    <col min="9739" max="9739" width="16.7109375" style="2" customWidth="1"/>
    <col min="9740" max="9740" width="18.5703125" style="2" customWidth="1"/>
    <col min="9741" max="9741" width="19.28515625" style="2" customWidth="1"/>
    <col min="9742" max="9742" width="20.28515625" style="2" customWidth="1"/>
    <col min="9743" max="9743" width="23.140625" style="2" customWidth="1"/>
    <col min="9744" max="9744" width="16.42578125" style="2" customWidth="1"/>
    <col min="9745" max="9745" width="17.28515625" style="2" customWidth="1"/>
    <col min="9746" max="9746" width="16.42578125" style="2" customWidth="1"/>
    <col min="9747" max="9747" width="18.42578125" style="2" customWidth="1"/>
    <col min="9748" max="9748" width="19.7109375" style="2" customWidth="1"/>
    <col min="9749" max="9749" width="15.7109375" style="2" customWidth="1"/>
    <col min="9750" max="9750" width="21" style="2" customWidth="1"/>
    <col min="9751" max="9751" width="19.42578125" style="2" customWidth="1"/>
    <col min="9752" max="9752" width="20.28515625" style="2" customWidth="1"/>
    <col min="9753" max="9753" width="18.140625" style="2" customWidth="1"/>
    <col min="9754" max="9754" width="23" style="2" customWidth="1"/>
    <col min="9755" max="9755" width="18.7109375" style="2" customWidth="1"/>
    <col min="9756" max="9756" width="20.5703125" style="2" customWidth="1"/>
    <col min="9757" max="9757" width="16.140625" style="2" customWidth="1"/>
    <col min="9758" max="9758" width="16" style="2" customWidth="1"/>
    <col min="9759" max="9984" width="9.140625" style="2"/>
    <col min="9985" max="9985" width="14.85546875" style="2" customWidth="1"/>
    <col min="9986" max="9986" width="18.7109375" style="2" customWidth="1"/>
    <col min="9987" max="9987" width="17.7109375" style="2" customWidth="1"/>
    <col min="9988" max="9988" width="17.140625" style="2" customWidth="1"/>
    <col min="9989" max="9991" width="17.7109375" style="2" customWidth="1"/>
    <col min="9992" max="9992" width="17.5703125" style="2" customWidth="1"/>
    <col min="9993" max="9994" width="17.140625" style="2" customWidth="1"/>
    <col min="9995" max="9995" width="16.7109375" style="2" customWidth="1"/>
    <col min="9996" max="9996" width="18.5703125" style="2" customWidth="1"/>
    <col min="9997" max="9997" width="19.28515625" style="2" customWidth="1"/>
    <col min="9998" max="9998" width="20.28515625" style="2" customWidth="1"/>
    <col min="9999" max="9999" width="23.140625" style="2" customWidth="1"/>
    <col min="10000" max="10000" width="16.42578125" style="2" customWidth="1"/>
    <col min="10001" max="10001" width="17.28515625" style="2" customWidth="1"/>
    <col min="10002" max="10002" width="16.42578125" style="2" customWidth="1"/>
    <col min="10003" max="10003" width="18.42578125" style="2" customWidth="1"/>
    <col min="10004" max="10004" width="19.7109375" style="2" customWidth="1"/>
    <col min="10005" max="10005" width="15.7109375" style="2" customWidth="1"/>
    <col min="10006" max="10006" width="21" style="2" customWidth="1"/>
    <col min="10007" max="10007" width="19.42578125" style="2" customWidth="1"/>
    <col min="10008" max="10008" width="20.28515625" style="2" customWidth="1"/>
    <col min="10009" max="10009" width="18.140625" style="2" customWidth="1"/>
    <col min="10010" max="10010" width="23" style="2" customWidth="1"/>
    <col min="10011" max="10011" width="18.7109375" style="2" customWidth="1"/>
    <col min="10012" max="10012" width="20.5703125" style="2" customWidth="1"/>
    <col min="10013" max="10013" width="16.140625" style="2" customWidth="1"/>
    <col min="10014" max="10014" width="16" style="2" customWidth="1"/>
    <col min="10015" max="10240" width="9.140625" style="2"/>
    <col min="10241" max="10241" width="14.85546875" style="2" customWidth="1"/>
    <col min="10242" max="10242" width="18.7109375" style="2" customWidth="1"/>
    <col min="10243" max="10243" width="17.7109375" style="2" customWidth="1"/>
    <col min="10244" max="10244" width="17.140625" style="2" customWidth="1"/>
    <col min="10245" max="10247" width="17.7109375" style="2" customWidth="1"/>
    <col min="10248" max="10248" width="17.5703125" style="2" customWidth="1"/>
    <col min="10249" max="10250" width="17.140625" style="2" customWidth="1"/>
    <col min="10251" max="10251" width="16.7109375" style="2" customWidth="1"/>
    <col min="10252" max="10252" width="18.5703125" style="2" customWidth="1"/>
    <col min="10253" max="10253" width="19.28515625" style="2" customWidth="1"/>
    <col min="10254" max="10254" width="20.28515625" style="2" customWidth="1"/>
    <col min="10255" max="10255" width="23.140625" style="2" customWidth="1"/>
    <col min="10256" max="10256" width="16.42578125" style="2" customWidth="1"/>
    <col min="10257" max="10257" width="17.28515625" style="2" customWidth="1"/>
    <col min="10258" max="10258" width="16.42578125" style="2" customWidth="1"/>
    <col min="10259" max="10259" width="18.42578125" style="2" customWidth="1"/>
    <col min="10260" max="10260" width="19.7109375" style="2" customWidth="1"/>
    <col min="10261" max="10261" width="15.7109375" style="2" customWidth="1"/>
    <col min="10262" max="10262" width="21" style="2" customWidth="1"/>
    <col min="10263" max="10263" width="19.42578125" style="2" customWidth="1"/>
    <col min="10264" max="10264" width="20.28515625" style="2" customWidth="1"/>
    <col min="10265" max="10265" width="18.140625" style="2" customWidth="1"/>
    <col min="10266" max="10266" width="23" style="2" customWidth="1"/>
    <col min="10267" max="10267" width="18.7109375" style="2" customWidth="1"/>
    <col min="10268" max="10268" width="20.5703125" style="2" customWidth="1"/>
    <col min="10269" max="10269" width="16.140625" style="2" customWidth="1"/>
    <col min="10270" max="10270" width="16" style="2" customWidth="1"/>
    <col min="10271" max="10496" width="9.140625" style="2"/>
    <col min="10497" max="10497" width="14.85546875" style="2" customWidth="1"/>
    <col min="10498" max="10498" width="18.7109375" style="2" customWidth="1"/>
    <col min="10499" max="10499" width="17.7109375" style="2" customWidth="1"/>
    <col min="10500" max="10500" width="17.140625" style="2" customWidth="1"/>
    <col min="10501" max="10503" width="17.7109375" style="2" customWidth="1"/>
    <col min="10504" max="10504" width="17.5703125" style="2" customWidth="1"/>
    <col min="10505" max="10506" width="17.140625" style="2" customWidth="1"/>
    <col min="10507" max="10507" width="16.7109375" style="2" customWidth="1"/>
    <col min="10508" max="10508" width="18.5703125" style="2" customWidth="1"/>
    <col min="10509" max="10509" width="19.28515625" style="2" customWidth="1"/>
    <col min="10510" max="10510" width="20.28515625" style="2" customWidth="1"/>
    <col min="10511" max="10511" width="23.140625" style="2" customWidth="1"/>
    <col min="10512" max="10512" width="16.42578125" style="2" customWidth="1"/>
    <col min="10513" max="10513" width="17.28515625" style="2" customWidth="1"/>
    <col min="10514" max="10514" width="16.42578125" style="2" customWidth="1"/>
    <col min="10515" max="10515" width="18.42578125" style="2" customWidth="1"/>
    <col min="10516" max="10516" width="19.7109375" style="2" customWidth="1"/>
    <col min="10517" max="10517" width="15.7109375" style="2" customWidth="1"/>
    <col min="10518" max="10518" width="21" style="2" customWidth="1"/>
    <col min="10519" max="10519" width="19.42578125" style="2" customWidth="1"/>
    <col min="10520" max="10520" width="20.28515625" style="2" customWidth="1"/>
    <col min="10521" max="10521" width="18.140625" style="2" customWidth="1"/>
    <col min="10522" max="10522" width="23" style="2" customWidth="1"/>
    <col min="10523" max="10523" width="18.7109375" style="2" customWidth="1"/>
    <col min="10524" max="10524" width="20.5703125" style="2" customWidth="1"/>
    <col min="10525" max="10525" width="16.140625" style="2" customWidth="1"/>
    <col min="10526" max="10526" width="16" style="2" customWidth="1"/>
    <col min="10527" max="10752" width="9.140625" style="2"/>
    <col min="10753" max="10753" width="14.85546875" style="2" customWidth="1"/>
    <col min="10754" max="10754" width="18.7109375" style="2" customWidth="1"/>
    <col min="10755" max="10755" width="17.7109375" style="2" customWidth="1"/>
    <col min="10756" max="10756" width="17.140625" style="2" customWidth="1"/>
    <col min="10757" max="10759" width="17.7109375" style="2" customWidth="1"/>
    <col min="10760" max="10760" width="17.5703125" style="2" customWidth="1"/>
    <col min="10761" max="10762" width="17.140625" style="2" customWidth="1"/>
    <col min="10763" max="10763" width="16.7109375" style="2" customWidth="1"/>
    <col min="10764" max="10764" width="18.5703125" style="2" customWidth="1"/>
    <col min="10765" max="10765" width="19.28515625" style="2" customWidth="1"/>
    <col min="10766" max="10766" width="20.28515625" style="2" customWidth="1"/>
    <col min="10767" max="10767" width="23.140625" style="2" customWidth="1"/>
    <col min="10768" max="10768" width="16.42578125" style="2" customWidth="1"/>
    <col min="10769" max="10769" width="17.28515625" style="2" customWidth="1"/>
    <col min="10770" max="10770" width="16.42578125" style="2" customWidth="1"/>
    <col min="10771" max="10771" width="18.42578125" style="2" customWidth="1"/>
    <col min="10772" max="10772" width="19.7109375" style="2" customWidth="1"/>
    <col min="10773" max="10773" width="15.7109375" style="2" customWidth="1"/>
    <col min="10774" max="10774" width="21" style="2" customWidth="1"/>
    <col min="10775" max="10775" width="19.42578125" style="2" customWidth="1"/>
    <col min="10776" max="10776" width="20.28515625" style="2" customWidth="1"/>
    <col min="10777" max="10777" width="18.140625" style="2" customWidth="1"/>
    <col min="10778" max="10778" width="23" style="2" customWidth="1"/>
    <col min="10779" max="10779" width="18.7109375" style="2" customWidth="1"/>
    <col min="10780" max="10780" width="20.5703125" style="2" customWidth="1"/>
    <col min="10781" max="10781" width="16.140625" style="2" customWidth="1"/>
    <col min="10782" max="10782" width="16" style="2" customWidth="1"/>
    <col min="10783" max="11008" width="9.140625" style="2"/>
    <col min="11009" max="11009" width="14.85546875" style="2" customWidth="1"/>
    <col min="11010" max="11010" width="18.7109375" style="2" customWidth="1"/>
    <col min="11011" max="11011" width="17.7109375" style="2" customWidth="1"/>
    <col min="11012" max="11012" width="17.140625" style="2" customWidth="1"/>
    <col min="11013" max="11015" width="17.7109375" style="2" customWidth="1"/>
    <col min="11016" max="11016" width="17.5703125" style="2" customWidth="1"/>
    <col min="11017" max="11018" width="17.140625" style="2" customWidth="1"/>
    <col min="11019" max="11019" width="16.7109375" style="2" customWidth="1"/>
    <col min="11020" max="11020" width="18.5703125" style="2" customWidth="1"/>
    <col min="11021" max="11021" width="19.28515625" style="2" customWidth="1"/>
    <col min="11022" max="11022" width="20.28515625" style="2" customWidth="1"/>
    <col min="11023" max="11023" width="23.140625" style="2" customWidth="1"/>
    <col min="11024" max="11024" width="16.42578125" style="2" customWidth="1"/>
    <col min="11025" max="11025" width="17.28515625" style="2" customWidth="1"/>
    <col min="11026" max="11026" width="16.42578125" style="2" customWidth="1"/>
    <col min="11027" max="11027" width="18.42578125" style="2" customWidth="1"/>
    <col min="11028" max="11028" width="19.7109375" style="2" customWidth="1"/>
    <col min="11029" max="11029" width="15.7109375" style="2" customWidth="1"/>
    <col min="11030" max="11030" width="21" style="2" customWidth="1"/>
    <col min="11031" max="11031" width="19.42578125" style="2" customWidth="1"/>
    <col min="11032" max="11032" width="20.28515625" style="2" customWidth="1"/>
    <col min="11033" max="11033" width="18.140625" style="2" customWidth="1"/>
    <col min="11034" max="11034" width="23" style="2" customWidth="1"/>
    <col min="11035" max="11035" width="18.7109375" style="2" customWidth="1"/>
    <col min="11036" max="11036" width="20.5703125" style="2" customWidth="1"/>
    <col min="11037" max="11037" width="16.140625" style="2" customWidth="1"/>
    <col min="11038" max="11038" width="16" style="2" customWidth="1"/>
    <col min="11039" max="11264" width="9.140625" style="2"/>
    <col min="11265" max="11265" width="14.85546875" style="2" customWidth="1"/>
    <col min="11266" max="11266" width="18.7109375" style="2" customWidth="1"/>
    <col min="11267" max="11267" width="17.7109375" style="2" customWidth="1"/>
    <col min="11268" max="11268" width="17.140625" style="2" customWidth="1"/>
    <col min="11269" max="11271" width="17.7109375" style="2" customWidth="1"/>
    <col min="11272" max="11272" width="17.5703125" style="2" customWidth="1"/>
    <col min="11273" max="11274" width="17.140625" style="2" customWidth="1"/>
    <col min="11275" max="11275" width="16.7109375" style="2" customWidth="1"/>
    <col min="11276" max="11276" width="18.5703125" style="2" customWidth="1"/>
    <col min="11277" max="11277" width="19.28515625" style="2" customWidth="1"/>
    <col min="11278" max="11278" width="20.28515625" style="2" customWidth="1"/>
    <col min="11279" max="11279" width="23.140625" style="2" customWidth="1"/>
    <col min="11280" max="11280" width="16.42578125" style="2" customWidth="1"/>
    <col min="11281" max="11281" width="17.28515625" style="2" customWidth="1"/>
    <col min="11282" max="11282" width="16.42578125" style="2" customWidth="1"/>
    <col min="11283" max="11283" width="18.42578125" style="2" customWidth="1"/>
    <col min="11284" max="11284" width="19.7109375" style="2" customWidth="1"/>
    <col min="11285" max="11285" width="15.7109375" style="2" customWidth="1"/>
    <col min="11286" max="11286" width="21" style="2" customWidth="1"/>
    <col min="11287" max="11287" width="19.42578125" style="2" customWidth="1"/>
    <col min="11288" max="11288" width="20.28515625" style="2" customWidth="1"/>
    <col min="11289" max="11289" width="18.140625" style="2" customWidth="1"/>
    <col min="11290" max="11290" width="23" style="2" customWidth="1"/>
    <col min="11291" max="11291" width="18.7109375" style="2" customWidth="1"/>
    <col min="11292" max="11292" width="20.5703125" style="2" customWidth="1"/>
    <col min="11293" max="11293" width="16.140625" style="2" customWidth="1"/>
    <col min="11294" max="11294" width="16" style="2" customWidth="1"/>
    <col min="11295" max="11520" width="9.140625" style="2"/>
    <col min="11521" max="11521" width="14.85546875" style="2" customWidth="1"/>
    <col min="11522" max="11522" width="18.7109375" style="2" customWidth="1"/>
    <col min="11523" max="11523" width="17.7109375" style="2" customWidth="1"/>
    <col min="11524" max="11524" width="17.140625" style="2" customWidth="1"/>
    <col min="11525" max="11527" width="17.7109375" style="2" customWidth="1"/>
    <col min="11528" max="11528" width="17.5703125" style="2" customWidth="1"/>
    <col min="11529" max="11530" width="17.140625" style="2" customWidth="1"/>
    <col min="11531" max="11531" width="16.7109375" style="2" customWidth="1"/>
    <col min="11532" max="11532" width="18.5703125" style="2" customWidth="1"/>
    <col min="11533" max="11533" width="19.28515625" style="2" customWidth="1"/>
    <col min="11534" max="11534" width="20.28515625" style="2" customWidth="1"/>
    <col min="11535" max="11535" width="23.140625" style="2" customWidth="1"/>
    <col min="11536" max="11536" width="16.42578125" style="2" customWidth="1"/>
    <col min="11537" max="11537" width="17.28515625" style="2" customWidth="1"/>
    <col min="11538" max="11538" width="16.42578125" style="2" customWidth="1"/>
    <col min="11539" max="11539" width="18.42578125" style="2" customWidth="1"/>
    <col min="11540" max="11540" width="19.7109375" style="2" customWidth="1"/>
    <col min="11541" max="11541" width="15.7109375" style="2" customWidth="1"/>
    <col min="11542" max="11542" width="21" style="2" customWidth="1"/>
    <col min="11543" max="11543" width="19.42578125" style="2" customWidth="1"/>
    <col min="11544" max="11544" width="20.28515625" style="2" customWidth="1"/>
    <col min="11545" max="11545" width="18.140625" style="2" customWidth="1"/>
    <col min="11546" max="11546" width="23" style="2" customWidth="1"/>
    <col min="11547" max="11547" width="18.7109375" style="2" customWidth="1"/>
    <col min="11548" max="11548" width="20.5703125" style="2" customWidth="1"/>
    <col min="11549" max="11549" width="16.140625" style="2" customWidth="1"/>
    <col min="11550" max="11550" width="16" style="2" customWidth="1"/>
    <col min="11551" max="11776" width="9.140625" style="2"/>
    <col min="11777" max="11777" width="14.85546875" style="2" customWidth="1"/>
    <col min="11778" max="11778" width="18.7109375" style="2" customWidth="1"/>
    <col min="11779" max="11779" width="17.7109375" style="2" customWidth="1"/>
    <col min="11780" max="11780" width="17.140625" style="2" customWidth="1"/>
    <col min="11781" max="11783" width="17.7109375" style="2" customWidth="1"/>
    <col min="11784" max="11784" width="17.5703125" style="2" customWidth="1"/>
    <col min="11785" max="11786" width="17.140625" style="2" customWidth="1"/>
    <col min="11787" max="11787" width="16.7109375" style="2" customWidth="1"/>
    <col min="11788" max="11788" width="18.5703125" style="2" customWidth="1"/>
    <col min="11789" max="11789" width="19.28515625" style="2" customWidth="1"/>
    <col min="11790" max="11790" width="20.28515625" style="2" customWidth="1"/>
    <col min="11791" max="11791" width="23.140625" style="2" customWidth="1"/>
    <col min="11792" max="11792" width="16.42578125" style="2" customWidth="1"/>
    <col min="11793" max="11793" width="17.28515625" style="2" customWidth="1"/>
    <col min="11794" max="11794" width="16.42578125" style="2" customWidth="1"/>
    <col min="11795" max="11795" width="18.42578125" style="2" customWidth="1"/>
    <col min="11796" max="11796" width="19.7109375" style="2" customWidth="1"/>
    <col min="11797" max="11797" width="15.7109375" style="2" customWidth="1"/>
    <col min="11798" max="11798" width="21" style="2" customWidth="1"/>
    <col min="11799" max="11799" width="19.42578125" style="2" customWidth="1"/>
    <col min="11800" max="11800" width="20.28515625" style="2" customWidth="1"/>
    <col min="11801" max="11801" width="18.140625" style="2" customWidth="1"/>
    <col min="11802" max="11802" width="23" style="2" customWidth="1"/>
    <col min="11803" max="11803" width="18.7109375" style="2" customWidth="1"/>
    <col min="11804" max="11804" width="20.5703125" style="2" customWidth="1"/>
    <col min="11805" max="11805" width="16.140625" style="2" customWidth="1"/>
    <col min="11806" max="11806" width="16" style="2" customWidth="1"/>
    <col min="11807" max="12032" width="9.140625" style="2"/>
    <col min="12033" max="12033" width="14.85546875" style="2" customWidth="1"/>
    <col min="12034" max="12034" width="18.7109375" style="2" customWidth="1"/>
    <col min="12035" max="12035" width="17.7109375" style="2" customWidth="1"/>
    <col min="12036" max="12036" width="17.140625" style="2" customWidth="1"/>
    <col min="12037" max="12039" width="17.7109375" style="2" customWidth="1"/>
    <col min="12040" max="12040" width="17.5703125" style="2" customWidth="1"/>
    <col min="12041" max="12042" width="17.140625" style="2" customWidth="1"/>
    <col min="12043" max="12043" width="16.7109375" style="2" customWidth="1"/>
    <col min="12044" max="12044" width="18.5703125" style="2" customWidth="1"/>
    <col min="12045" max="12045" width="19.28515625" style="2" customWidth="1"/>
    <col min="12046" max="12046" width="20.28515625" style="2" customWidth="1"/>
    <col min="12047" max="12047" width="23.140625" style="2" customWidth="1"/>
    <col min="12048" max="12048" width="16.42578125" style="2" customWidth="1"/>
    <col min="12049" max="12049" width="17.28515625" style="2" customWidth="1"/>
    <col min="12050" max="12050" width="16.42578125" style="2" customWidth="1"/>
    <col min="12051" max="12051" width="18.42578125" style="2" customWidth="1"/>
    <col min="12052" max="12052" width="19.7109375" style="2" customWidth="1"/>
    <col min="12053" max="12053" width="15.7109375" style="2" customWidth="1"/>
    <col min="12054" max="12054" width="21" style="2" customWidth="1"/>
    <col min="12055" max="12055" width="19.42578125" style="2" customWidth="1"/>
    <col min="12056" max="12056" width="20.28515625" style="2" customWidth="1"/>
    <col min="12057" max="12057" width="18.140625" style="2" customWidth="1"/>
    <col min="12058" max="12058" width="23" style="2" customWidth="1"/>
    <col min="12059" max="12059" width="18.7109375" style="2" customWidth="1"/>
    <col min="12060" max="12060" width="20.5703125" style="2" customWidth="1"/>
    <col min="12061" max="12061" width="16.140625" style="2" customWidth="1"/>
    <col min="12062" max="12062" width="16" style="2" customWidth="1"/>
    <col min="12063" max="12288" width="9.140625" style="2"/>
    <col min="12289" max="12289" width="14.85546875" style="2" customWidth="1"/>
    <col min="12290" max="12290" width="18.7109375" style="2" customWidth="1"/>
    <col min="12291" max="12291" width="17.7109375" style="2" customWidth="1"/>
    <col min="12292" max="12292" width="17.140625" style="2" customWidth="1"/>
    <col min="12293" max="12295" width="17.7109375" style="2" customWidth="1"/>
    <col min="12296" max="12296" width="17.5703125" style="2" customWidth="1"/>
    <col min="12297" max="12298" width="17.140625" style="2" customWidth="1"/>
    <col min="12299" max="12299" width="16.7109375" style="2" customWidth="1"/>
    <col min="12300" max="12300" width="18.5703125" style="2" customWidth="1"/>
    <col min="12301" max="12301" width="19.28515625" style="2" customWidth="1"/>
    <col min="12302" max="12302" width="20.28515625" style="2" customWidth="1"/>
    <col min="12303" max="12303" width="23.140625" style="2" customWidth="1"/>
    <col min="12304" max="12304" width="16.42578125" style="2" customWidth="1"/>
    <col min="12305" max="12305" width="17.28515625" style="2" customWidth="1"/>
    <col min="12306" max="12306" width="16.42578125" style="2" customWidth="1"/>
    <col min="12307" max="12307" width="18.42578125" style="2" customWidth="1"/>
    <col min="12308" max="12308" width="19.7109375" style="2" customWidth="1"/>
    <col min="12309" max="12309" width="15.7109375" style="2" customWidth="1"/>
    <col min="12310" max="12310" width="21" style="2" customWidth="1"/>
    <col min="12311" max="12311" width="19.42578125" style="2" customWidth="1"/>
    <col min="12312" max="12312" width="20.28515625" style="2" customWidth="1"/>
    <col min="12313" max="12313" width="18.140625" style="2" customWidth="1"/>
    <col min="12314" max="12314" width="23" style="2" customWidth="1"/>
    <col min="12315" max="12315" width="18.7109375" style="2" customWidth="1"/>
    <col min="12316" max="12316" width="20.5703125" style="2" customWidth="1"/>
    <col min="12317" max="12317" width="16.140625" style="2" customWidth="1"/>
    <col min="12318" max="12318" width="16" style="2" customWidth="1"/>
    <col min="12319" max="12544" width="9.140625" style="2"/>
    <col min="12545" max="12545" width="14.85546875" style="2" customWidth="1"/>
    <col min="12546" max="12546" width="18.7109375" style="2" customWidth="1"/>
    <col min="12547" max="12547" width="17.7109375" style="2" customWidth="1"/>
    <col min="12548" max="12548" width="17.140625" style="2" customWidth="1"/>
    <col min="12549" max="12551" width="17.7109375" style="2" customWidth="1"/>
    <col min="12552" max="12552" width="17.5703125" style="2" customWidth="1"/>
    <col min="12553" max="12554" width="17.140625" style="2" customWidth="1"/>
    <col min="12555" max="12555" width="16.7109375" style="2" customWidth="1"/>
    <col min="12556" max="12556" width="18.5703125" style="2" customWidth="1"/>
    <col min="12557" max="12557" width="19.28515625" style="2" customWidth="1"/>
    <col min="12558" max="12558" width="20.28515625" style="2" customWidth="1"/>
    <col min="12559" max="12559" width="23.140625" style="2" customWidth="1"/>
    <col min="12560" max="12560" width="16.42578125" style="2" customWidth="1"/>
    <col min="12561" max="12561" width="17.28515625" style="2" customWidth="1"/>
    <col min="12562" max="12562" width="16.42578125" style="2" customWidth="1"/>
    <col min="12563" max="12563" width="18.42578125" style="2" customWidth="1"/>
    <col min="12564" max="12564" width="19.7109375" style="2" customWidth="1"/>
    <col min="12565" max="12565" width="15.7109375" style="2" customWidth="1"/>
    <col min="12566" max="12566" width="21" style="2" customWidth="1"/>
    <col min="12567" max="12567" width="19.42578125" style="2" customWidth="1"/>
    <col min="12568" max="12568" width="20.28515625" style="2" customWidth="1"/>
    <col min="12569" max="12569" width="18.140625" style="2" customWidth="1"/>
    <col min="12570" max="12570" width="23" style="2" customWidth="1"/>
    <col min="12571" max="12571" width="18.7109375" style="2" customWidth="1"/>
    <col min="12572" max="12572" width="20.5703125" style="2" customWidth="1"/>
    <col min="12573" max="12573" width="16.140625" style="2" customWidth="1"/>
    <col min="12574" max="12574" width="16" style="2" customWidth="1"/>
    <col min="12575" max="12800" width="9.140625" style="2"/>
    <col min="12801" max="12801" width="14.85546875" style="2" customWidth="1"/>
    <col min="12802" max="12802" width="18.7109375" style="2" customWidth="1"/>
    <col min="12803" max="12803" width="17.7109375" style="2" customWidth="1"/>
    <col min="12804" max="12804" width="17.140625" style="2" customWidth="1"/>
    <col min="12805" max="12807" width="17.7109375" style="2" customWidth="1"/>
    <col min="12808" max="12808" width="17.5703125" style="2" customWidth="1"/>
    <col min="12809" max="12810" width="17.140625" style="2" customWidth="1"/>
    <col min="12811" max="12811" width="16.7109375" style="2" customWidth="1"/>
    <col min="12812" max="12812" width="18.5703125" style="2" customWidth="1"/>
    <col min="12813" max="12813" width="19.28515625" style="2" customWidth="1"/>
    <col min="12814" max="12814" width="20.28515625" style="2" customWidth="1"/>
    <col min="12815" max="12815" width="23.140625" style="2" customWidth="1"/>
    <col min="12816" max="12816" width="16.42578125" style="2" customWidth="1"/>
    <col min="12817" max="12817" width="17.28515625" style="2" customWidth="1"/>
    <col min="12818" max="12818" width="16.42578125" style="2" customWidth="1"/>
    <col min="12819" max="12819" width="18.42578125" style="2" customWidth="1"/>
    <col min="12820" max="12820" width="19.7109375" style="2" customWidth="1"/>
    <col min="12821" max="12821" width="15.7109375" style="2" customWidth="1"/>
    <col min="12822" max="12822" width="21" style="2" customWidth="1"/>
    <col min="12823" max="12823" width="19.42578125" style="2" customWidth="1"/>
    <col min="12824" max="12824" width="20.28515625" style="2" customWidth="1"/>
    <col min="12825" max="12825" width="18.140625" style="2" customWidth="1"/>
    <col min="12826" max="12826" width="23" style="2" customWidth="1"/>
    <col min="12827" max="12827" width="18.7109375" style="2" customWidth="1"/>
    <col min="12828" max="12828" width="20.5703125" style="2" customWidth="1"/>
    <col min="12829" max="12829" width="16.140625" style="2" customWidth="1"/>
    <col min="12830" max="12830" width="16" style="2" customWidth="1"/>
    <col min="12831" max="13056" width="9.140625" style="2"/>
    <col min="13057" max="13057" width="14.85546875" style="2" customWidth="1"/>
    <col min="13058" max="13058" width="18.7109375" style="2" customWidth="1"/>
    <col min="13059" max="13059" width="17.7109375" style="2" customWidth="1"/>
    <col min="13060" max="13060" width="17.140625" style="2" customWidth="1"/>
    <col min="13061" max="13063" width="17.7109375" style="2" customWidth="1"/>
    <col min="13064" max="13064" width="17.5703125" style="2" customWidth="1"/>
    <col min="13065" max="13066" width="17.140625" style="2" customWidth="1"/>
    <col min="13067" max="13067" width="16.7109375" style="2" customWidth="1"/>
    <col min="13068" max="13068" width="18.5703125" style="2" customWidth="1"/>
    <col min="13069" max="13069" width="19.28515625" style="2" customWidth="1"/>
    <col min="13070" max="13070" width="20.28515625" style="2" customWidth="1"/>
    <col min="13071" max="13071" width="23.140625" style="2" customWidth="1"/>
    <col min="13072" max="13072" width="16.42578125" style="2" customWidth="1"/>
    <col min="13073" max="13073" width="17.28515625" style="2" customWidth="1"/>
    <col min="13074" max="13074" width="16.42578125" style="2" customWidth="1"/>
    <col min="13075" max="13075" width="18.42578125" style="2" customWidth="1"/>
    <col min="13076" max="13076" width="19.7109375" style="2" customWidth="1"/>
    <col min="13077" max="13077" width="15.7109375" style="2" customWidth="1"/>
    <col min="13078" max="13078" width="21" style="2" customWidth="1"/>
    <col min="13079" max="13079" width="19.42578125" style="2" customWidth="1"/>
    <col min="13080" max="13080" width="20.28515625" style="2" customWidth="1"/>
    <col min="13081" max="13081" width="18.140625" style="2" customWidth="1"/>
    <col min="13082" max="13082" width="23" style="2" customWidth="1"/>
    <col min="13083" max="13083" width="18.7109375" style="2" customWidth="1"/>
    <col min="13084" max="13084" width="20.5703125" style="2" customWidth="1"/>
    <col min="13085" max="13085" width="16.140625" style="2" customWidth="1"/>
    <col min="13086" max="13086" width="16" style="2" customWidth="1"/>
    <col min="13087" max="13312" width="9.140625" style="2"/>
    <col min="13313" max="13313" width="14.85546875" style="2" customWidth="1"/>
    <col min="13314" max="13314" width="18.7109375" style="2" customWidth="1"/>
    <col min="13315" max="13315" width="17.7109375" style="2" customWidth="1"/>
    <col min="13316" max="13316" width="17.140625" style="2" customWidth="1"/>
    <col min="13317" max="13319" width="17.7109375" style="2" customWidth="1"/>
    <col min="13320" max="13320" width="17.5703125" style="2" customWidth="1"/>
    <col min="13321" max="13322" width="17.140625" style="2" customWidth="1"/>
    <col min="13323" max="13323" width="16.7109375" style="2" customWidth="1"/>
    <col min="13324" max="13324" width="18.5703125" style="2" customWidth="1"/>
    <col min="13325" max="13325" width="19.28515625" style="2" customWidth="1"/>
    <col min="13326" max="13326" width="20.28515625" style="2" customWidth="1"/>
    <col min="13327" max="13327" width="23.140625" style="2" customWidth="1"/>
    <col min="13328" max="13328" width="16.42578125" style="2" customWidth="1"/>
    <col min="13329" max="13329" width="17.28515625" style="2" customWidth="1"/>
    <col min="13330" max="13330" width="16.42578125" style="2" customWidth="1"/>
    <col min="13331" max="13331" width="18.42578125" style="2" customWidth="1"/>
    <col min="13332" max="13332" width="19.7109375" style="2" customWidth="1"/>
    <col min="13333" max="13333" width="15.7109375" style="2" customWidth="1"/>
    <col min="13334" max="13334" width="21" style="2" customWidth="1"/>
    <col min="13335" max="13335" width="19.42578125" style="2" customWidth="1"/>
    <col min="13336" max="13336" width="20.28515625" style="2" customWidth="1"/>
    <col min="13337" max="13337" width="18.140625" style="2" customWidth="1"/>
    <col min="13338" max="13338" width="23" style="2" customWidth="1"/>
    <col min="13339" max="13339" width="18.7109375" style="2" customWidth="1"/>
    <col min="13340" max="13340" width="20.5703125" style="2" customWidth="1"/>
    <col min="13341" max="13341" width="16.140625" style="2" customWidth="1"/>
    <col min="13342" max="13342" width="16" style="2" customWidth="1"/>
    <col min="13343" max="13568" width="9.140625" style="2"/>
    <col min="13569" max="13569" width="14.85546875" style="2" customWidth="1"/>
    <col min="13570" max="13570" width="18.7109375" style="2" customWidth="1"/>
    <col min="13571" max="13571" width="17.7109375" style="2" customWidth="1"/>
    <col min="13572" max="13572" width="17.140625" style="2" customWidth="1"/>
    <col min="13573" max="13575" width="17.7109375" style="2" customWidth="1"/>
    <col min="13576" max="13576" width="17.5703125" style="2" customWidth="1"/>
    <col min="13577" max="13578" width="17.140625" style="2" customWidth="1"/>
    <col min="13579" max="13579" width="16.7109375" style="2" customWidth="1"/>
    <col min="13580" max="13580" width="18.5703125" style="2" customWidth="1"/>
    <col min="13581" max="13581" width="19.28515625" style="2" customWidth="1"/>
    <col min="13582" max="13582" width="20.28515625" style="2" customWidth="1"/>
    <col min="13583" max="13583" width="23.140625" style="2" customWidth="1"/>
    <col min="13584" max="13584" width="16.42578125" style="2" customWidth="1"/>
    <col min="13585" max="13585" width="17.28515625" style="2" customWidth="1"/>
    <col min="13586" max="13586" width="16.42578125" style="2" customWidth="1"/>
    <col min="13587" max="13587" width="18.42578125" style="2" customWidth="1"/>
    <col min="13588" max="13588" width="19.7109375" style="2" customWidth="1"/>
    <col min="13589" max="13589" width="15.7109375" style="2" customWidth="1"/>
    <col min="13590" max="13590" width="21" style="2" customWidth="1"/>
    <col min="13591" max="13591" width="19.42578125" style="2" customWidth="1"/>
    <col min="13592" max="13592" width="20.28515625" style="2" customWidth="1"/>
    <col min="13593" max="13593" width="18.140625" style="2" customWidth="1"/>
    <col min="13594" max="13594" width="23" style="2" customWidth="1"/>
    <col min="13595" max="13595" width="18.7109375" style="2" customWidth="1"/>
    <col min="13596" max="13596" width="20.5703125" style="2" customWidth="1"/>
    <col min="13597" max="13597" width="16.140625" style="2" customWidth="1"/>
    <col min="13598" max="13598" width="16" style="2" customWidth="1"/>
    <col min="13599" max="13824" width="9.140625" style="2"/>
    <col min="13825" max="13825" width="14.85546875" style="2" customWidth="1"/>
    <col min="13826" max="13826" width="18.7109375" style="2" customWidth="1"/>
    <col min="13827" max="13827" width="17.7109375" style="2" customWidth="1"/>
    <col min="13828" max="13828" width="17.140625" style="2" customWidth="1"/>
    <col min="13829" max="13831" width="17.7109375" style="2" customWidth="1"/>
    <col min="13832" max="13832" width="17.5703125" style="2" customWidth="1"/>
    <col min="13833" max="13834" width="17.140625" style="2" customWidth="1"/>
    <col min="13835" max="13835" width="16.7109375" style="2" customWidth="1"/>
    <col min="13836" max="13836" width="18.5703125" style="2" customWidth="1"/>
    <col min="13837" max="13837" width="19.28515625" style="2" customWidth="1"/>
    <col min="13838" max="13838" width="20.28515625" style="2" customWidth="1"/>
    <col min="13839" max="13839" width="23.140625" style="2" customWidth="1"/>
    <col min="13840" max="13840" width="16.42578125" style="2" customWidth="1"/>
    <col min="13841" max="13841" width="17.28515625" style="2" customWidth="1"/>
    <col min="13842" max="13842" width="16.42578125" style="2" customWidth="1"/>
    <col min="13843" max="13843" width="18.42578125" style="2" customWidth="1"/>
    <col min="13844" max="13844" width="19.7109375" style="2" customWidth="1"/>
    <col min="13845" max="13845" width="15.7109375" style="2" customWidth="1"/>
    <col min="13846" max="13846" width="21" style="2" customWidth="1"/>
    <col min="13847" max="13847" width="19.42578125" style="2" customWidth="1"/>
    <col min="13848" max="13848" width="20.28515625" style="2" customWidth="1"/>
    <col min="13849" max="13849" width="18.140625" style="2" customWidth="1"/>
    <col min="13850" max="13850" width="23" style="2" customWidth="1"/>
    <col min="13851" max="13851" width="18.7109375" style="2" customWidth="1"/>
    <col min="13852" max="13852" width="20.5703125" style="2" customWidth="1"/>
    <col min="13853" max="13853" width="16.140625" style="2" customWidth="1"/>
    <col min="13854" max="13854" width="16" style="2" customWidth="1"/>
    <col min="13855" max="14080" width="9.140625" style="2"/>
    <col min="14081" max="14081" width="14.85546875" style="2" customWidth="1"/>
    <col min="14082" max="14082" width="18.7109375" style="2" customWidth="1"/>
    <col min="14083" max="14083" width="17.7109375" style="2" customWidth="1"/>
    <col min="14084" max="14084" width="17.140625" style="2" customWidth="1"/>
    <col min="14085" max="14087" width="17.7109375" style="2" customWidth="1"/>
    <col min="14088" max="14088" width="17.5703125" style="2" customWidth="1"/>
    <col min="14089" max="14090" width="17.140625" style="2" customWidth="1"/>
    <col min="14091" max="14091" width="16.7109375" style="2" customWidth="1"/>
    <col min="14092" max="14092" width="18.5703125" style="2" customWidth="1"/>
    <col min="14093" max="14093" width="19.28515625" style="2" customWidth="1"/>
    <col min="14094" max="14094" width="20.28515625" style="2" customWidth="1"/>
    <col min="14095" max="14095" width="23.140625" style="2" customWidth="1"/>
    <col min="14096" max="14096" width="16.42578125" style="2" customWidth="1"/>
    <col min="14097" max="14097" width="17.28515625" style="2" customWidth="1"/>
    <col min="14098" max="14098" width="16.42578125" style="2" customWidth="1"/>
    <col min="14099" max="14099" width="18.42578125" style="2" customWidth="1"/>
    <col min="14100" max="14100" width="19.7109375" style="2" customWidth="1"/>
    <col min="14101" max="14101" width="15.7109375" style="2" customWidth="1"/>
    <col min="14102" max="14102" width="21" style="2" customWidth="1"/>
    <col min="14103" max="14103" width="19.42578125" style="2" customWidth="1"/>
    <col min="14104" max="14104" width="20.28515625" style="2" customWidth="1"/>
    <col min="14105" max="14105" width="18.140625" style="2" customWidth="1"/>
    <col min="14106" max="14106" width="23" style="2" customWidth="1"/>
    <col min="14107" max="14107" width="18.7109375" style="2" customWidth="1"/>
    <col min="14108" max="14108" width="20.5703125" style="2" customWidth="1"/>
    <col min="14109" max="14109" width="16.140625" style="2" customWidth="1"/>
    <col min="14110" max="14110" width="16" style="2" customWidth="1"/>
    <col min="14111" max="14336" width="9.140625" style="2"/>
    <col min="14337" max="14337" width="14.85546875" style="2" customWidth="1"/>
    <col min="14338" max="14338" width="18.7109375" style="2" customWidth="1"/>
    <col min="14339" max="14339" width="17.7109375" style="2" customWidth="1"/>
    <col min="14340" max="14340" width="17.140625" style="2" customWidth="1"/>
    <col min="14341" max="14343" width="17.7109375" style="2" customWidth="1"/>
    <col min="14344" max="14344" width="17.5703125" style="2" customWidth="1"/>
    <col min="14345" max="14346" width="17.140625" style="2" customWidth="1"/>
    <col min="14347" max="14347" width="16.7109375" style="2" customWidth="1"/>
    <col min="14348" max="14348" width="18.5703125" style="2" customWidth="1"/>
    <col min="14349" max="14349" width="19.28515625" style="2" customWidth="1"/>
    <col min="14350" max="14350" width="20.28515625" style="2" customWidth="1"/>
    <col min="14351" max="14351" width="23.140625" style="2" customWidth="1"/>
    <col min="14352" max="14352" width="16.42578125" style="2" customWidth="1"/>
    <col min="14353" max="14353" width="17.28515625" style="2" customWidth="1"/>
    <col min="14354" max="14354" width="16.42578125" style="2" customWidth="1"/>
    <col min="14355" max="14355" width="18.42578125" style="2" customWidth="1"/>
    <col min="14356" max="14356" width="19.7109375" style="2" customWidth="1"/>
    <col min="14357" max="14357" width="15.7109375" style="2" customWidth="1"/>
    <col min="14358" max="14358" width="21" style="2" customWidth="1"/>
    <col min="14359" max="14359" width="19.42578125" style="2" customWidth="1"/>
    <col min="14360" max="14360" width="20.28515625" style="2" customWidth="1"/>
    <col min="14361" max="14361" width="18.140625" style="2" customWidth="1"/>
    <col min="14362" max="14362" width="23" style="2" customWidth="1"/>
    <col min="14363" max="14363" width="18.7109375" style="2" customWidth="1"/>
    <col min="14364" max="14364" width="20.5703125" style="2" customWidth="1"/>
    <col min="14365" max="14365" width="16.140625" style="2" customWidth="1"/>
    <col min="14366" max="14366" width="16" style="2" customWidth="1"/>
    <col min="14367" max="14592" width="9.140625" style="2"/>
    <col min="14593" max="14593" width="14.85546875" style="2" customWidth="1"/>
    <col min="14594" max="14594" width="18.7109375" style="2" customWidth="1"/>
    <col min="14595" max="14595" width="17.7109375" style="2" customWidth="1"/>
    <col min="14596" max="14596" width="17.140625" style="2" customWidth="1"/>
    <col min="14597" max="14599" width="17.7109375" style="2" customWidth="1"/>
    <col min="14600" max="14600" width="17.5703125" style="2" customWidth="1"/>
    <col min="14601" max="14602" width="17.140625" style="2" customWidth="1"/>
    <col min="14603" max="14603" width="16.7109375" style="2" customWidth="1"/>
    <col min="14604" max="14604" width="18.5703125" style="2" customWidth="1"/>
    <col min="14605" max="14605" width="19.28515625" style="2" customWidth="1"/>
    <col min="14606" max="14606" width="20.28515625" style="2" customWidth="1"/>
    <col min="14607" max="14607" width="23.140625" style="2" customWidth="1"/>
    <col min="14608" max="14608" width="16.42578125" style="2" customWidth="1"/>
    <col min="14609" max="14609" width="17.28515625" style="2" customWidth="1"/>
    <col min="14610" max="14610" width="16.42578125" style="2" customWidth="1"/>
    <col min="14611" max="14611" width="18.42578125" style="2" customWidth="1"/>
    <col min="14612" max="14612" width="19.7109375" style="2" customWidth="1"/>
    <col min="14613" max="14613" width="15.7109375" style="2" customWidth="1"/>
    <col min="14614" max="14614" width="21" style="2" customWidth="1"/>
    <col min="14615" max="14615" width="19.42578125" style="2" customWidth="1"/>
    <col min="14616" max="14616" width="20.28515625" style="2" customWidth="1"/>
    <col min="14617" max="14617" width="18.140625" style="2" customWidth="1"/>
    <col min="14618" max="14618" width="23" style="2" customWidth="1"/>
    <col min="14619" max="14619" width="18.7109375" style="2" customWidth="1"/>
    <col min="14620" max="14620" width="20.5703125" style="2" customWidth="1"/>
    <col min="14621" max="14621" width="16.140625" style="2" customWidth="1"/>
    <col min="14622" max="14622" width="16" style="2" customWidth="1"/>
    <col min="14623" max="14848" width="9.140625" style="2"/>
    <col min="14849" max="14849" width="14.85546875" style="2" customWidth="1"/>
    <col min="14850" max="14850" width="18.7109375" style="2" customWidth="1"/>
    <col min="14851" max="14851" width="17.7109375" style="2" customWidth="1"/>
    <col min="14852" max="14852" width="17.140625" style="2" customWidth="1"/>
    <col min="14853" max="14855" width="17.7109375" style="2" customWidth="1"/>
    <col min="14856" max="14856" width="17.5703125" style="2" customWidth="1"/>
    <col min="14857" max="14858" width="17.140625" style="2" customWidth="1"/>
    <col min="14859" max="14859" width="16.7109375" style="2" customWidth="1"/>
    <col min="14860" max="14860" width="18.5703125" style="2" customWidth="1"/>
    <col min="14861" max="14861" width="19.28515625" style="2" customWidth="1"/>
    <col min="14862" max="14862" width="20.28515625" style="2" customWidth="1"/>
    <col min="14863" max="14863" width="23.140625" style="2" customWidth="1"/>
    <col min="14864" max="14864" width="16.42578125" style="2" customWidth="1"/>
    <col min="14865" max="14865" width="17.28515625" style="2" customWidth="1"/>
    <col min="14866" max="14866" width="16.42578125" style="2" customWidth="1"/>
    <col min="14867" max="14867" width="18.42578125" style="2" customWidth="1"/>
    <col min="14868" max="14868" width="19.7109375" style="2" customWidth="1"/>
    <col min="14869" max="14869" width="15.7109375" style="2" customWidth="1"/>
    <col min="14870" max="14870" width="21" style="2" customWidth="1"/>
    <col min="14871" max="14871" width="19.42578125" style="2" customWidth="1"/>
    <col min="14872" max="14872" width="20.28515625" style="2" customWidth="1"/>
    <col min="14873" max="14873" width="18.140625" style="2" customWidth="1"/>
    <col min="14874" max="14874" width="23" style="2" customWidth="1"/>
    <col min="14875" max="14875" width="18.7109375" style="2" customWidth="1"/>
    <col min="14876" max="14876" width="20.5703125" style="2" customWidth="1"/>
    <col min="14877" max="14877" width="16.140625" style="2" customWidth="1"/>
    <col min="14878" max="14878" width="16" style="2" customWidth="1"/>
    <col min="14879" max="15104" width="9.140625" style="2"/>
    <col min="15105" max="15105" width="14.85546875" style="2" customWidth="1"/>
    <col min="15106" max="15106" width="18.7109375" style="2" customWidth="1"/>
    <col min="15107" max="15107" width="17.7109375" style="2" customWidth="1"/>
    <col min="15108" max="15108" width="17.140625" style="2" customWidth="1"/>
    <col min="15109" max="15111" width="17.7109375" style="2" customWidth="1"/>
    <col min="15112" max="15112" width="17.5703125" style="2" customWidth="1"/>
    <col min="15113" max="15114" width="17.140625" style="2" customWidth="1"/>
    <col min="15115" max="15115" width="16.7109375" style="2" customWidth="1"/>
    <col min="15116" max="15116" width="18.5703125" style="2" customWidth="1"/>
    <col min="15117" max="15117" width="19.28515625" style="2" customWidth="1"/>
    <col min="15118" max="15118" width="20.28515625" style="2" customWidth="1"/>
    <col min="15119" max="15119" width="23.140625" style="2" customWidth="1"/>
    <col min="15120" max="15120" width="16.42578125" style="2" customWidth="1"/>
    <col min="15121" max="15121" width="17.28515625" style="2" customWidth="1"/>
    <col min="15122" max="15122" width="16.42578125" style="2" customWidth="1"/>
    <col min="15123" max="15123" width="18.42578125" style="2" customWidth="1"/>
    <col min="15124" max="15124" width="19.7109375" style="2" customWidth="1"/>
    <col min="15125" max="15125" width="15.7109375" style="2" customWidth="1"/>
    <col min="15126" max="15126" width="21" style="2" customWidth="1"/>
    <col min="15127" max="15127" width="19.42578125" style="2" customWidth="1"/>
    <col min="15128" max="15128" width="20.28515625" style="2" customWidth="1"/>
    <col min="15129" max="15129" width="18.140625" style="2" customWidth="1"/>
    <col min="15130" max="15130" width="23" style="2" customWidth="1"/>
    <col min="15131" max="15131" width="18.7109375" style="2" customWidth="1"/>
    <col min="15132" max="15132" width="20.5703125" style="2" customWidth="1"/>
    <col min="15133" max="15133" width="16.140625" style="2" customWidth="1"/>
    <col min="15134" max="15134" width="16" style="2" customWidth="1"/>
    <col min="15135" max="15360" width="9.140625" style="2"/>
    <col min="15361" max="15361" width="14.85546875" style="2" customWidth="1"/>
    <col min="15362" max="15362" width="18.7109375" style="2" customWidth="1"/>
    <col min="15363" max="15363" width="17.7109375" style="2" customWidth="1"/>
    <col min="15364" max="15364" width="17.140625" style="2" customWidth="1"/>
    <col min="15365" max="15367" width="17.7109375" style="2" customWidth="1"/>
    <col min="15368" max="15368" width="17.5703125" style="2" customWidth="1"/>
    <col min="15369" max="15370" width="17.140625" style="2" customWidth="1"/>
    <col min="15371" max="15371" width="16.7109375" style="2" customWidth="1"/>
    <col min="15372" max="15372" width="18.5703125" style="2" customWidth="1"/>
    <col min="15373" max="15373" width="19.28515625" style="2" customWidth="1"/>
    <col min="15374" max="15374" width="20.28515625" style="2" customWidth="1"/>
    <col min="15375" max="15375" width="23.140625" style="2" customWidth="1"/>
    <col min="15376" max="15376" width="16.42578125" style="2" customWidth="1"/>
    <col min="15377" max="15377" width="17.28515625" style="2" customWidth="1"/>
    <col min="15378" max="15378" width="16.42578125" style="2" customWidth="1"/>
    <col min="15379" max="15379" width="18.42578125" style="2" customWidth="1"/>
    <col min="15380" max="15380" width="19.7109375" style="2" customWidth="1"/>
    <col min="15381" max="15381" width="15.7109375" style="2" customWidth="1"/>
    <col min="15382" max="15382" width="21" style="2" customWidth="1"/>
    <col min="15383" max="15383" width="19.42578125" style="2" customWidth="1"/>
    <col min="15384" max="15384" width="20.28515625" style="2" customWidth="1"/>
    <col min="15385" max="15385" width="18.140625" style="2" customWidth="1"/>
    <col min="15386" max="15386" width="23" style="2" customWidth="1"/>
    <col min="15387" max="15387" width="18.7109375" style="2" customWidth="1"/>
    <col min="15388" max="15388" width="20.5703125" style="2" customWidth="1"/>
    <col min="15389" max="15389" width="16.140625" style="2" customWidth="1"/>
    <col min="15390" max="15390" width="16" style="2" customWidth="1"/>
    <col min="15391" max="15616" width="9.140625" style="2"/>
    <col min="15617" max="15617" width="14.85546875" style="2" customWidth="1"/>
    <col min="15618" max="15618" width="18.7109375" style="2" customWidth="1"/>
    <col min="15619" max="15619" width="17.7109375" style="2" customWidth="1"/>
    <col min="15620" max="15620" width="17.140625" style="2" customWidth="1"/>
    <col min="15621" max="15623" width="17.7109375" style="2" customWidth="1"/>
    <col min="15624" max="15624" width="17.5703125" style="2" customWidth="1"/>
    <col min="15625" max="15626" width="17.140625" style="2" customWidth="1"/>
    <col min="15627" max="15627" width="16.7109375" style="2" customWidth="1"/>
    <col min="15628" max="15628" width="18.5703125" style="2" customWidth="1"/>
    <col min="15629" max="15629" width="19.28515625" style="2" customWidth="1"/>
    <col min="15630" max="15630" width="20.28515625" style="2" customWidth="1"/>
    <col min="15631" max="15631" width="23.140625" style="2" customWidth="1"/>
    <col min="15632" max="15632" width="16.42578125" style="2" customWidth="1"/>
    <col min="15633" max="15633" width="17.28515625" style="2" customWidth="1"/>
    <col min="15634" max="15634" width="16.42578125" style="2" customWidth="1"/>
    <col min="15635" max="15635" width="18.42578125" style="2" customWidth="1"/>
    <col min="15636" max="15636" width="19.7109375" style="2" customWidth="1"/>
    <col min="15637" max="15637" width="15.7109375" style="2" customWidth="1"/>
    <col min="15638" max="15638" width="21" style="2" customWidth="1"/>
    <col min="15639" max="15639" width="19.42578125" style="2" customWidth="1"/>
    <col min="15640" max="15640" width="20.28515625" style="2" customWidth="1"/>
    <col min="15641" max="15641" width="18.140625" style="2" customWidth="1"/>
    <col min="15642" max="15642" width="23" style="2" customWidth="1"/>
    <col min="15643" max="15643" width="18.7109375" style="2" customWidth="1"/>
    <col min="15644" max="15644" width="20.5703125" style="2" customWidth="1"/>
    <col min="15645" max="15645" width="16.140625" style="2" customWidth="1"/>
    <col min="15646" max="15646" width="16" style="2" customWidth="1"/>
    <col min="15647" max="15872" width="9.140625" style="2"/>
    <col min="15873" max="15873" width="14.85546875" style="2" customWidth="1"/>
    <col min="15874" max="15874" width="18.7109375" style="2" customWidth="1"/>
    <col min="15875" max="15875" width="17.7109375" style="2" customWidth="1"/>
    <col min="15876" max="15876" width="17.140625" style="2" customWidth="1"/>
    <col min="15877" max="15879" width="17.7109375" style="2" customWidth="1"/>
    <col min="15880" max="15880" width="17.5703125" style="2" customWidth="1"/>
    <col min="15881" max="15882" width="17.140625" style="2" customWidth="1"/>
    <col min="15883" max="15883" width="16.7109375" style="2" customWidth="1"/>
    <col min="15884" max="15884" width="18.5703125" style="2" customWidth="1"/>
    <col min="15885" max="15885" width="19.28515625" style="2" customWidth="1"/>
    <col min="15886" max="15886" width="20.28515625" style="2" customWidth="1"/>
    <col min="15887" max="15887" width="23.140625" style="2" customWidth="1"/>
    <col min="15888" max="15888" width="16.42578125" style="2" customWidth="1"/>
    <col min="15889" max="15889" width="17.28515625" style="2" customWidth="1"/>
    <col min="15890" max="15890" width="16.42578125" style="2" customWidth="1"/>
    <col min="15891" max="15891" width="18.42578125" style="2" customWidth="1"/>
    <col min="15892" max="15892" width="19.7109375" style="2" customWidth="1"/>
    <col min="15893" max="15893" width="15.7109375" style="2" customWidth="1"/>
    <col min="15894" max="15894" width="21" style="2" customWidth="1"/>
    <col min="15895" max="15895" width="19.42578125" style="2" customWidth="1"/>
    <col min="15896" max="15896" width="20.28515625" style="2" customWidth="1"/>
    <col min="15897" max="15897" width="18.140625" style="2" customWidth="1"/>
    <col min="15898" max="15898" width="23" style="2" customWidth="1"/>
    <col min="15899" max="15899" width="18.7109375" style="2" customWidth="1"/>
    <col min="15900" max="15900" width="20.5703125" style="2" customWidth="1"/>
    <col min="15901" max="15901" width="16.140625" style="2" customWidth="1"/>
    <col min="15902" max="15902" width="16" style="2" customWidth="1"/>
    <col min="15903" max="16128" width="9.140625" style="2"/>
    <col min="16129" max="16129" width="14.85546875" style="2" customWidth="1"/>
    <col min="16130" max="16130" width="18.7109375" style="2" customWidth="1"/>
    <col min="16131" max="16131" width="17.7109375" style="2" customWidth="1"/>
    <col min="16132" max="16132" width="17.140625" style="2" customWidth="1"/>
    <col min="16133" max="16135" width="17.7109375" style="2" customWidth="1"/>
    <col min="16136" max="16136" width="17.5703125" style="2" customWidth="1"/>
    <col min="16137" max="16138" width="17.140625" style="2" customWidth="1"/>
    <col min="16139" max="16139" width="16.7109375" style="2" customWidth="1"/>
    <col min="16140" max="16140" width="18.5703125" style="2" customWidth="1"/>
    <col min="16141" max="16141" width="19.28515625" style="2" customWidth="1"/>
    <col min="16142" max="16142" width="20.28515625" style="2" customWidth="1"/>
    <col min="16143" max="16143" width="23.140625" style="2" customWidth="1"/>
    <col min="16144" max="16144" width="16.42578125" style="2" customWidth="1"/>
    <col min="16145" max="16145" width="17.28515625" style="2" customWidth="1"/>
    <col min="16146" max="16146" width="16.42578125" style="2" customWidth="1"/>
    <col min="16147" max="16147" width="18.42578125" style="2" customWidth="1"/>
    <col min="16148" max="16148" width="19.7109375" style="2" customWidth="1"/>
    <col min="16149" max="16149" width="15.7109375" style="2" customWidth="1"/>
    <col min="16150" max="16150" width="21" style="2" customWidth="1"/>
    <col min="16151" max="16151" width="19.42578125" style="2" customWidth="1"/>
    <col min="16152" max="16152" width="20.28515625" style="2" customWidth="1"/>
    <col min="16153" max="16153" width="18.140625" style="2" customWidth="1"/>
    <col min="16154" max="16154" width="23" style="2" customWidth="1"/>
    <col min="16155" max="16155" width="18.7109375" style="2" customWidth="1"/>
    <col min="16156" max="16156" width="20.5703125" style="2" customWidth="1"/>
    <col min="16157" max="16157" width="16.140625" style="2" customWidth="1"/>
    <col min="16158" max="16158" width="16" style="2" customWidth="1"/>
    <col min="16159" max="16384" width="9.140625" style="2"/>
  </cols>
  <sheetData>
    <row r="1" spans="1:33" ht="20.25" x14ac:dyDescent="0.3">
      <c r="A1" s="320"/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  <c r="Z1" s="246"/>
      <c r="AA1" s="246"/>
      <c r="AB1" s="246"/>
      <c r="AC1" s="246"/>
      <c r="AD1" s="246"/>
      <c r="AE1" s="246"/>
      <c r="AF1" s="246"/>
    </row>
    <row r="2" spans="1:33" ht="20.25" x14ac:dyDescent="0.3">
      <c r="A2" s="320"/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246"/>
      <c r="AD2" s="246"/>
      <c r="AE2" s="246"/>
      <c r="AF2" s="246"/>
    </row>
    <row r="3" spans="1:33" ht="20.25" x14ac:dyDescent="0.3">
      <c r="A3" s="320" t="s">
        <v>107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  <c r="Z3" s="246"/>
      <c r="AA3" s="246"/>
      <c r="AB3" s="246"/>
      <c r="AC3" s="246"/>
      <c r="AD3" s="246"/>
      <c r="AE3" s="246"/>
      <c r="AF3" s="246"/>
    </row>
    <row r="4" spans="1:33" x14ac:dyDescent="0.25">
      <c r="A4" s="246"/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</row>
    <row r="5" spans="1:33" ht="18" x14ac:dyDescent="0.25">
      <c r="A5" s="321" t="s">
        <v>108</v>
      </c>
      <c r="B5" s="321"/>
      <c r="C5" s="321"/>
      <c r="D5" s="321"/>
      <c r="E5" s="321"/>
      <c r="F5" s="321"/>
      <c r="G5" s="321"/>
      <c r="H5" s="321"/>
      <c r="I5" s="321"/>
      <c r="J5" s="321"/>
      <c r="K5" s="321"/>
      <c r="L5" s="321"/>
      <c r="M5" s="321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</row>
    <row r="6" spans="1:33" ht="15.75" thickBot="1" x14ac:dyDescent="0.3">
      <c r="A6" s="246"/>
      <c r="B6" s="246"/>
      <c r="C6" s="246"/>
      <c r="D6" s="246"/>
      <c r="E6" s="246"/>
      <c r="F6" s="246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</row>
    <row r="7" spans="1:33" ht="18" x14ac:dyDescent="0.25">
      <c r="A7" s="34"/>
      <c r="B7" s="341" t="s">
        <v>1</v>
      </c>
      <c r="C7" s="342"/>
      <c r="D7" s="341" t="s">
        <v>39</v>
      </c>
      <c r="E7" s="342"/>
      <c r="F7" s="341" t="s">
        <v>2</v>
      </c>
      <c r="G7" s="342"/>
      <c r="H7" s="341" t="s">
        <v>40</v>
      </c>
      <c r="I7" s="342"/>
      <c r="J7" s="341" t="s">
        <v>3</v>
      </c>
      <c r="K7" s="342"/>
      <c r="L7" s="341" t="s">
        <v>4</v>
      </c>
      <c r="M7" s="342"/>
      <c r="N7" s="322" t="s">
        <v>5</v>
      </c>
      <c r="O7" s="323"/>
      <c r="P7" s="322" t="s">
        <v>41</v>
      </c>
      <c r="Q7" s="323"/>
      <c r="R7" s="322" t="s">
        <v>42</v>
      </c>
      <c r="S7" s="323"/>
      <c r="T7" s="322" t="s">
        <v>43</v>
      </c>
      <c r="U7" s="324"/>
      <c r="V7" s="322" t="s">
        <v>44</v>
      </c>
      <c r="W7" s="324"/>
      <c r="X7" s="339" t="s">
        <v>45</v>
      </c>
      <c r="Y7" s="340"/>
      <c r="Z7" s="33" t="s">
        <v>46</v>
      </c>
      <c r="AA7" s="33"/>
      <c r="AB7" s="33"/>
      <c r="AC7" s="33" t="s">
        <v>47</v>
      </c>
      <c r="AD7" s="33" t="s">
        <v>109</v>
      </c>
      <c r="AE7" s="246"/>
      <c r="AF7" s="246"/>
    </row>
    <row r="8" spans="1:33" ht="18" x14ac:dyDescent="0.25">
      <c r="A8" s="34" t="s">
        <v>0</v>
      </c>
      <c r="B8" s="247" t="s">
        <v>49</v>
      </c>
      <c r="C8" s="248" t="s">
        <v>50</v>
      </c>
      <c r="D8" s="247" t="s">
        <v>49</v>
      </c>
      <c r="E8" s="248" t="s">
        <v>50</v>
      </c>
      <c r="F8" s="247" t="s">
        <v>49</v>
      </c>
      <c r="G8" s="248" t="s">
        <v>50</v>
      </c>
      <c r="H8" s="247" t="s">
        <v>49</v>
      </c>
      <c r="I8" s="248" t="s">
        <v>50</v>
      </c>
      <c r="J8" s="247" t="s">
        <v>49</v>
      </c>
      <c r="K8" s="248" t="s">
        <v>50</v>
      </c>
      <c r="L8" s="247" t="s">
        <v>49</v>
      </c>
      <c r="M8" s="248" t="s">
        <v>50</v>
      </c>
      <c r="N8" s="33" t="s">
        <v>49</v>
      </c>
      <c r="O8" s="33" t="s">
        <v>50</v>
      </c>
      <c r="P8" s="33" t="s">
        <v>49</v>
      </c>
      <c r="Q8" s="33" t="s">
        <v>50</v>
      </c>
      <c r="R8" s="33" t="s">
        <v>49</v>
      </c>
      <c r="S8" s="33" t="s">
        <v>50</v>
      </c>
      <c r="T8" s="33" t="s">
        <v>49</v>
      </c>
      <c r="U8" s="33" t="s">
        <v>50</v>
      </c>
      <c r="V8" s="33" t="s">
        <v>49</v>
      </c>
      <c r="W8" s="33" t="s">
        <v>50</v>
      </c>
      <c r="X8" s="249" t="s">
        <v>49</v>
      </c>
      <c r="Y8" s="250" t="s">
        <v>50</v>
      </c>
      <c r="Z8" s="148" t="s">
        <v>49</v>
      </c>
      <c r="AA8" s="148" t="s">
        <v>50</v>
      </c>
      <c r="AB8" s="33">
        <v>2015</v>
      </c>
      <c r="AC8" s="33">
        <v>2014</v>
      </c>
      <c r="AD8" s="33"/>
      <c r="AE8" s="246"/>
      <c r="AF8" s="246"/>
    </row>
    <row r="9" spans="1:33" ht="15.75" x14ac:dyDescent="0.25">
      <c r="A9" s="27" t="s">
        <v>104</v>
      </c>
      <c r="B9" s="251">
        <v>8404617.6600000001</v>
      </c>
      <c r="C9" s="251">
        <v>3986030</v>
      </c>
      <c r="D9" s="251">
        <v>6812246.4800000004</v>
      </c>
      <c r="E9" s="251">
        <v>3436304</v>
      </c>
      <c r="F9" s="251">
        <v>9787851.5999999996</v>
      </c>
      <c r="G9" s="251">
        <v>5024708</v>
      </c>
      <c r="H9" s="251">
        <v>9140117.1199999992</v>
      </c>
      <c r="I9" s="251">
        <v>4487231</v>
      </c>
      <c r="J9" s="251">
        <v>9116258.1500000004</v>
      </c>
      <c r="K9" s="251">
        <v>4299151</v>
      </c>
      <c r="L9" s="252">
        <v>9325148.3000000007</v>
      </c>
      <c r="M9" s="252">
        <v>4543376</v>
      </c>
      <c r="N9" s="253">
        <v>9531958.9499999993</v>
      </c>
      <c r="O9" s="253">
        <v>4745620</v>
      </c>
      <c r="P9" s="49">
        <v>9059682</v>
      </c>
      <c r="Q9" s="49">
        <v>4794560</v>
      </c>
      <c r="R9" s="49">
        <v>9358555.3100000005</v>
      </c>
      <c r="S9" s="49">
        <v>4145697</v>
      </c>
      <c r="T9" s="254">
        <v>10347266.08</v>
      </c>
      <c r="U9" s="255">
        <v>5088576</v>
      </c>
      <c r="V9" s="256">
        <v>11473346.279999999</v>
      </c>
      <c r="W9" s="256">
        <v>4629340</v>
      </c>
      <c r="X9" s="254">
        <v>11191758.16</v>
      </c>
      <c r="Y9" s="257">
        <v>5075450</v>
      </c>
      <c r="Z9" s="258">
        <f t="shared" ref="Z9:AA12" si="0">B9+D9+F9+H9+J9+L9+N9+P9+R9+T9+V9+X9</f>
        <v>113548806.09</v>
      </c>
      <c r="AA9" s="258">
        <f t="shared" si="0"/>
        <v>54256043</v>
      </c>
      <c r="AB9" s="258">
        <f>SUM(Z9:AA9)</f>
        <v>167804849.09</v>
      </c>
      <c r="AC9" s="259">
        <v>172820557.5</v>
      </c>
      <c r="AD9" s="260">
        <f t="shared" ref="AD9:AD14" si="1">(AB9-AC9)*100/AC9</f>
        <v>-2.902263759911778</v>
      </c>
      <c r="AE9" s="246"/>
      <c r="AF9" s="246"/>
      <c r="AG9" s="59"/>
    </row>
    <row r="10" spans="1:33" ht="15.75" x14ac:dyDescent="0.25">
      <c r="A10" s="27" t="s">
        <v>58</v>
      </c>
      <c r="B10" s="251">
        <v>249784</v>
      </c>
      <c r="C10" s="251">
        <v>28210.5</v>
      </c>
      <c r="D10" s="251">
        <v>274318.5</v>
      </c>
      <c r="E10" s="251">
        <v>28466</v>
      </c>
      <c r="F10" s="251">
        <v>261348.1</v>
      </c>
      <c r="G10" s="251">
        <v>125469</v>
      </c>
      <c r="H10" s="251">
        <v>301422.5</v>
      </c>
      <c r="I10" s="251">
        <v>33214</v>
      </c>
      <c r="J10" s="251">
        <v>282122</v>
      </c>
      <c r="K10" s="251">
        <v>22145.5</v>
      </c>
      <c r="L10" s="251">
        <v>283441</v>
      </c>
      <c r="M10" s="251">
        <v>29139</v>
      </c>
      <c r="N10" s="253">
        <v>284975.5</v>
      </c>
      <c r="O10" s="253">
        <v>29736</v>
      </c>
      <c r="P10" s="49">
        <v>296211</v>
      </c>
      <c r="Q10" s="49">
        <v>28943</v>
      </c>
      <c r="R10" s="49">
        <v>273116</v>
      </c>
      <c r="S10" s="49">
        <v>26410</v>
      </c>
      <c r="T10" s="254">
        <v>254203</v>
      </c>
      <c r="U10" s="255">
        <v>24369</v>
      </c>
      <c r="V10" s="254">
        <v>235417</v>
      </c>
      <c r="W10" s="255">
        <v>24011.5</v>
      </c>
      <c r="X10" s="261">
        <v>223180</v>
      </c>
      <c r="Y10" s="262">
        <v>25236</v>
      </c>
      <c r="Z10" s="258">
        <f t="shared" si="0"/>
        <v>3219538.6</v>
      </c>
      <c r="AA10" s="258">
        <f t="shared" si="0"/>
        <v>425349.5</v>
      </c>
      <c r="AB10" s="258">
        <f>SUM(Z10:AA10)</f>
        <v>3644888.1</v>
      </c>
      <c r="AC10" s="259">
        <v>4135050.8</v>
      </c>
      <c r="AD10" s="260">
        <f t="shared" si="1"/>
        <v>-11.85384953432736</v>
      </c>
      <c r="AE10" s="246"/>
      <c r="AF10" s="246"/>
      <c r="AG10" s="59"/>
    </row>
    <row r="11" spans="1:33" ht="15.75" x14ac:dyDescent="0.25">
      <c r="A11" s="27" t="s">
        <v>105</v>
      </c>
      <c r="B11" s="251">
        <v>711975</v>
      </c>
      <c r="C11" s="251">
        <v>66256</v>
      </c>
      <c r="D11" s="251">
        <v>853099</v>
      </c>
      <c r="E11" s="251">
        <v>65817</v>
      </c>
      <c r="F11" s="251">
        <v>1767722</v>
      </c>
      <c r="G11" s="251">
        <v>47732</v>
      </c>
      <c r="H11" s="251">
        <v>664508</v>
      </c>
      <c r="I11" s="251">
        <v>1956</v>
      </c>
      <c r="J11" s="251">
        <v>422449</v>
      </c>
      <c r="K11" s="251">
        <v>55660</v>
      </c>
      <c r="L11" s="251">
        <v>565977</v>
      </c>
      <c r="M11" s="251">
        <v>54643</v>
      </c>
      <c r="N11" s="253">
        <v>493770</v>
      </c>
      <c r="O11" s="253">
        <v>50905</v>
      </c>
      <c r="P11" s="49">
        <v>660104</v>
      </c>
      <c r="Q11" s="49">
        <v>53057</v>
      </c>
      <c r="R11" s="49">
        <v>86518</v>
      </c>
      <c r="S11" s="49">
        <v>168551</v>
      </c>
      <c r="T11" s="254">
        <v>380702</v>
      </c>
      <c r="U11" s="255">
        <v>69242</v>
      </c>
      <c r="V11" s="254">
        <v>476729</v>
      </c>
      <c r="W11" s="255">
        <v>44219</v>
      </c>
      <c r="X11" s="255">
        <v>424752</v>
      </c>
      <c r="Y11" s="257">
        <v>48330</v>
      </c>
      <c r="Z11" s="258">
        <f t="shared" si="0"/>
        <v>7508305</v>
      </c>
      <c r="AA11" s="258">
        <f t="shared" si="0"/>
        <v>726368</v>
      </c>
      <c r="AB11" s="258">
        <f>SUM(Z11:AA11)</f>
        <v>8234673</v>
      </c>
      <c r="AC11" s="259">
        <v>7152860</v>
      </c>
      <c r="AD11" s="260">
        <f t="shared" si="1"/>
        <v>15.124202067424779</v>
      </c>
      <c r="AE11" s="246"/>
      <c r="AF11" s="246"/>
      <c r="AG11" s="59"/>
    </row>
    <row r="12" spans="1:33" ht="15.75" x14ac:dyDescent="0.25">
      <c r="A12" s="27" t="s">
        <v>71</v>
      </c>
      <c r="B12" s="251">
        <v>662952.85</v>
      </c>
      <c r="C12" s="251">
        <v>86701</v>
      </c>
      <c r="D12" s="251">
        <f>280176+21824</f>
        <v>302000</v>
      </c>
      <c r="E12" s="251">
        <f>68913+12059</f>
        <v>80972</v>
      </c>
      <c r="F12" s="251">
        <v>395096</v>
      </c>
      <c r="G12" s="251">
        <v>88170</v>
      </c>
      <c r="H12" s="251">
        <v>1047885</v>
      </c>
      <c r="I12" s="251">
        <v>53200</v>
      </c>
      <c r="J12" s="251">
        <v>381212.7</v>
      </c>
      <c r="K12" s="251">
        <v>34114</v>
      </c>
      <c r="L12" s="251">
        <v>485225</v>
      </c>
      <c r="M12" s="251">
        <v>32527</v>
      </c>
      <c r="N12" s="253">
        <v>306715</v>
      </c>
      <c r="O12" s="253">
        <v>41528</v>
      </c>
      <c r="P12" s="49">
        <v>273049</v>
      </c>
      <c r="Q12" s="49">
        <v>32703</v>
      </c>
      <c r="R12" s="49">
        <v>1001796.2</v>
      </c>
      <c r="S12" s="49">
        <v>25981</v>
      </c>
      <c r="T12" s="254">
        <v>1000909</v>
      </c>
      <c r="U12" s="255">
        <v>20367</v>
      </c>
      <c r="V12" s="254">
        <v>1022688</v>
      </c>
      <c r="W12" s="255">
        <v>1067478</v>
      </c>
      <c r="X12" s="255">
        <v>982456</v>
      </c>
      <c r="Y12" s="257">
        <v>62736</v>
      </c>
      <c r="Z12" s="258">
        <f t="shared" si="0"/>
        <v>7861984.75</v>
      </c>
      <c r="AA12" s="258">
        <f t="shared" si="0"/>
        <v>1626477</v>
      </c>
      <c r="AB12" s="258">
        <f>SUM(Z12:AA12)</f>
        <v>9488461.75</v>
      </c>
      <c r="AC12" s="259">
        <v>5645944</v>
      </c>
      <c r="AD12" s="260">
        <f t="shared" si="1"/>
        <v>68.058020943884671</v>
      </c>
      <c r="AE12" s="246"/>
      <c r="AF12" s="246"/>
      <c r="AG12" s="59"/>
    </row>
    <row r="13" spans="1:33" ht="15.75" x14ac:dyDescent="0.25">
      <c r="A13" s="27" t="s">
        <v>62</v>
      </c>
      <c r="B13" s="251"/>
      <c r="C13" s="251"/>
      <c r="D13" s="251">
        <v>0</v>
      </c>
      <c r="E13" s="251">
        <v>1911</v>
      </c>
      <c r="F13" s="251">
        <v>0</v>
      </c>
      <c r="G13" s="251">
        <v>2173</v>
      </c>
      <c r="H13" s="251">
        <v>0</v>
      </c>
      <c r="I13" s="251">
        <v>0</v>
      </c>
      <c r="J13" s="251">
        <v>0</v>
      </c>
      <c r="K13" s="251">
        <v>2121</v>
      </c>
      <c r="L13" s="251">
        <v>0</v>
      </c>
      <c r="M13" s="251">
        <v>902</v>
      </c>
      <c r="N13" s="253">
        <v>0</v>
      </c>
      <c r="O13" s="253">
        <v>0</v>
      </c>
      <c r="P13" s="49">
        <v>0</v>
      </c>
      <c r="Q13" s="49">
        <v>1902</v>
      </c>
      <c r="R13" s="49">
        <v>0</v>
      </c>
      <c r="S13" s="49">
        <v>1103</v>
      </c>
      <c r="T13" s="254"/>
      <c r="U13" s="255"/>
      <c r="V13" s="254">
        <v>0</v>
      </c>
      <c r="W13" s="255">
        <v>1672</v>
      </c>
      <c r="X13" s="255"/>
      <c r="Y13" s="257"/>
      <c r="Z13" s="263"/>
      <c r="AA13" s="263"/>
      <c r="AB13" s="263"/>
      <c r="AC13" s="259">
        <v>0</v>
      </c>
      <c r="AD13" s="260" t="e">
        <f t="shared" si="1"/>
        <v>#DIV/0!</v>
      </c>
      <c r="AE13" s="246"/>
      <c r="AG13" s="59"/>
    </row>
    <row r="14" spans="1:33" x14ac:dyDescent="0.25">
      <c r="A14" s="27" t="s">
        <v>38</v>
      </c>
      <c r="B14" s="251">
        <f>SUM(B9:B13)</f>
        <v>10029329.51</v>
      </c>
      <c r="C14" s="251">
        <f t="shared" ref="C14:Y14" si="2">SUM(C9:C13)</f>
        <v>4167197.5</v>
      </c>
      <c r="D14" s="251">
        <f t="shared" si="2"/>
        <v>8241663.9800000004</v>
      </c>
      <c r="E14" s="251">
        <f t="shared" si="2"/>
        <v>3613470</v>
      </c>
      <c r="F14" s="251">
        <f t="shared" si="2"/>
        <v>12212017.699999999</v>
      </c>
      <c r="G14" s="251">
        <f t="shared" si="2"/>
        <v>5288252</v>
      </c>
      <c r="H14" s="251">
        <f t="shared" si="2"/>
        <v>11153932.619999999</v>
      </c>
      <c r="I14" s="251">
        <f t="shared" si="2"/>
        <v>4575601</v>
      </c>
      <c r="J14" s="251">
        <f t="shared" si="2"/>
        <v>10202041.85</v>
      </c>
      <c r="K14" s="251">
        <f t="shared" si="2"/>
        <v>4413191.5</v>
      </c>
      <c r="L14" s="251">
        <f t="shared" si="2"/>
        <v>10659791.300000001</v>
      </c>
      <c r="M14" s="251">
        <f t="shared" si="2"/>
        <v>4660587</v>
      </c>
      <c r="N14" s="251">
        <f t="shared" si="2"/>
        <v>10617419.449999999</v>
      </c>
      <c r="O14" s="251">
        <f t="shared" si="2"/>
        <v>4867789</v>
      </c>
      <c r="P14" s="251">
        <f t="shared" si="2"/>
        <v>10289046</v>
      </c>
      <c r="Q14" s="251">
        <f t="shared" si="2"/>
        <v>4911165</v>
      </c>
      <c r="R14" s="251">
        <f t="shared" si="2"/>
        <v>10719985.51</v>
      </c>
      <c r="S14" s="251">
        <f t="shared" si="2"/>
        <v>4367742</v>
      </c>
      <c r="T14" s="251">
        <f t="shared" si="2"/>
        <v>11983080.08</v>
      </c>
      <c r="U14" s="251">
        <f t="shared" si="2"/>
        <v>5202554</v>
      </c>
      <c r="V14" s="251">
        <f t="shared" si="2"/>
        <v>13208180.279999999</v>
      </c>
      <c r="W14" s="251">
        <f t="shared" si="2"/>
        <v>5766720.5</v>
      </c>
      <c r="X14" s="251">
        <f t="shared" si="2"/>
        <v>12822146.16</v>
      </c>
      <c r="Y14" s="251">
        <f t="shared" si="2"/>
        <v>5211752</v>
      </c>
      <c r="Z14" s="264">
        <f>SUM(Z9:Z13)</f>
        <v>132138634.44</v>
      </c>
      <c r="AA14" s="264">
        <f>SUM(AA9:AA13)</f>
        <v>57034237.5</v>
      </c>
      <c r="AB14" s="264">
        <f>SUM(Z14:AA14)</f>
        <v>189172871.94</v>
      </c>
      <c r="AC14" s="35">
        <f>SUM(AC9:AC13)</f>
        <v>189754412.30000001</v>
      </c>
      <c r="AD14" s="260">
        <f t="shared" si="1"/>
        <v>-0.3064700066529174</v>
      </c>
      <c r="AE14" s="246"/>
      <c r="AF14" s="246"/>
      <c r="AG14" s="59"/>
    </row>
    <row r="15" spans="1:33" x14ac:dyDescent="0.25">
      <c r="A15" s="246"/>
      <c r="B15" s="246"/>
      <c r="C15" s="246"/>
      <c r="D15" s="246"/>
      <c r="E15" s="246"/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6"/>
      <c r="S15" s="246"/>
    </row>
    <row r="16" spans="1:33" x14ac:dyDescent="0.25">
      <c r="A16" s="246"/>
      <c r="B16" s="272"/>
      <c r="C16" s="272"/>
      <c r="D16" s="272"/>
      <c r="E16" s="272"/>
      <c r="F16" s="272"/>
      <c r="G16" s="272"/>
      <c r="H16" s="272"/>
      <c r="I16" s="272"/>
      <c r="J16" s="272"/>
      <c r="K16" s="272"/>
      <c r="L16" s="272"/>
      <c r="M16" s="272"/>
      <c r="N16" s="272"/>
      <c r="O16" s="272"/>
      <c r="P16" s="272"/>
      <c r="Q16" s="272"/>
      <c r="R16" s="272"/>
      <c r="S16" s="272"/>
      <c r="T16" s="272"/>
      <c r="U16" s="272"/>
      <c r="V16" s="272"/>
      <c r="W16" s="272"/>
      <c r="X16" s="272"/>
      <c r="Y16" s="272"/>
      <c r="Z16" s="272">
        <f t="shared" ref="Z16:AC16" si="3">SUM(Z9:Z13)-Z14</f>
        <v>0</v>
      </c>
      <c r="AA16" s="272">
        <f t="shared" si="3"/>
        <v>0</v>
      </c>
      <c r="AB16" s="272">
        <f t="shared" si="3"/>
        <v>0</v>
      </c>
      <c r="AC16" s="272">
        <f t="shared" si="3"/>
        <v>0</v>
      </c>
      <c r="AD16" s="246"/>
      <c r="AE16" s="246"/>
      <c r="AF16" s="246"/>
    </row>
    <row r="17" spans="1:32" ht="15.75" x14ac:dyDescent="0.25">
      <c r="A17" s="246"/>
      <c r="B17" s="246"/>
      <c r="C17" s="246"/>
      <c r="D17" s="246"/>
      <c r="E17" s="272"/>
      <c r="F17" s="246"/>
      <c r="G17" s="246"/>
      <c r="H17" s="246"/>
      <c r="I17" s="246"/>
      <c r="J17" s="246"/>
      <c r="K17" s="246"/>
      <c r="L17" s="246"/>
      <c r="M17" s="246"/>
      <c r="N17" s="246"/>
      <c r="O17" s="246"/>
      <c r="P17" s="246"/>
      <c r="Q17" s="246"/>
      <c r="R17" s="246"/>
      <c r="S17" s="246"/>
      <c r="T17" s="265"/>
      <c r="U17" s="265"/>
      <c r="V17" s="265"/>
      <c r="W17" s="265"/>
      <c r="X17" s="246"/>
      <c r="Y17" s="246"/>
      <c r="Z17" s="246"/>
      <c r="AA17" s="246"/>
      <c r="AB17" s="246"/>
      <c r="AC17" s="246"/>
      <c r="AD17" s="246"/>
      <c r="AE17" s="246"/>
      <c r="AF17" s="246"/>
    </row>
    <row r="18" spans="1:32" ht="18" x14ac:dyDescent="0.25">
      <c r="A18" s="321" t="s">
        <v>110</v>
      </c>
      <c r="B18" s="321"/>
      <c r="C18" s="321"/>
      <c r="D18" s="321"/>
      <c r="E18" s="321"/>
      <c r="F18" s="321"/>
      <c r="G18" s="321"/>
      <c r="H18" s="321"/>
      <c r="I18" s="321"/>
      <c r="J18" s="321"/>
      <c r="K18" s="321"/>
      <c r="L18" s="321"/>
      <c r="M18" s="321"/>
      <c r="N18" s="246"/>
      <c r="O18" s="246"/>
      <c r="P18" s="246"/>
      <c r="Q18" s="246"/>
      <c r="R18" s="246"/>
      <c r="S18" s="246"/>
      <c r="T18" s="265"/>
      <c r="U18" s="265"/>
      <c r="V18" s="265"/>
      <c r="W18" s="265"/>
      <c r="X18" s="246"/>
      <c r="Y18" s="246"/>
      <c r="Z18" s="246"/>
      <c r="AA18" s="246"/>
      <c r="AB18" s="246"/>
      <c r="AC18" s="246"/>
      <c r="AD18" s="246"/>
      <c r="AE18" s="246"/>
      <c r="AF18" s="246"/>
    </row>
    <row r="19" spans="1:32" ht="16.5" thickBot="1" x14ac:dyDescent="0.3">
      <c r="A19" s="246"/>
      <c r="B19" s="246"/>
      <c r="C19" s="246"/>
      <c r="D19" s="246"/>
      <c r="E19" s="246"/>
      <c r="F19" s="246"/>
      <c r="G19" s="246"/>
      <c r="H19" s="246"/>
      <c r="I19" s="246"/>
      <c r="J19" s="246"/>
      <c r="K19" s="246"/>
      <c r="L19" s="246"/>
      <c r="M19" s="246"/>
      <c r="N19" s="246"/>
      <c r="O19" s="246"/>
      <c r="P19" s="246"/>
      <c r="Q19" s="246"/>
      <c r="R19" s="246"/>
      <c r="S19" s="246"/>
      <c r="T19" s="265"/>
      <c r="U19" s="265"/>
      <c r="V19" s="265"/>
      <c r="W19" s="265"/>
      <c r="X19" s="246"/>
      <c r="Y19" s="246"/>
      <c r="Z19" s="246"/>
      <c r="AA19" s="246"/>
      <c r="AB19" s="246"/>
      <c r="AC19" s="246"/>
      <c r="AD19" s="246"/>
      <c r="AE19" s="246"/>
      <c r="AF19" s="246"/>
    </row>
    <row r="20" spans="1:32" ht="18" x14ac:dyDescent="0.25">
      <c r="A20" s="34"/>
      <c r="B20" s="341" t="s">
        <v>1</v>
      </c>
      <c r="C20" s="342"/>
      <c r="D20" s="341" t="s">
        <v>39</v>
      </c>
      <c r="E20" s="342"/>
      <c r="F20" s="341" t="s">
        <v>2</v>
      </c>
      <c r="G20" s="342"/>
      <c r="H20" s="341" t="s">
        <v>40</v>
      </c>
      <c r="I20" s="342"/>
      <c r="J20" s="341" t="s">
        <v>3</v>
      </c>
      <c r="K20" s="342"/>
      <c r="L20" s="341" t="s">
        <v>4</v>
      </c>
      <c r="M20" s="342"/>
      <c r="N20" s="322" t="s">
        <v>5</v>
      </c>
      <c r="O20" s="323"/>
      <c r="P20" s="322" t="s">
        <v>41</v>
      </c>
      <c r="Q20" s="323"/>
      <c r="R20" s="322" t="s">
        <v>42</v>
      </c>
      <c r="S20" s="323"/>
      <c r="T20" s="322" t="s">
        <v>43</v>
      </c>
      <c r="U20" s="324"/>
      <c r="V20" s="322" t="s">
        <v>44</v>
      </c>
      <c r="W20" s="324"/>
      <c r="X20" s="339" t="s">
        <v>45</v>
      </c>
      <c r="Y20" s="340"/>
      <c r="Z20" s="33" t="s">
        <v>46</v>
      </c>
      <c r="AA20" s="33"/>
      <c r="AB20" s="33"/>
      <c r="AC20" s="33" t="s">
        <v>47</v>
      </c>
      <c r="AD20" s="33" t="s">
        <v>109</v>
      </c>
      <c r="AE20" s="246"/>
      <c r="AF20" s="246"/>
    </row>
    <row r="21" spans="1:32" ht="18" x14ac:dyDescent="0.25">
      <c r="A21" s="34" t="s">
        <v>0</v>
      </c>
      <c r="B21" s="247" t="s">
        <v>49</v>
      </c>
      <c r="C21" s="248" t="s">
        <v>50</v>
      </c>
      <c r="D21" s="247" t="s">
        <v>49</v>
      </c>
      <c r="E21" s="248" t="s">
        <v>50</v>
      </c>
      <c r="F21" s="247" t="s">
        <v>49</v>
      </c>
      <c r="G21" s="248" t="s">
        <v>50</v>
      </c>
      <c r="H21" s="247" t="s">
        <v>49</v>
      </c>
      <c r="I21" s="248" t="s">
        <v>50</v>
      </c>
      <c r="J21" s="247" t="s">
        <v>49</v>
      </c>
      <c r="K21" s="248" t="s">
        <v>50</v>
      </c>
      <c r="L21" s="247" t="s">
        <v>49</v>
      </c>
      <c r="M21" s="248" t="s">
        <v>50</v>
      </c>
      <c r="N21" s="33" t="s">
        <v>49</v>
      </c>
      <c r="O21" s="33" t="s">
        <v>50</v>
      </c>
      <c r="P21" s="33" t="s">
        <v>49</v>
      </c>
      <c r="Q21" s="33" t="s">
        <v>50</v>
      </c>
      <c r="R21" s="33" t="s">
        <v>49</v>
      </c>
      <c r="S21" s="33" t="s">
        <v>50</v>
      </c>
      <c r="T21" s="33" t="s">
        <v>49</v>
      </c>
      <c r="U21" s="33" t="s">
        <v>50</v>
      </c>
      <c r="V21" s="33" t="s">
        <v>49</v>
      </c>
      <c r="W21" s="33" t="s">
        <v>50</v>
      </c>
      <c r="X21" s="249" t="s">
        <v>49</v>
      </c>
      <c r="Y21" s="250" t="s">
        <v>50</v>
      </c>
      <c r="Z21" s="148" t="s">
        <v>49</v>
      </c>
      <c r="AA21" s="148" t="s">
        <v>50</v>
      </c>
      <c r="AB21" s="33">
        <v>2015</v>
      </c>
      <c r="AC21" s="33">
        <v>2014</v>
      </c>
      <c r="AD21" s="33"/>
      <c r="AE21" s="246"/>
      <c r="AF21" s="246"/>
    </row>
    <row r="22" spans="1:32" ht="15.75" x14ac:dyDescent="0.25">
      <c r="A22" s="27" t="s">
        <v>104</v>
      </c>
      <c r="B22" s="252">
        <v>114260</v>
      </c>
      <c r="C22" s="252">
        <v>27110</v>
      </c>
      <c r="D22" s="252">
        <v>193774.9</v>
      </c>
      <c r="E22" s="252">
        <v>19186</v>
      </c>
      <c r="F22" s="252">
        <v>117306.5</v>
      </c>
      <c r="G22" s="252">
        <v>10609</v>
      </c>
      <c r="H22" s="251">
        <v>110022</v>
      </c>
      <c r="I22" s="251">
        <v>26731</v>
      </c>
      <c r="J22" s="251">
        <v>112002</v>
      </c>
      <c r="K22" s="251">
        <v>31919</v>
      </c>
      <c r="L22" s="251">
        <v>114572</v>
      </c>
      <c r="M22" s="251">
        <v>27154</v>
      </c>
      <c r="N22" s="252">
        <v>134773</v>
      </c>
      <c r="O22" s="252">
        <v>39077</v>
      </c>
      <c r="P22" s="252">
        <v>105816.5</v>
      </c>
      <c r="Q22" s="252">
        <v>71698</v>
      </c>
      <c r="R22" s="252">
        <v>113308</v>
      </c>
      <c r="S22" s="252">
        <v>46253</v>
      </c>
      <c r="T22" s="254">
        <v>84183</v>
      </c>
      <c r="U22" s="254">
        <v>34729.5</v>
      </c>
      <c r="V22" s="254">
        <v>103741.17</v>
      </c>
      <c r="W22" s="254">
        <v>34709</v>
      </c>
      <c r="X22" s="254">
        <v>72093.5</v>
      </c>
      <c r="Y22" s="266">
        <v>31751</v>
      </c>
      <c r="Z22" s="267">
        <f>B22+D22+F22+H22+J22+L22+N22+P22+R22+T22+V22+X22</f>
        <v>1375852.5699999998</v>
      </c>
      <c r="AA22" s="267">
        <f t="shared" ref="Z22:AA26" si="4">C22+E22+G22+I22+K22+M22+O22+Q22+S22+U22+W22+Y22</f>
        <v>400926.5</v>
      </c>
      <c r="AB22" s="267">
        <f>SUM(Z22:AA22)</f>
        <v>1776779.0699999998</v>
      </c>
      <c r="AC22" s="268">
        <v>1911253</v>
      </c>
      <c r="AD22" s="269">
        <f>(AB22-AC22)*100/AC22</f>
        <v>-7.035904194787407</v>
      </c>
      <c r="AE22" s="246"/>
      <c r="AF22" s="246"/>
    </row>
    <row r="23" spans="1:32" ht="15.75" x14ac:dyDescent="0.25">
      <c r="A23" s="27" t="s">
        <v>58</v>
      </c>
      <c r="B23" s="252">
        <v>59718.5</v>
      </c>
      <c r="C23" s="252">
        <v>270396</v>
      </c>
      <c r="D23" s="252">
        <v>277322.5</v>
      </c>
      <c r="E23" s="252">
        <v>347448.5</v>
      </c>
      <c r="F23" s="252">
        <v>58669</v>
      </c>
      <c r="G23" s="252">
        <v>268548</v>
      </c>
      <c r="H23" s="251">
        <v>527326.5</v>
      </c>
      <c r="I23" s="251">
        <v>297844</v>
      </c>
      <c r="J23" s="251">
        <v>58009</v>
      </c>
      <c r="K23" s="251">
        <v>383567</v>
      </c>
      <c r="L23" s="251">
        <v>71312</v>
      </c>
      <c r="M23" s="251">
        <v>288718.5</v>
      </c>
      <c r="N23" s="252">
        <v>71726</v>
      </c>
      <c r="O23" s="252">
        <v>289893.5</v>
      </c>
      <c r="P23" s="252">
        <v>75213</v>
      </c>
      <c r="Q23" s="252">
        <v>291731</v>
      </c>
      <c r="R23" s="252">
        <v>73120.5</v>
      </c>
      <c r="S23" s="252">
        <v>27338</v>
      </c>
      <c r="T23" s="255">
        <v>70012.5</v>
      </c>
      <c r="U23" s="255">
        <v>20221</v>
      </c>
      <c r="V23" s="254">
        <v>54992</v>
      </c>
      <c r="W23" s="254">
        <v>21312</v>
      </c>
      <c r="X23" s="261">
        <v>53821</v>
      </c>
      <c r="Y23" s="262">
        <v>20936</v>
      </c>
      <c r="Z23" s="267">
        <f t="shared" si="4"/>
        <v>1451242.5</v>
      </c>
      <c r="AA23" s="267">
        <f t="shared" si="4"/>
        <v>2527953.5</v>
      </c>
      <c r="AB23" s="267">
        <f>SUM(Z23:AA23)</f>
        <v>3979196</v>
      </c>
      <c r="AC23" s="268">
        <v>4156111</v>
      </c>
      <c r="AD23" s="269">
        <f>(AB23-AC23)*100/AC23</f>
        <v>-4.2567438646369169</v>
      </c>
      <c r="AE23" s="246"/>
      <c r="AF23" s="246"/>
    </row>
    <row r="24" spans="1:32" ht="15.75" x14ac:dyDescent="0.25">
      <c r="A24" s="27" t="s">
        <v>105</v>
      </c>
      <c r="B24" s="252">
        <v>0</v>
      </c>
      <c r="C24" s="252">
        <v>0</v>
      </c>
      <c r="D24" s="252">
        <v>0</v>
      </c>
      <c r="E24" s="252">
        <v>0</v>
      </c>
      <c r="F24" s="252">
        <v>0</v>
      </c>
      <c r="G24" s="252">
        <v>0</v>
      </c>
      <c r="H24" s="251">
        <v>664508</v>
      </c>
      <c r="I24" s="251">
        <v>1956</v>
      </c>
      <c r="J24" s="251">
        <v>0</v>
      </c>
      <c r="K24" s="251">
        <v>0</v>
      </c>
      <c r="L24" s="251">
        <v>0</v>
      </c>
      <c r="M24" s="251">
        <v>0</v>
      </c>
      <c r="N24" s="252">
        <v>0</v>
      </c>
      <c r="O24" s="252">
        <v>0</v>
      </c>
      <c r="P24" s="252">
        <v>0</v>
      </c>
      <c r="Q24" s="252">
        <v>0</v>
      </c>
      <c r="R24" s="252">
        <v>0</v>
      </c>
      <c r="S24" s="252">
        <v>0</v>
      </c>
      <c r="T24" s="255">
        <v>0</v>
      </c>
      <c r="U24" s="255">
        <v>0</v>
      </c>
      <c r="V24" s="254">
        <v>0</v>
      </c>
      <c r="W24" s="254"/>
      <c r="X24" s="255">
        <v>0</v>
      </c>
      <c r="Y24" s="257">
        <v>0</v>
      </c>
      <c r="Z24" s="267">
        <f t="shared" si="4"/>
        <v>664508</v>
      </c>
      <c r="AA24" s="267">
        <f t="shared" si="4"/>
        <v>1956</v>
      </c>
      <c r="AB24" s="267">
        <f>SUM(Z24:AA24)</f>
        <v>666464</v>
      </c>
      <c r="AC24" s="268">
        <v>0</v>
      </c>
      <c r="AD24" s="269" t="e">
        <f>(AB24-AC24)*100/AC24</f>
        <v>#DIV/0!</v>
      </c>
      <c r="AE24" s="246"/>
      <c r="AF24" s="246"/>
    </row>
    <row r="25" spans="1:32" ht="15.75" x14ac:dyDescent="0.25">
      <c r="A25" s="27" t="s">
        <v>71</v>
      </c>
      <c r="B25" s="252">
        <v>0</v>
      </c>
      <c r="C25" s="252">
        <v>0</v>
      </c>
      <c r="D25" s="252">
        <v>0</v>
      </c>
      <c r="E25" s="252">
        <v>0</v>
      </c>
      <c r="F25" s="252">
        <v>0</v>
      </c>
      <c r="G25" s="252">
        <v>4989</v>
      </c>
      <c r="H25" s="251">
        <v>0</v>
      </c>
      <c r="I25" s="251">
        <v>3419</v>
      </c>
      <c r="J25" s="251">
        <v>0</v>
      </c>
      <c r="K25" s="251">
        <v>6544</v>
      </c>
      <c r="L25" s="251">
        <v>0</v>
      </c>
      <c r="M25" s="251">
        <v>2104</v>
      </c>
      <c r="N25" s="252">
        <v>0</v>
      </c>
      <c r="O25" s="252">
        <v>0</v>
      </c>
      <c r="P25" s="252">
        <v>0</v>
      </c>
      <c r="Q25" s="252">
        <v>0</v>
      </c>
      <c r="R25" s="252">
        <v>0</v>
      </c>
      <c r="S25" s="252">
        <v>0</v>
      </c>
      <c r="T25" s="255">
        <v>0</v>
      </c>
      <c r="U25" s="255">
        <v>0</v>
      </c>
      <c r="V25" s="255"/>
      <c r="W25" s="255"/>
      <c r="X25" s="255">
        <v>0</v>
      </c>
      <c r="Y25" s="257">
        <v>0</v>
      </c>
      <c r="Z25" s="267">
        <f t="shared" si="4"/>
        <v>0</v>
      </c>
      <c r="AA25" s="267">
        <f t="shared" si="4"/>
        <v>17056</v>
      </c>
      <c r="AB25" s="267">
        <f>SUM(Z25:AA25)</f>
        <v>17056</v>
      </c>
      <c r="AC25" s="268">
        <v>13304</v>
      </c>
      <c r="AD25" s="269">
        <f>(AB25-AC25)*100/AC25</f>
        <v>28.202044497895368</v>
      </c>
      <c r="AE25" s="246"/>
      <c r="AF25" s="246"/>
    </row>
    <row r="26" spans="1:32" ht="15.75" x14ac:dyDescent="0.25">
      <c r="A26" s="27" t="s">
        <v>38</v>
      </c>
      <c r="B26" s="252">
        <v>173978.5</v>
      </c>
      <c r="C26" s="252">
        <v>297506</v>
      </c>
      <c r="D26" s="252">
        <v>471097.4</v>
      </c>
      <c r="E26" s="252">
        <v>366634.5</v>
      </c>
      <c r="F26" s="252">
        <f>SUM(F22:F25)</f>
        <v>175975.5</v>
      </c>
      <c r="G26" s="252">
        <f>SUM(G22:G25)</f>
        <v>284146</v>
      </c>
      <c r="H26" s="251">
        <v>1301856.5</v>
      </c>
      <c r="I26" s="251">
        <v>329950</v>
      </c>
      <c r="J26" s="251">
        <v>170011</v>
      </c>
      <c r="K26" s="251">
        <v>422030</v>
      </c>
      <c r="L26" s="251">
        <v>185884</v>
      </c>
      <c r="M26" s="251">
        <v>317976.5</v>
      </c>
      <c r="N26" s="253">
        <v>206499</v>
      </c>
      <c r="O26" s="253">
        <v>328970.5</v>
      </c>
      <c r="P26" s="253">
        <v>181029.5</v>
      </c>
      <c r="Q26" s="253">
        <v>363429</v>
      </c>
      <c r="R26" s="253">
        <v>186428.5</v>
      </c>
      <c r="S26" s="253">
        <v>73591</v>
      </c>
      <c r="T26" s="48">
        <v>154195.5</v>
      </c>
      <c r="U26" s="48">
        <v>54950.5</v>
      </c>
      <c r="V26" s="48">
        <v>158733.16999999998</v>
      </c>
      <c r="W26" s="48">
        <v>56021</v>
      </c>
      <c r="X26" s="48">
        <v>125914.5</v>
      </c>
      <c r="Y26" s="50">
        <v>52687</v>
      </c>
      <c r="Z26" s="270">
        <f t="shared" si="4"/>
        <v>3491603.07</v>
      </c>
      <c r="AA26" s="270">
        <f t="shared" si="4"/>
        <v>2947892</v>
      </c>
      <c r="AB26" s="270">
        <f>SUM(Z26:AA26)</f>
        <v>6439495.0700000003</v>
      </c>
      <c r="AC26" s="268">
        <f>SUM(AC22:AC25)</f>
        <v>6080668</v>
      </c>
      <c r="AD26" s="269">
        <f>(AB26-AC26)*100/AC26</f>
        <v>5.9011126738049224</v>
      </c>
      <c r="AE26" s="246"/>
      <c r="AF26" s="246"/>
    </row>
    <row r="27" spans="1:32" ht="15.75" x14ac:dyDescent="0.25">
      <c r="A27" s="2" t="s">
        <v>111</v>
      </c>
      <c r="F27" s="271"/>
      <c r="T27" s="265"/>
      <c r="U27" s="265"/>
      <c r="V27" s="265"/>
      <c r="W27" s="265"/>
    </row>
    <row r="28" spans="1:32" x14ac:dyDescent="0.25">
      <c r="B28" s="245">
        <f>SUM(B22:B25)-B26</f>
        <v>0</v>
      </c>
      <c r="C28" s="245">
        <f t="shared" ref="C28:AC28" si="5">SUM(C22:C25)-C26</f>
        <v>0</v>
      </c>
      <c r="D28" s="245">
        <f t="shared" si="5"/>
        <v>0</v>
      </c>
      <c r="E28" s="245">
        <f t="shared" si="5"/>
        <v>0</v>
      </c>
      <c r="F28" s="245">
        <f t="shared" si="5"/>
        <v>0</v>
      </c>
      <c r="G28" s="245">
        <f t="shared" si="5"/>
        <v>0</v>
      </c>
      <c r="H28" s="245">
        <f t="shared" si="5"/>
        <v>0</v>
      </c>
      <c r="I28" s="245">
        <f t="shared" si="5"/>
        <v>0</v>
      </c>
      <c r="J28" s="245">
        <f t="shared" si="5"/>
        <v>0</v>
      </c>
      <c r="K28" s="245">
        <f t="shared" si="5"/>
        <v>0</v>
      </c>
      <c r="L28" s="245">
        <f t="shared" si="5"/>
        <v>0</v>
      </c>
      <c r="M28" s="245">
        <f t="shared" si="5"/>
        <v>0</v>
      </c>
      <c r="N28" s="245">
        <f t="shared" si="5"/>
        <v>0</v>
      </c>
      <c r="O28" s="245">
        <f t="shared" si="5"/>
        <v>0</v>
      </c>
      <c r="P28" s="245">
        <f t="shared" si="5"/>
        <v>0</v>
      </c>
      <c r="Q28" s="245">
        <f t="shared" si="5"/>
        <v>0</v>
      </c>
      <c r="R28" s="245">
        <f t="shared" si="5"/>
        <v>0</v>
      </c>
      <c r="S28" s="245">
        <f t="shared" si="5"/>
        <v>0</v>
      </c>
      <c r="T28" s="245">
        <f t="shared" si="5"/>
        <v>0</v>
      </c>
      <c r="U28" s="245">
        <f t="shared" si="5"/>
        <v>0</v>
      </c>
      <c r="V28" s="245">
        <f t="shared" si="5"/>
        <v>0</v>
      </c>
      <c r="W28" s="245">
        <f t="shared" si="5"/>
        <v>0</v>
      </c>
      <c r="X28" s="245">
        <f t="shared" si="5"/>
        <v>0</v>
      </c>
      <c r="Y28" s="245">
        <f t="shared" si="5"/>
        <v>0</v>
      </c>
      <c r="Z28" s="245">
        <f t="shared" si="5"/>
        <v>0</v>
      </c>
      <c r="AA28" s="245">
        <f t="shared" si="5"/>
        <v>0</v>
      </c>
      <c r="AB28" s="245">
        <f t="shared" si="5"/>
        <v>0</v>
      </c>
      <c r="AC28" s="245">
        <f t="shared" si="5"/>
        <v>0</v>
      </c>
    </row>
    <row r="29" spans="1:32" ht="15.75" x14ac:dyDescent="0.25">
      <c r="T29" s="265"/>
      <c r="U29" s="265"/>
      <c r="V29" s="265"/>
      <c r="W29" s="265"/>
    </row>
    <row r="30" spans="1:32" ht="15.75" x14ac:dyDescent="0.25">
      <c r="T30" s="265"/>
      <c r="U30" s="265"/>
      <c r="V30" s="265"/>
      <c r="W30" s="265"/>
    </row>
    <row r="31" spans="1:32" ht="15.75" x14ac:dyDescent="0.25">
      <c r="T31" s="265"/>
      <c r="U31" s="265"/>
      <c r="V31" s="265"/>
      <c r="W31" s="265"/>
    </row>
    <row r="33" spans="5:5" ht="15.75" x14ac:dyDescent="0.25">
      <c r="E33" s="61"/>
    </row>
  </sheetData>
  <mergeCells count="29">
    <mergeCell ref="X7:Y7"/>
    <mergeCell ref="A1:M1"/>
    <mergeCell ref="A2:M2"/>
    <mergeCell ref="A3:M3"/>
    <mergeCell ref="A5:M5"/>
    <mergeCell ref="B7:C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X20:Y20"/>
    <mergeCell ref="A18:M18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20:U20"/>
    <mergeCell ref="V20:W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E28"/>
  <sheetViews>
    <sheetView zoomScale="80" zoomScaleNormal="80" workbookViewId="0">
      <selection activeCell="D31" sqref="D31"/>
    </sheetView>
  </sheetViews>
  <sheetFormatPr defaultRowHeight="15" x14ac:dyDescent="0.25"/>
  <cols>
    <col min="1" max="1" width="16.28515625" style="20" customWidth="1"/>
    <col min="2" max="2" width="23.28515625" style="20" customWidth="1"/>
    <col min="3" max="3" width="24.7109375" style="20" customWidth="1"/>
    <col min="4" max="4" width="26.7109375" style="20" customWidth="1"/>
    <col min="5" max="5" width="19.85546875" style="20" customWidth="1"/>
    <col min="6" max="6" width="25" style="20" customWidth="1"/>
    <col min="7" max="7" width="24.5703125" style="20" customWidth="1"/>
    <col min="8" max="8" width="24" style="20" customWidth="1"/>
    <col min="9" max="9" width="18.28515625" style="20" customWidth="1"/>
    <col min="10" max="10" width="19.5703125" style="20" customWidth="1"/>
    <col min="11" max="11" width="18.5703125" style="20" customWidth="1"/>
    <col min="12" max="12" width="20.140625" style="20" customWidth="1"/>
    <col min="13" max="13" width="18" style="20" customWidth="1"/>
    <col min="14" max="19" width="20.7109375" style="20" customWidth="1"/>
    <col min="20" max="20" width="20.85546875" style="20" customWidth="1"/>
    <col min="21" max="23" width="16.7109375" style="20" customWidth="1"/>
    <col min="24" max="16384" width="9.140625" style="20"/>
  </cols>
  <sheetData>
    <row r="2" spans="1:29" s="1" customFormat="1" ht="24.75" x14ac:dyDescent="0.5">
      <c r="A2" s="329"/>
      <c r="B2" s="329"/>
      <c r="C2" s="329"/>
      <c r="D2" s="329"/>
      <c r="E2" s="329"/>
      <c r="F2" s="329"/>
      <c r="G2" s="329"/>
      <c r="H2" s="329"/>
    </row>
    <row r="3" spans="1:29" s="1" customFormat="1" ht="24.75" x14ac:dyDescent="0.5">
      <c r="A3" s="329"/>
      <c r="B3" s="329"/>
      <c r="C3" s="329"/>
      <c r="D3" s="329"/>
      <c r="E3" s="329"/>
      <c r="F3" s="329"/>
      <c r="G3" s="329"/>
      <c r="H3" s="329"/>
    </row>
    <row r="4" spans="1:29" s="1" customFormat="1" ht="24.75" x14ac:dyDescent="0.5">
      <c r="A4" s="329" t="s">
        <v>107</v>
      </c>
      <c r="B4" s="329"/>
      <c r="C4" s="329"/>
      <c r="D4" s="329"/>
      <c r="E4" s="329"/>
      <c r="F4" s="329"/>
      <c r="G4" s="329"/>
      <c r="H4" s="329"/>
    </row>
    <row r="5" spans="1:29" s="1" customFormat="1" ht="24.75" x14ac:dyDescent="0.5">
      <c r="A5" s="329" t="s">
        <v>112</v>
      </c>
      <c r="B5" s="329"/>
      <c r="C5" s="329"/>
      <c r="D5" s="329"/>
      <c r="E5" s="329"/>
      <c r="F5" s="329"/>
      <c r="G5" s="329"/>
      <c r="H5" s="329"/>
    </row>
    <row r="6" spans="1:29" s="1" customFormat="1" ht="19.5" thickBot="1" x14ac:dyDescent="0.45">
      <c r="A6" s="6"/>
      <c r="B6" s="6"/>
      <c r="C6" s="6"/>
      <c r="D6" s="6"/>
      <c r="E6" s="6"/>
      <c r="F6" s="6"/>
      <c r="G6" s="6"/>
      <c r="H6" s="6"/>
    </row>
    <row r="7" spans="1:29" s="1" customFormat="1" ht="22.5" x14ac:dyDescent="0.45">
      <c r="A7" s="7"/>
      <c r="B7" s="331" t="s">
        <v>1</v>
      </c>
      <c r="C7" s="332"/>
      <c r="D7" s="331" t="s">
        <v>39</v>
      </c>
      <c r="E7" s="332"/>
      <c r="F7" s="331" t="s">
        <v>2</v>
      </c>
      <c r="G7" s="332"/>
      <c r="H7" s="314" t="s">
        <v>40</v>
      </c>
      <c r="I7" s="316"/>
      <c r="J7" s="314" t="s">
        <v>3</v>
      </c>
      <c r="K7" s="316"/>
      <c r="L7" s="314" t="s">
        <v>4</v>
      </c>
      <c r="M7" s="316"/>
      <c r="N7" s="314" t="s">
        <v>5</v>
      </c>
      <c r="O7" s="316"/>
      <c r="P7" s="345" t="s">
        <v>41</v>
      </c>
      <c r="Q7" s="345"/>
      <c r="R7" s="345" t="s">
        <v>42</v>
      </c>
      <c r="S7" s="345"/>
      <c r="T7" s="346" t="s">
        <v>43</v>
      </c>
      <c r="U7" s="346"/>
      <c r="V7" s="346" t="s">
        <v>44</v>
      </c>
      <c r="W7" s="346"/>
      <c r="X7" s="346" t="s">
        <v>45</v>
      </c>
      <c r="Y7" s="346"/>
      <c r="AC7" s="273"/>
    </row>
    <row r="8" spans="1:29" s="1" customFormat="1" ht="22.5" x14ac:dyDescent="0.45">
      <c r="A8" s="274" t="s">
        <v>57</v>
      </c>
      <c r="B8" s="144" t="s">
        <v>49</v>
      </c>
      <c r="C8" s="145" t="s">
        <v>50</v>
      </c>
      <c r="D8" s="144" t="s">
        <v>49</v>
      </c>
      <c r="E8" s="145" t="s">
        <v>50</v>
      </c>
      <c r="F8" s="144" t="s">
        <v>49</v>
      </c>
      <c r="G8" s="145" t="s">
        <v>50</v>
      </c>
      <c r="H8" s="274" t="s">
        <v>49</v>
      </c>
      <c r="I8" s="274" t="s">
        <v>50</v>
      </c>
      <c r="J8" s="274" t="s">
        <v>49</v>
      </c>
      <c r="K8" s="274" t="s">
        <v>50</v>
      </c>
      <c r="L8" s="274" t="s">
        <v>49</v>
      </c>
      <c r="M8" s="7" t="s">
        <v>50</v>
      </c>
      <c r="N8" s="7" t="s">
        <v>49</v>
      </c>
      <c r="O8" s="7" t="s">
        <v>50</v>
      </c>
      <c r="P8" s="7" t="s">
        <v>49</v>
      </c>
      <c r="Q8" s="7" t="s">
        <v>50</v>
      </c>
      <c r="R8" s="7" t="s">
        <v>49</v>
      </c>
      <c r="S8" s="7" t="s">
        <v>50</v>
      </c>
      <c r="T8" s="11" t="s">
        <v>49</v>
      </c>
      <c r="U8" s="11" t="s">
        <v>50</v>
      </c>
      <c r="V8" s="11" t="s">
        <v>49</v>
      </c>
      <c r="W8" s="11" t="s">
        <v>50</v>
      </c>
      <c r="X8" s="11" t="s">
        <v>49</v>
      </c>
      <c r="Y8" s="11" t="s">
        <v>50</v>
      </c>
    </row>
    <row r="9" spans="1:29" s="1" customFormat="1" ht="18.75" x14ac:dyDescent="0.4">
      <c r="A9" s="3" t="s">
        <v>104</v>
      </c>
      <c r="B9" s="251">
        <v>8708072.6799999997</v>
      </c>
      <c r="C9" s="35">
        <v>5701535</v>
      </c>
      <c r="D9" s="35">
        <v>6937168.1900000004</v>
      </c>
      <c r="E9" s="35">
        <v>4514627</v>
      </c>
      <c r="F9" s="35">
        <f>8056438.21</f>
        <v>8056438.21</v>
      </c>
      <c r="G9" s="35">
        <v>4632536</v>
      </c>
      <c r="H9" s="243">
        <v>9075541.2100000009</v>
      </c>
      <c r="I9" s="243">
        <v>5582954</v>
      </c>
      <c r="J9" s="243">
        <v>8901889.9100000001</v>
      </c>
      <c r="K9" s="243">
        <v>5769784</v>
      </c>
      <c r="L9" s="243">
        <v>9121167.4399999995</v>
      </c>
      <c r="M9" s="275">
        <v>5288360</v>
      </c>
      <c r="N9" s="275">
        <v>10428592</v>
      </c>
      <c r="O9" s="275">
        <v>5867161</v>
      </c>
      <c r="P9" s="275">
        <v>9854221.4499999993</v>
      </c>
      <c r="Q9" s="275">
        <v>5779502</v>
      </c>
      <c r="R9" s="275">
        <v>8789249.8100000005</v>
      </c>
      <c r="S9" s="275">
        <v>5121497</v>
      </c>
      <c r="T9" s="275">
        <v>8309103.7800000003</v>
      </c>
      <c r="U9" s="275">
        <v>7304343</v>
      </c>
      <c r="V9" s="275">
        <v>9669806.0600000005</v>
      </c>
      <c r="W9" s="275">
        <v>5283698</v>
      </c>
      <c r="X9" s="275">
        <v>10894507.130000001</v>
      </c>
      <c r="Y9" s="275">
        <v>6148347</v>
      </c>
      <c r="Z9" s="276"/>
      <c r="AA9" s="276"/>
      <c r="AB9" s="276"/>
      <c r="AC9" s="276"/>
    </row>
    <row r="10" spans="1:29" s="1" customFormat="1" ht="19.5" thickBot="1" x14ac:dyDescent="0.45">
      <c r="A10" s="3" t="s">
        <v>58</v>
      </c>
      <c r="B10" s="35">
        <v>247326</v>
      </c>
      <c r="C10" s="35">
        <v>27144</v>
      </c>
      <c r="D10" s="35">
        <v>248233</v>
      </c>
      <c r="E10" s="35">
        <v>27012</v>
      </c>
      <c r="F10" s="35">
        <v>248251</v>
      </c>
      <c r="G10" s="35">
        <v>27041</v>
      </c>
      <c r="H10" s="277">
        <v>9300</v>
      </c>
      <c r="I10" s="277">
        <v>26106</v>
      </c>
      <c r="J10" s="277">
        <v>410214</v>
      </c>
      <c r="K10" s="277">
        <v>30893</v>
      </c>
      <c r="L10" s="277">
        <v>4173</v>
      </c>
      <c r="M10" s="278">
        <v>11126</v>
      </c>
      <c r="N10" s="278">
        <v>59691</v>
      </c>
      <c r="O10" s="278">
        <v>16737</v>
      </c>
      <c r="P10" s="278">
        <v>299744</v>
      </c>
      <c r="Q10" s="278">
        <v>26865</v>
      </c>
      <c r="R10" s="278">
        <v>214783</v>
      </c>
      <c r="S10" s="278">
        <v>21324</v>
      </c>
      <c r="T10" s="278">
        <v>1903726.2</v>
      </c>
      <c r="U10" s="278">
        <v>247355</v>
      </c>
      <c r="V10" s="278">
        <v>0</v>
      </c>
      <c r="W10" s="278">
        <v>0</v>
      </c>
      <c r="X10" s="278">
        <v>0</v>
      </c>
      <c r="Y10" s="278">
        <v>0</v>
      </c>
      <c r="Z10" s="276"/>
      <c r="AA10" s="276"/>
      <c r="AB10" s="276"/>
      <c r="AC10" s="276"/>
    </row>
    <row r="11" spans="1:29" s="1" customFormat="1" ht="18.75" x14ac:dyDescent="0.4">
      <c r="A11" s="3" t="s">
        <v>105</v>
      </c>
      <c r="B11" s="35">
        <v>381306</v>
      </c>
      <c r="C11" s="35">
        <v>79919</v>
      </c>
      <c r="D11" s="35">
        <v>418667</v>
      </c>
      <c r="E11" s="35">
        <v>75667</v>
      </c>
      <c r="F11" s="35">
        <v>199149</v>
      </c>
      <c r="G11" s="35">
        <v>8843</v>
      </c>
      <c r="H11" s="243">
        <v>21266</v>
      </c>
      <c r="I11" s="243">
        <v>1859</v>
      </c>
      <c r="J11" s="243">
        <v>474849</v>
      </c>
      <c r="K11" s="243">
        <v>17920</v>
      </c>
      <c r="L11" s="243">
        <v>51013</v>
      </c>
      <c r="M11" s="275">
        <v>13407</v>
      </c>
      <c r="N11" s="275">
        <v>470378</v>
      </c>
      <c r="O11" s="275">
        <v>8267</v>
      </c>
      <c r="P11" s="275">
        <v>104028</v>
      </c>
      <c r="Q11" s="275">
        <v>190727</v>
      </c>
      <c r="R11" s="275">
        <v>759130</v>
      </c>
      <c r="S11" s="275">
        <v>12250</v>
      </c>
      <c r="T11" s="275">
        <v>372731</v>
      </c>
      <c r="U11" s="275">
        <v>6532</v>
      </c>
      <c r="V11" s="275">
        <v>488436</v>
      </c>
      <c r="W11" s="275">
        <v>523272</v>
      </c>
      <c r="X11" s="275">
        <v>0</v>
      </c>
      <c r="Y11" s="275">
        <v>0</v>
      </c>
      <c r="Z11" s="276"/>
      <c r="AA11" s="276"/>
      <c r="AB11" s="276"/>
      <c r="AC11" s="276"/>
    </row>
    <row r="12" spans="1:29" s="1" customFormat="1" ht="18.75" x14ac:dyDescent="0.4">
      <c r="A12" s="3" t="s">
        <v>71</v>
      </c>
      <c r="B12" s="35">
        <f>594110+8236</f>
        <v>602346</v>
      </c>
      <c r="C12" s="35">
        <f>41545+8292</f>
        <v>49837</v>
      </c>
      <c r="D12" s="35">
        <f>604208+4275</f>
        <v>608483</v>
      </c>
      <c r="E12" s="35">
        <f>61275+8024</f>
        <v>69299</v>
      </c>
      <c r="F12" s="35">
        <v>363015</v>
      </c>
      <c r="G12" s="35">
        <v>79862</v>
      </c>
      <c r="H12" s="243">
        <v>274029</v>
      </c>
      <c r="I12" s="243">
        <v>4345</v>
      </c>
      <c r="J12" s="243">
        <v>170539</v>
      </c>
      <c r="K12" s="243">
        <v>345</v>
      </c>
      <c r="L12" s="243">
        <v>239317</v>
      </c>
      <c r="M12" s="275">
        <v>2975</v>
      </c>
      <c r="N12" s="275">
        <v>337893</v>
      </c>
      <c r="O12" s="275">
        <v>13182</v>
      </c>
      <c r="P12" s="275">
        <v>203254</v>
      </c>
      <c r="Q12" s="275">
        <v>3243</v>
      </c>
      <c r="R12" s="275">
        <v>498307</v>
      </c>
      <c r="S12" s="275">
        <v>1242</v>
      </c>
      <c r="T12" s="275">
        <v>0</v>
      </c>
      <c r="U12" s="275">
        <v>2286</v>
      </c>
      <c r="V12" s="275">
        <v>2638009</v>
      </c>
      <c r="W12" s="275">
        <v>37722</v>
      </c>
      <c r="X12" s="275">
        <v>0</v>
      </c>
      <c r="Y12" s="275">
        <v>0</v>
      </c>
      <c r="Z12" s="276"/>
      <c r="AA12" s="276"/>
      <c r="AB12" s="276"/>
      <c r="AC12" s="276"/>
    </row>
    <row r="13" spans="1:29" s="1" customFormat="1" ht="18.75" x14ac:dyDescent="0.4">
      <c r="A13" s="279" t="s">
        <v>13</v>
      </c>
      <c r="H13" s="280">
        <v>1890</v>
      </c>
      <c r="I13" s="281">
        <v>463</v>
      </c>
      <c r="J13" s="280">
        <v>21801</v>
      </c>
      <c r="K13" s="281">
        <v>835</v>
      </c>
      <c r="L13" s="280">
        <v>21266</v>
      </c>
      <c r="M13" s="282">
        <v>1859</v>
      </c>
      <c r="N13" s="282">
        <v>54275</v>
      </c>
      <c r="O13" s="282">
        <v>1746</v>
      </c>
      <c r="P13" s="282">
        <v>51013</v>
      </c>
      <c r="Q13" s="282">
        <v>13407</v>
      </c>
      <c r="R13" s="282">
        <v>75909</v>
      </c>
      <c r="S13" s="282">
        <v>82023</v>
      </c>
      <c r="T13" s="282">
        <v>104028</v>
      </c>
      <c r="U13" s="282">
        <v>190727</v>
      </c>
      <c r="V13" s="282">
        <v>98344</v>
      </c>
      <c r="W13" s="282">
        <v>130450</v>
      </c>
      <c r="X13" s="282">
        <v>59910</v>
      </c>
      <c r="Y13" s="282">
        <v>101762</v>
      </c>
      <c r="Z13" s="276"/>
      <c r="AA13" s="276"/>
      <c r="AB13" s="276"/>
      <c r="AC13" s="276"/>
    </row>
    <row r="14" spans="1:29" s="1" customFormat="1" ht="18.75" x14ac:dyDescent="0.4">
      <c r="A14" s="4" t="s">
        <v>38</v>
      </c>
      <c r="B14" s="35">
        <f t="shared" ref="B14:G14" si="0">SUM(B9:B12)</f>
        <v>9939050.6799999997</v>
      </c>
      <c r="C14" s="35">
        <f t="shared" si="0"/>
        <v>5858435</v>
      </c>
      <c r="D14" s="35">
        <f t="shared" si="0"/>
        <v>8212551.1900000004</v>
      </c>
      <c r="E14" s="35">
        <f t="shared" si="0"/>
        <v>4686605</v>
      </c>
      <c r="F14" s="35">
        <f t="shared" si="0"/>
        <v>8866853.2100000009</v>
      </c>
      <c r="G14" s="35">
        <f t="shared" si="0"/>
        <v>4748282</v>
      </c>
      <c r="H14" s="275">
        <v>9382026.2100000009</v>
      </c>
      <c r="I14" s="275">
        <v>5615727</v>
      </c>
      <c r="J14" s="275">
        <v>9979292.9100000001</v>
      </c>
      <c r="K14" s="275">
        <v>5819777</v>
      </c>
      <c r="L14" s="275">
        <v>9436936.4399999995</v>
      </c>
      <c r="M14" s="275">
        <v>5317727</v>
      </c>
      <c r="N14" s="275">
        <v>11350829</v>
      </c>
      <c r="O14" s="275">
        <v>5907093</v>
      </c>
      <c r="P14" s="275">
        <v>10512260.449999999</v>
      </c>
      <c r="Q14" s="275">
        <v>6013744</v>
      </c>
      <c r="R14" s="275">
        <v>10337378.810000001</v>
      </c>
      <c r="S14" s="275">
        <v>5238336</v>
      </c>
      <c r="T14" s="275">
        <v>10689588.98</v>
      </c>
      <c r="U14" s="275">
        <v>7751243</v>
      </c>
      <c r="V14" s="275">
        <v>12894595.060000001</v>
      </c>
      <c r="W14" s="275">
        <v>5975142</v>
      </c>
      <c r="X14" s="275">
        <v>10954417.130000001</v>
      </c>
      <c r="Y14" s="275">
        <v>6250109</v>
      </c>
      <c r="Z14" s="276"/>
      <c r="AA14" s="276"/>
      <c r="AB14" s="276"/>
      <c r="AC14" s="276"/>
    </row>
    <row r="15" spans="1:29" ht="18.75" x14ac:dyDescent="0.4">
      <c r="A15" s="283"/>
      <c r="B15" s="283"/>
      <c r="C15" s="283"/>
      <c r="D15" s="283"/>
      <c r="E15" s="283"/>
      <c r="F15" s="283"/>
      <c r="G15" s="283"/>
      <c r="H15" s="284"/>
      <c r="I15" s="284"/>
      <c r="J15" s="284"/>
      <c r="K15" s="284"/>
      <c r="L15" s="284"/>
      <c r="M15" s="284"/>
      <c r="N15" s="284"/>
      <c r="O15" s="284"/>
      <c r="P15" s="284"/>
      <c r="Q15" s="284"/>
      <c r="R15" s="284"/>
      <c r="S15" s="284"/>
      <c r="T15" s="284"/>
      <c r="U15" s="284"/>
      <c r="V15" s="284"/>
      <c r="W15" s="284"/>
      <c r="X15" s="284"/>
      <c r="Y15" s="284"/>
      <c r="AA15" s="276"/>
    </row>
    <row r="16" spans="1:29" ht="18.75" x14ac:dyDescent="0.4">
      <c r="A16" s="283"/>
      <c r="B16" s="297"/>
      <c r="C16" s="297"/>
      <c r="D16" s="297"/>
      <c r="E16" s="297"/>
      <c r="F16" s="297"/>
      <c r="G16" s="297"/>
      <c r="H16" s="284"/>
      <c r="I16" s="284"/>
      <c r="J16" s="284"/>
      <c r="K16" s="285"/>
      <c r="L16" s="284"/>
      <c r="M16" s="285"/>
      <c r="N16" s="286"/>
      <c r="O16" s="286"/>
      <c r="P16" s="284"/>
      <c r="Q16" s="284"/>
      <c r="R16" s="285"/>
      <c r="S16" s="285"/>
      <c r="T16" s="284"/>
      <c r="U16" s="284"/>
      <c r="V16" s="284"/>
      <c r="W16" s="284"/>
      <c r="X16" s="284"/>
      <c r="Y16" s="284"/>
      <c r="AA16" s="276"/>
    </row>
    <row r="17" spans="1:31" ht="18.75" x14ac:dyDescent="0.4">
      <c r="C17" s="287"/>
      <c r="D17" s="287"/>
      <c r="E17" s="287"/>
      <c r="F17" s="287"/>
      <c r="G17" s="287"/>
      <c r="H17" s="287" t="s">
        <v>113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AA17" s="276"/>
    </row>
    <row r="18" spans="1:31" ht="19.5" thickBot="1" x14ac:dyDescent="0.45"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AA18" s="276"/>
    </row>
    <row r="19" spans="1:31" ht="22.5" x14ac:dyDescent="0.45">
      <c r="A19" s="274"/>
      <c r="B19" s="331" t="s">
        <v>1</v>
      </c>
      <c r="C19" s="332"/>
      <c r="D19" s="331" t="s">
        <v>39</v>
      </c>
      <c r="E19" s="332"/>
      <c r="F19" s="331" t="s">
        <v>2</v>
      </c>
      <c r="G19" s="332"/>
      <c r="H19" s="288"/>
      <c r="I19" s="289" t="s">
        <v>40</v>
      </c>
      <c r="J19" s="288"/>
      <c r="K19" s="290" t="s">
        <v>3</v>
      </c>
      <c r="L19" s="288"/>
      <c r="M19" s="289" t="s">
        <v>4</v>
      </c>
      <c r="N19" s="347" t="s">
        <v>5</v>
      </c>
      <c r="O19" s="348"/>
      <c r="P19" s="347" t="s">
        <v>41</v>
      </c>
      <c r="Q19" s="348"/>
      <c r="R19" s="347" t="s">
        <v>42</v>
      </c>
      <c r="S19" s="348"/>
      <c r="T19" s="343" t="s">
        <v>43</v>
      </c>
      <c r="U19" s="344"/>
      <c r="V19" s="343" t="s">
        <v>44</v>
      </c>
      <c r="W19" s="344"/>
      <c r="X19" s="343" t="s">
        <v>45</v>
      </c>
      <c r="Y19" s="344"/>
      <c r="AA19" s="276"/>
    </row>
    <row r="20" spans="1:31" ht="22.5" x14ac:dyDescent="0.45">
      <c r="A20" s="274" t="s">
        <v>57</v>
      </c>
      <c r="B20" s="144" t="s">
        <v>49</v>
      </c>
      <c r="C20" s="145" t="s">
        <v>50</v>
      </c>
      <c r="D20" s="144" t="s">
        <v>49</v>
      </c>
      <c r="E20" s="145" t="s">
        <v>50</v>
      </c>
      <c r="F20" s="144" t="s">
        <v>49</v>
      </c>
      <c r="G20" s="145" t="s">
        <v>50</v>
      </c>
      <c r="H20" s="274" t="s">
        <v>49</v>
      </c>
      <c r="I20" s="274" t="s">
        <v>50</v>
      </c>
      <c r="J20" s="274" t="s">
        <v>49</v>
      </c>
      <c r="K20" s="274" t="s">
        <v>50</v>
      </c>
      <c r="L20" s="274" t="s">
        <v>49</v>
      </c>
      <c r="M20" s="274" t="s">
        <v>50</v>
      </c>
      <c r="N20" s="274" t="s">
        <v>49</v>
      </c>
      <c r="O20" s="274" t="s">
        <v>50</v>
      </c>
      <c r="P20" s="274" t="s">
        <v>49</v>
      </c>
      <c r="Q20" s="274" t="s">
        <v>50</v>
      </c>
      <c r="R20" s="274" t="s">
        <v>49</v>
      </c>
      <c r="S20" s="274" t="s">
        <v>50</v>
      </c>
      <c r="T20" s="291" t="s">
        <v>49</v>
      </c>
      <c r="U20" s="291" t="s">
        <v>50</v>
      </c>
      <c r="V20" s="291" t="s">
        <v>49</v>
      </c>
      <c r="W20" s="291" t="s">
        <v>50</v>
      </c>
      <c r="X20" s="291" t="s">
        <v>49</v>
      </c>
      <c r="Y20" s="291" t="s">
        <v>50</v>
      </c>
      <c r="AA20" s="276"/>
    </row>
    <row r="21" spans="1:31" ht="18.75" x14ac:dyDescent="0.4">
      <c r="A21" s="3" t="s">
        <v>104</v>
      </c>
      <c r="B21" s="35">
        <f>98845</f>
        <v>98845</v>
      </c>
      <c r="C21" s="35">
        <v>25892</v>
      </c>
      <c r="D21" s="35">
        <f>78898</f>
        <v>78898</v>
      </c>
      <c r="E21" s="35">
        <v>34247</v>
      </c>
      <c r="F21" s="35">
        <v>89260</v>
      </c>
      <c r="G21" s="35">
        <v>36086</v>
      </c>
      <c r="H21" s="292">
        <v>100087.2</v>
      </c>
      <c r="I21" s="292">
        <v>44873</v>
      </c>
      <c r="J21" s="292">
        <v>89886</v>
      </c>
      <c r="K21" s="292">
        <v>47658</v>
      </c>
      <c r="L21" s="292">
        <v>86703.5</v>
      </c>
      <c r="M21" s="292">
        <v>59680</v>
      </c>
      <c r="N21" s="292">
        <v>81594</v>
      </c>
      <c r="O21" s="292">
        <v>89450.7</v>
      </c>
      <c r="P21" s="293">
        <v>176117</v>
      </c>
      <c r="Q21" s="293">
        <v>211840</v>
      </c>
      <c r="R21" s="293">
        <v>162565</v>
      </c>
      <c r="S21" s="293">
        <v>167560</v>
      </c>
      <c r="T21" s="293">
        <v>408331</v>
      </c>
      <c r="U21" s="293">
        <v>114234.5</v>
      </c>
      <c r="V21" s="293">
        <v>548255</v>
      </c>
      <c r="W21" s="293">
        <v>1075257</v>
      </c>
      <c r="X21" s="293">
        <v>313541</v>
      </c>
      <c r="Y21" s="293">
        <v>1092044</v>
      </c>
      <c r="Z21" s="294"/>
      <c r="AA21" s="295"/>
      <c r="AB21" s="295"/>
      <c r="AC21" s="295"/>
      <c r="AD21" s="294"/>
      <c r="AE21" s="294"/>
    </row>
    <row r="22" spans="1:31" ht="18.75" x14ac:dyDescent="0.4">
      <c r="A22" s="3" t="s">
        <v>58</v>
      </c>
      <c r="B22" s="35">
        <v>57677</v>
      </c>
      <c r="C22" s="35">
        <v>21899</v>
      </c>
      <c r="D22" s="35">
        <v>57126</v>
      </c>
      <c r="E22" s="35">
        <v>21722</v>
      </c>
      <c r="F22" s="35">
        <v>58512</v>
      </c>
      <c r="G22" s="35">
        <v>20939</v>
      </c>
      <c r="H22" s="293">
        <v>58973</v>
      </c>
      <c r="I22" s="293">
        <v>30822</v>
      </c>
      <c r="J22" s="293">
        <v>58742</v>
      </c>
      <c r="K22" s="293">
        <v>31618</v>
      </c>
      <c r="L22" s="293">
        <v>59211</v>
      </c>
      <c r="M22" s="293">
        <v>32712</v>
      </c>
      <c r="N22" s="293">
        <v>58332</v>
      </c>
      <c r="O22" s="293">
        <v>75386</v>
      </c>
      <c r="P22" s="293">
        <v>62146</v>
      </c>
      <c r="Q22" s="293">
        <v>73216</v>
      </c>
      <c r="R22" s="293">
        <v>57179</v>
      </c>
      <c r="S22" s="293">
        <v>77211</v>
      </c>
      <c r="T22" s="293">
        <v>58226</v>
      </c>
      <c r="U22" s="293">
        <v>79302</v>
      </c>
      <c r="V22" s="293">
        <v>55137</v>
      </c>
      <c r="W22" s="293">
        <v>88216</v>
      </c>
      <c r="X22" s="293">
        <v>56122</v>
      </c>
      <c r="Y22" s="293">
        <v>87004</v>
      </c>
      <c r="Z22" s="294"/>
      <c r="AA22" s="295"/>
      <c r="AB22" s="295"/>
      <c r="AC22" s="295"/>
      <c r="AD22" s="294"/>
      <c r="AE22" s="294"/>
    </row>
    <row r="23" spans="1:31" ht="18.75" x14ac:dyDescent="0.4">
      <c r="A23" s="3" t="s">
        <v>105</v>
      </c>
      <c r="B23" s="35">
        <v>0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293">
        <v>0</v>
      </c>
      <c r="I23" s="293">
        <v>0</v>
      </c>
      <c r="J23" s="293">
        <v>0</v>
      </c>
      <c r="K23" s="293">
        <v>0</v>
      </c>
      <c r="L23" s="293">
        <v>0</v>
      </c>
      <c r="M23" s="293">
        <v>0</v>
      </c>
      <c r="N23" s="293">
        <v>0</v>
      </c>
      <c r="O23" s="293">
        <v>0</v>
      </c>
      <c r="P23" s="293">
        <v>0</v>
      </c>
      <c r="Q23" s="293">
        <v>0</v>
      </c>
      <c r="R23" s="293">
        <v>0</v>
      </c>
      <c r="S23" s="293">
        <v>0</v>
      </c>
      <c r="T23" s="293">
        <v>0</v>
      </c>
      <c r="U23" s="293">
        <v>0</v>
      </c>
      <c r="V23" s="293">
        <v>0</v>
      </c>
      <c r="W23" s="293">
        <v>0</v>
      </c>
      <c r="X23" s="293">
        <v>0</v>
      </c>
      <c r="Y23" s="293">
        <v>0</v>
      </c>
      <c r="Z23" s="294"/>
      <c r="AA23" s="295"/>
      <c r="AB23" s="295"/>
      <c r="AC23" s="295"/>
      <c r="AD23" s="294"/>
      <c r="AE23" s="294"/>
    </row>
    <row r="24" spans="1:31" ht="18.75" x14ac:dyDescent="0.4">
      <c r="A24" s="3" t="s">
        <v>71</v>
      </c>
      <c r="B24" s="35">
        <v>2249</v>
      </c>
      <c r="C24" s="35">
        <v>0</v>
      </c>
      <c r="D24" s="35">
        <v>0</v>
      </c>
      <c r="E24" s="35">
        <v>1292</v>
      </c>
      <c r="F24" s="35">
        <v>928</v>
      </c>
      <c r="G24" s="35">
        <v>0</v>
      </c>
      <c r="H24" s="293">
        <v>0</v>
      </c>
      <c r="I24" s="293">
        <v>1180</v>
      </c>
      <c r="J24" s="293">
        <v>0</v>
      </c>
      <c r="K24" s="293">
        <v>6650</v>
      </c>
      <c r="L24" s="293">
        <v>0</v>
      </c>
      <c r="M24" s="293">
        <v>1190</v>
      </c>
      <c r="N24" s="293">
        <v>1</v>
      </c>
      <c r="O24" s="293">
        <v>1921</v>
      </c>
      <c r="P24" s="293">
        <v>119334</v>
      </c>
      <c r="Q24" s="293">
        <v>101478</v>
      </c>
      <c r="R24" s="293">
        <v>0</v>
      </c>
      <c r="S24" s="293">
        <v>0</v>
      </c>
      <c r="T24" s="293">
        <v>0</v>
      </c>
      <c r="U24" s="293">
        <v>0</v>
      </c>
      <c r="V24" s="293">
        <v>0</v>
      </c>
      <c r="W24" s="293">
        <v>0</v>
      </c>
      <c r="X24" s="293">
        <v>0</v>
      </c>
      <c r="Y24" s="293">
        <v>0</v>
      </c>
      <c r="Z24" s="294"/>
      <c r="AA24" s="295"/>
      <c r="AB24" s="295"/>
      <c r="AC24" s="295"/>
      <c r="AD24" s="294"/>
      <c r="AE24" s="294"/>
    </row>
    <row r="25" spans="1:31" ht="18.75" x14ac:dyDescent="0.4">
      <c r="A25" s="3" t="s">
        <v>38</v>
      </c>
      <c r="B25" s="35">
        <f t="shared" ref="B25:G25" si="1">SUM(B21:B24)</f>
        <v>158771</v>
      </c>
      <c r="C25" s="35">
        <f t="shared" si="1"/>
        <v>47791</v>
      </c>
      <c r="D25" s="35">
        <f t="shared" si="1"/>
        <v>136024</v>
      </c>
      <c r="E25" s="35">
        <f t="shared" si="1"/>
        <v>57261</v>
      </c>
      <c r="F25" s="35">
        <f t="shared" si="1"/>
        <v>148700</v>
      </c>
      <c r="G25" s="35">
        <f t="shared" si="1"/>
        <v>57025</v>
      </c>
      <c r="H25" s="293">
        <v>159060.20000000001</v>
      </c>
      <c r="I25" s="293">
        <v>76875</v>
      </c>
      <c r="J25" s="293">
        <v>148628</v>
      </c>
      <c r="K25" s="293">
        <v>85926</v>
      </c>
      <c r="L25" s="293">
        <f>SUM(L21:L24)</f>
        <v>145914.5</v>
      </c>
      <c r="M25" s="293">
        <f>SUM(M21:M24)</f>
        <v>93582</v>
      </c>
      <c r="N25" s="293">
        <v>139927</v>
      </c>
      <c r="O25" s="293">
        <v>166757.70000000001</v>
      </c>
      <c r="P25" s="293">
        <v>357597</v>
      </c>
      <c r="Q25" s="293">
        <v>386534</v>
      </c>
      <c r="R25" s="293">
        <v>219744</v>
      </c>
      <c r="S25" s="293">
        <v>244771</v>
      </c>
      <c r="T25" s="293">
        <v>466557</v>
      </c>
      <c r="U25" s="293">
        <v>193536.5</v>
      </c>
      <c r="V25" s="293">
        <v>603392</v>
      </c>
      <c r="W25" s="293">
        <v>1163473</v>
      </c>
      <c r="X25" s="293">
        <f>SUM(X21:X24)</f>
        <v>369663</v>
      </c>
      <c r="Y25" s="293">
        <f>SUM(Y21:Y24)</f>
        <v>1179048</v>
      </c>
      <c r="Z25" s="294"/>
      <c r="AA25" s="295"/>
      <c r="AB25" s="295"/>
      <c r="AC25" s="295"/>
      <c r="AD25" s="294"/>
      <c r="AE25" s="294"/>
    </row>
    <row r="27" spans="1:31" x14ac:dyDescent="0.25">
      <c r="B27" s="296"/>
      <c r="C27" s="296"/>
      <c r="D27" s="296"/>
      <c r="E27" s="296"/>
      <c r="F27" s="296"/>
      <c r="G27" s="296"/>
      <c r="H27" s="296"/>
      <c r="I27" s="296"/>
      <c r="J27" s="296"/>
      <c r="K27" s="296"/>
      <c r="L27" s="296"/>
      <c r="M27" s="296"/>
      <c r="N27" s="296"/>
      <c r="O27" s="296"/>
      <c r="P27" s="296"/>
      <c r="Q27" s="296"/>
      <c r="R27" s="296"/>
      <c r="S27" s="296"/>
    </row>
    <row r="28" spans="1:31" x14ac:dyDescent="0.25">
      <c r="F28" s="296"/>
      <c r="G28" s="296"/>
    </row>
  </sheetData>
  <mergeCells count="25">
    <mergeCell ref="V19:W19"/>
    <mergeCell ref="A2:H2"/>
    <mergeCell ref="A3:H3"/>
    <mergeCell ref="A4:H4"/>
    <mergeCell ref="A5:H5"/>
    <mergeCell ref="H7:I7"/>
    <mergeCell ref="J7:K7"/>
    <mergeCell ref="L7:M7"/>
    <mergeCell ref="N7:O7"/>
    <mergeCell ref="X19:Y19"/>
    <mergeCell ref="B7:C7"/>
    <mergeCell ref="D7:E7"/>
    <mergeCell ref="F7:G7"/>
    <mergeCell ref="B19:C19"/>
    <mergeCell ref="D19:E19"/>
    <mergeCell ref="F19:G19"/>
    <mergeCell ref="P7:Q7"/>
    <mergeCell ref="R7:S7"/>
    <mergeCell ref="T7:U7"/>
    <mergeCell ref="V7:W7"/>
    <mergeCell ref="X7:Y7"/>
    <mergeCell ref="N19:O19"/>
    <mergeCell ref="P19:Q19"/>
    <mergeCell ref="R19:S19"/>
    <mergeCell ref="T19:U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PAX 2014</vt:lpstr>
      <vt:lpstr>PAX 2015</vt:lpstr>
      <vt:lpstr>PAX 2016</vt:lpstr>
      <vt:lpstr>ACR 2014</vt:lpstr>
      <vt:lpstr>ACR 2015</vt:lpstr>
      <vt:lpstr>ACR 2016</vt:lpstr>
      <vt:lpstr>CARGO 2014</vt:lpstr>
      <vt:lpstr>CARGO 2015</vt:lpstr>
      <vt:lpstr>CARGO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Esiri</dc:creator>
  <cp:lastModifiedBy>S. Lai</cp:lastModifiedBy>
  <dcterms:created xsi:type="dcterms:W3CDTF">2017-04-03T19:42:55Z</dcterms:created>
  <dcterms:modified xsi:type="dcterms:W3CDTF">2019-10-19T18:33:29Z</dcterms:modified>
</cp:coreProperties>
</file>