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OneDrive - University of Southampton\Seasonality Project\Covariates\Air travel data\Other\"/>
    </mc:Choice>
  </mc:AlternateContent>
  <xr:revisionPtr revIDLastSave="4" documentId="8_{5C0C2EF7-B7C9-43A9-A631-6BAE6C0ED847}" xr6:coauthVersionLast="41" xr6:coauthVersionMax="41" xr10:uidLastSave="{4BFAD3D6-CF06-4B24-BB29-4464BE35E056}"/>
  <bookViews>
    <workbookView xWindow="-120" yWindow="-120" windowWidth="20730" windowHeight="11160" activeTab="2" xr2:uid="{00000000-000D-0000-FFFF-FFFF00000000}"/>
  </bookViews>
  <sheets>
    <sheet name="2017 pax" sheetId="19" r:id="rId1"/>
    <sheet name="2016 pax" sheetId="18" r:id="rId2"/>
    <sheet name="2015 pax" sheetId="16" r:id="rId3"/>
    <sheet name="2014 pax" sheetId="14" r:id="rId4"/>
    <sheet name="2013 pax" sheetId="10" r:id="rId5"/>
    <sheet name="2012 pax" sheetId="8" r:id="rId6"/>
    <sheet name="2011 pax" sheetId="6" r:id="rId7"/>
    <sheet name="2010 pax" sheetId="7" r:id="rId8"/>
  </sheets>
  <definedNames>
    <definedName name="_xlnm._FilterDatabase" localSheetId="6" hidden="1">'2011 pax'!$A$1:$R$252</definedName>
    <definedName name="_xlnm._FilterDatabase" localSheetId="5" hidden="1">'2012 pax'!$A$1:$R$252</definedName>
    <definedName name="_xlnm._FilterDatabase" localSheetId="4" hidden="1">'2013 pax'!$A$1:$R$253</definedName>
    <definedName name="_xlnm._FilterDatabase" localSheetId="3" hidden="1">'2014 pax'!$A$1:$R$257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4" i="19" l="1"/>
  <c r="Q24" i="19"/>
  <c r="Q85" i="19"/>
  <c r="Q84" i="19"/>
  <c r="Q83" i="19"/>
  <c r="Q82" i="19"/>
  <c r="Q80" i="19"/>
  <c r="Q79" i="19"/>
  <c r="Q78" i="19"/>
  <c r="Q77" i="19"/>
  <c r="Q76" i="19"/>
  <c r="Q75" i="19"/>
  <c r="Q137" i="19"/>
  <c r="Q177" i="19"/>
  <c r="Q178" i="19"/>
  <c r="Q179" i="19"/>
  <c r="Q180" i="19"/>
  <c r="Q181" i="19"/>
  <c r="Q182" i="19"/>
  <c r="Q183" i="19"/>
  <c r="Q184" i="19"/>
  <c r="Q185" i="19"/>
  <c r="Q186" i="19"/>
  <c r="Q187" i="19"/>
  <c r="Q188" i="19"/>
  <c r="Q189" i="19"/>
  <c r="Q190" i="19"/>
  <c r="Q191" i="19"/>
  <c r="Q192" i="19"/>
  <c r="Q252" i="19"/>
  <c r="R252" i="19"/>
  <c r="Q247" i="19"/>
  <c r="Q242" i="19"/>
  <c r="Q240" i="19"/>
  <c r="Q236" i="19"/>
  <c r="Q232" i="19"/>
  <c r="Q227" i="19"/>
  <c r="Q238" i="19"/>
  <c r="Q230" i="19"/>
  <c r="Q226" i="19"/>
  <c r="Q222" i="19"/>
  <c r="Q220" i="19"/>
  <c r="Q219" i="19"/>
  <c r="Q213" i="19"/>
  <c r="Q209" i="19"/>
  <c r="Q210" i="19"/>
  <c r="Q211" i="19"/>
  <c r="Q212" i="19"/>
  <c r="Q207" i="19"/>
  <c r="Q203" i="19"/>
  <c r="Q204" i="19"/>
  <c r="Q249" i="19"/>
  <c r="Q251" i="19"/>
  <c r="Q258" i="19"/>
  <c r="Q267" i="19"/>
  <c r="Q268" i="19"/>
  <c r="Q269" i="19"/>
  <c r="Q278" i="19"/>
  <c r="Q271" i="19"/>
  <c r="Q287" i="19"/>
  <c r="Q288" i="19"/>
  <c r="Q289" i="19"/>
  <c r="Q290" i="19"/>
  <c r="Q295" i="19"/>
  <c r="Q277" i="19"/>
  <c r="Q285" i="19"/>
  <c r="Q283" i="19"/>
  <c r="Q280" i="19"/>
  <c r="Q279" i="19"/>
  <c r="Q266" i="19"/>
  <c r="Q241" i="19"/>
  <c r="Q217" i="19"/>
  <c r="Q262" i="19"/>
  <c r="Q257" i="19"/>
  <c r="Q256" i="19"/>
  <c r="Q255" i="19"/>
  <c r="Q244" i="19"/>
  <c r="Q231" i="19"/>
  <c r="Q293" i="19"/>
  <c r="Q294" i="19"/>
  <c r="Q265" i="19"/>
  <c r="Q284" i="19"/>
  <c r="Q223" i="19"/>
  <c r="R223" i="19"/>
  <c r="Q224" i="19"/>
  <c r="D238" i="19"/>
  <c r="R238" i="19"/>
  <c r="R216" i="18"/>
  <c r="Q204" i="18"/>
  <c r="D226" i="19"/>
  <c r="R226" i="19"/>
  <c r="Q208" i="18"/>
  <c r="Q263" i="19"/>
  <c r="Q225" i="19"/>
  <c r="Q291" i="19"/>
  <c r="Q286" i="19"/>
  <c r="Q246" i="19"/>
  <c r="Q275" i="19"/>
  <c r="Q243" i="19"/>
  <c r="Q272" i="19"/>
  <c r="Q260" i="19"/>
  <c r="Q274" i="19"/>
  <c r="Q248" i="19"/>
  <c r="Q245" i="19"/>
  <c r="Q261" i="19"/>
  <c r="Q186" i="18"/>
  <c r="D208" i="19"/>
  <c r="D237" i="19"/>
  <c r="Q225" i="18"/>
  <c r="D247" i="19"/>
  <c r="R247" i="19"/>
  <c r="Q177" i="18"/>
  <c r="R177" i="18"/>
  <c r="Q264" i="19"/>
  <c r="Q250" i="19"/>
  <c r="Q218" i="19"/>
  <c r="Q214" i="19"/>
  <c r="Q228" i="19"/>
  <c r="Q235" i="19"/>
  <c r="Q215" i="19"/>
  <c r="Q193" i="18"/>
  <c r="D215" i="19"/>
  <c r="R215" i="19"/>
  <c r="Q270" i="19"/>
  <c r="Q282" i="19"/>
  <c r="Q276" i="19"/>
  <c r="Q273" i="19"/>
  <c r="Q239" i="19"/>
  <c r="Q254" i="19"/>
  <c r="Q281" i="19"/>
  <c r="Q259" i="19"/>
  <c r="Q253" i="19"/>
  <c r="Q234" i="19"/>
  <c r="Q233" i="19"/>
  <c r="R38" i="18"/>
  <c r="Q22" i="18"/>
  <c r="D44" i="19"/>
  <c r="Q23" i="18"/>
  <c r="R23" i="18"/>
  <c r="Q24" i="18"/>
  <c r="D46" i="19"/>
  <c r="Q25" i="18"/>
  <c r="Q26" i="18"/>
  <c r="Q27" i="18"/>
  <c r="Q28" i="18"/>
  <c r="Q29" i="18"/>
  <c r="Q30" i="18"/>
  <c r="D52" i="19"/>
  <c r="Q31" i="18"/>
  <c r="Q32" i="18"/>
  <c r="Q33" i="18"/>
  <c r="D55" i="19"/>
  <c r="Q34" i="18"/>
  <c r="D56" i="19"/>
  <c r="Q35" i="18"/>
  <c r="D57" i="19"/>
  <c r="R57" i="19"/>
  <c r="Q36" i="18"/>
  <c r="D58" i="19"/>
  <c r="Q37" i="18"/>
  <c r="Q39" i="18"/>
  <c r="Q40" i="18"/>
  <c r="Q41" i="18"/>
  <c r="D63" i="19"/>
  <c r="Q42" i="18"/>
  <c r="D64" i="19"/>
  <c r="Q43" i="18"/>
  <c r="D65" i="19"/>
  <c r="Q44" i="18"/>
  <c r="D66" i="19"/>
  <c r="Q45" i="18"/>
  <c r="D67" i="19"/>
  <c r="Q46" i="18"/>
  <c r="D68" i="19"/>
  <c r="Q47" i="18"/>
  <c r="Q48" i="18"/>
  <c r="Q49" i="18"/>
  <c r="Q50" i="18"/>
  <c r="D72" i="19"/>
  <c r="Q51" i="18"/>
  <c r="D73" i="19"/>
  <c r="Q52" i="18"/>
  <c r="D74" i="19"/>
  <c r="Q20" i="18"/>
  <c r="D42" i="19"/>
  <c r="Q17" i="18"/>
  <c r="D39" i="19"/>
  <c r="Q18" i="18"/>
  <c r="D40" i="19"/>
  <c r="Q16" i="18"/>
  <c r="D38" i="19"/>
  <c r="Q13" i="18"/>
  <c r="D35" i="19"/>
  <c r="Q12" i="18"/>
  <c r="Q9" i="18"/>
  <c r="Q7" i="18"/>
  <c r="D29" i="19"/>
  <c r="Q57" i="19"/>
  <c r="Q21" i="18"/>
  <c r="D43" i="19"/>
  <c r="Q19" i="18"/>
  <c r="Q33" i="19"/>
  <c r="Q11" i="18"/>
  <c r="Q30" i="19"/>
  <c r="Q8" i="18"/>
  <c r="D30" i="19"/>
  <c r="Q28" i="19"/>
  <c r="Q6" i="18"/>
  <c r="Q64" i="16"/>
  <c r="Q64" i="18"/>
  <c r="Q170" i="16"/>
  <c r="Q169" i="16"/>
  <c r="Q172" i="18"/>
  <c r="Q171" i="18"/>
  <c r="R171" i="18"/>
  <c r="Q2" i="16"/>
  <c r="D2" i="18"/>
  <c r="Q2" i="18"/>
  <c r="Q14" i="18"/>
  <c r="D36" i="19"/>
  <c r="Q15" i="18"/>
  <c r="Q10" i="18"/>
  <c r="D32" i="19"/>
  <c r="Q5" i="18"/>
  <c r="Q4" i="18"/>
  <c r="Q3" i="18"/>
  <c r="Q206" i="19"/>
  <c r="Q205" i="19"/>
  <c r="Q202" i="19"/>
  <c r="Q201" i="19"/>
  <c r="Q198" i="19"/>
  <c r="Q197" i="19"/>
  <c r="Q155" i="18"/>
  <c r="D177" i="19"/>
  <c r="R177" i="19"/>
  <c r="Q156" i="18"/>
  <c r="Q157" i="18"/>
  <c r="D179" i="19"/>
  <c r="Q158" i="18"/>
  <c r="D180" i="19"/>
  <c r="Q159" i="18"/>
  <c r="D181" i="19"/>
  <c r="Q160" i="18"/>
  <c r="D182" i="19"/>
  <c r="Q161" i="18"/>
  <c r="D183" i="19"/>
  <c r="R183" i="19"/>
  <c r="Q162" i="18"/>
  <c r="Q163" i="18"/>
  <c r="Q164" i="18"/>
  <c r="D186" i="19"/>
  <c r="Q165" i="18"/>
  <c r="D187" i="19"/>
  <c r="Q166" i="18"/>
  <c r="D188" i="19"/>
  <c r="Q167" i="18"/>
  <c r="D189" i="19"/>
  <c r="R189" i="19"/>
  <c r="Q168" i="18"/>
  <c r="D190" i="19"/>
  <c r="Q169" i="18"/>
  <c r="D191" i="19"/>
  <c r="R191" i="19"/>
  <c r="Q170" i="18"/>
  <c r="Q149" i="18"/>
  <c r="D171" i="19"/>
  <c r="Q148" i="18"/>
  <c r="Q145" i="18"/>
  <c r="D167" i="19"/>
  <c r="Q139" i="18"/>
  <c r="Q136" i="18"/>
  <c r="Q133" i="18"/>
  <c r="Q127" i="18"/>
  <c r="Q122" i="18"/>
  <c r="D144" i="19"/>
  <c r="Q119" i="18"/>
  <c r="D141" i="19"/>
  <c r="Q115" i="18"/>
  <c r="R115" i="18"/>
  <c r="Q104" i="18"/>
  <c r="Q114" i="18"/>
  <c r="Q113" i="18"/>
  <c r="D135" i="19"/>
  <c r="Q112" i="16"/>
  <c r="D113" i="18"/>
  <c r="Q112" i="18"/>
  <c r="Q152" i="18"/>
  <c r="Q154" i="18"/>
  <c r="Q153" i="18"/>
  <c r="D175" i="19"/>
  <c r="Q244" i="18"/>
  <c r="Q238" i="16"/>
  <c r="Q175" i="18"/>
  <c r="Q173" i="16"/>
  <c r="D175" i="18"/>
  <c r="Q196" i="16"/>
  <c r="D199" i="18"/>
  <c r="Q199" i="18"/>
  <c r="Q180" i="16"/>
  <c r="Q183" i="18"/>
  <c r="D205" i="19"/>
  <c r="D292" i="19"/>
  <c r="Q273" i="18"/>
  <c r="Q253" i="18"/>
  <c r="Q254" i="18"/>
  <c r="D276" i="19"/>
  <c r="Q255" i="18"/>
  <c r="Q256" i="18"/>
  <c r="D278" i="19"/>
  <c r="Q257" i="18"/>
  <c r="D279" i="19"/>
  <c r="R279" i="19"/>
  <c r="Q258" i="18"/>
  <c r="Q259" i="18"/>
  <c r="D281" i="19"/>
  <c r="R281" i="19"/>
  <c r="Q260" i="18"/>
  <c r="D282" i="19"/>
  <c r="Q261" i="18"/>
  <c r="Q262" i="18"/>
  <c r="Q263" i="18"/>
  <c r="Q264" i="18"/>
  <c r="Q265" i="18"/>
  <c r="Q266" i="18"/>
  <c r="D288" i="19"/>
  <c r="Q267" i="18"/>
  <c r="D289" i="19"/>
  <c r="R289" i="19"/>
  <c r="Q268" i="18"/>
  <c r="Q269" i="18"/>
  <c r="Q271" i="18"/>
  <c r="D293" i="19"/>
  <c r="R293" i="19"/>
  <c r="Q272" i="18"/>
  <c r="D294" i="19"/>
  <c r="Q252" i="18"/>
  <c r="D274" i="19"/>
  <c r="Q248" i="18"/>
  <c r="Q249" i="18"/>
  <c r="Q250" i="18"/>
  <c r="D272" i="19"/>
  <c r="R272" i="19"/>
  <c r="Q251" i="18"/>
  <c r="D273" i="19"/>
  <c r="Q247" i="18"/>
  <c r="Q246" i="18"/>
  <c r="D268" i="19"/>
  <c r="Q245" i="18"/>
  <c r="D267" i="19"/>
  <c r="R267" i="19"/>
  <c r="Q239" i="18"/>
  <c r="Q240" i="18"/>
  <c r="Q241" i="18"/>
  <c r="Q242" i="18"/>
  <c r="Q243" i="18"/>
  <c r="Q236" i="18"/>
  <c r="Q237" i="18"/>
  <c r="D259" i="19"/>
  <c r="Q238" i="18"/>
  <c r="D260" i="19"/>
  <c r="R260" i="19"/>
  <c r="Q235" i="18"/>
  <c r="Q234" i="18"/>
  <c r="Q179" i="18"/>
  <c r="D201" i="19"/>
  <c r="Q180" i="18"/>
  <c r="Q181" i="18"/>
  <c r="Q182" i="18"/>
  <c r="Q184" i="18"/>
  <c r="Q185" i="18"/>
  <c r="Q187" i="18"/>
  <c r="Q188" i="18"/>
  <c r="Q189" i="18"/>
  <c r="Q190" i="18"/>
  <c r="D212" i="19"/>
  <c r="R212" i="19"/>
  <c r="Q191" i="18"/>
  <c r="Q192" i="18"/>
  <c r="Q195" i="18"/>
  <c r="Q196" i="18"/>
  <c r="Q197" i="18"/>
  <c r="Q198" i="18"/>
  <c r="D220" i="19"/>
  <c r="R220" i="19"/>
  <c r="Q200" i="18"/>
  <c r="D222" i="19"/>
  <c r="Q201" i="18"/>
  <c r="Q202" i="18"/>
  <c r="Q203" i="18"/>
  <c r="D225" i="19"/>
  <c r="R225" i="19"/>
  <c r="Q205" i="18"/>
  <c r="D227" i="19"/>
  <c r="Q206" i="18"/>
  <c r="D228" i="19"/>
  <c r="Q209" i="18"/>
  <c r="D231" i="19"/>
  <c r="Q210" i="18"/>
  <c r="D232" i="19"/>
  <c r="Q211" i="18"/>
  <c r="D233" i="19"/>
  <c r="Q212" i="18"/>
  <c r="Q213" i="18"/>
  <c r="Q214" i="18"/>
  <c r="Q217" i="18"/>
  <c r="R217" i="18"/>
  <c r="Q218" i="18"/>
  <c r="Q219" i="18"/>
  <c r="Q220" i="18"/>
  <c r="Q221" i="18"/>
  <c r="R221" i="18"/>
  <c r="Q222" i="18"/>
  <c r="D244" i="19"/>
  <c r="R244" i="19"/>
  <c r="Q223" i="18"/>
  <c r="Q224" i="18"/>
  <c r="D246" i="19"/>
  <c r="R246" i="19"/>
  <c r="Q226" i="18"/>
  <c r="D248" i="19"/>
  <c r="Q227" i="18"/>
  <c r="Q228" i="18"/>
  <c r="Q229" i="18"/>
  <c r="R229" i="18"/>
  <c r="D251" i="19"/>
  <c r="Q230" i="18"/>
  <c r="Q231" i="18"/>
  <c r="Q232" i="18"/>
  <c r="Q233" i="18"/>
  <c r="D255" i="19"/>
  <c r="R255" i="19"/>
  <c r="Q178" i="18"/>
  <c r="Q176" i="18"/>
  <c r="Q59" i="18"/>
  <c r="Q53" i="18"/>
  <c r="D75" i="19"/>
  <c r="R75" i="19"/>
  <c r="Q54" i="18"/>
  <c r="D76" i="19"/>
  <c r="R76" i="19"/>
  <c r="Q55" i="18"/>
  <c r="Q56" i="18"/>
  <c r="Q57" i="18"/>
  <c r="Q58" i="18"/>
  <c r="Q62" i="18"/>
  <c r="Q63" i="18"/>
  <c r="Q60" i="18"/>
  <c r="Q61" i="18"/>
  <c r="Q104" i="16"/>
  <c r="D105" i="18"/>
  <c r="Q105" i="16"/>
  <c r="Q106" i="16"/>
  <c r="D107" i="18"/>
  <c r="Q107" i="16"/>
  <c r="D108" i="18"/>
  <c r="Q108" i="16"/>
  <c r="D109" i="18"/>
  <c r="Q109" i="16"/>
  <c r="D110" i="18"/>
  <c r="D38" i="18"/>
  <c r="Q4" i="16"/>
  <c r="D4" i="18"/>
  <c r="Q5" i="16"/>
  <c r="D5" i="18"/>
  <c r="Q6" i="16"/>
  <c r="R6" i="18"/>
  <c r="D6" i="18"/>
  <c r="Q3" i="16"/>
  <c r="D3" i="18"/>
  <c r="Q7" i="16"/>
  <c r="D7" i="18"/>
  <c r="Q215" i="16"/>
  <c r="R220" i="18"/>
  <c r="Q8" i="16"/>
  <c r="R8" i="18"/>
  <c r="Q9" i="16"/>
  <c r="Q10" i="16"/>
  <c r="R10" i="18"/>
  <c r="Q11" i="16"/>
  <c r="Q12" i="16"/>
  <c r="Q13" i="16"/>
  <c r="D13" i="18"/>
  <c r="Q14" i="16"/>
  <c r="R14" i="18"/>
  <c r="D14" i="18"/>
  <c r="Q15" i="16"/>
  <c r="Q16" i="16"/>
  <c r="D16" i="18"/>
  <c r="Q17" i="16"/>
  <c r="D17" i="18"/>
  <c r="Q18" i="16"/>
  <c r="R18" i="18"/>
  <c r="Q19" i="16"/>
  <c r="D19" i="18"/>
  <c r="Q20" i="16"/>
  <c r="Q21" i="16"/>
  <c r="R21" i="18"/>
  <c r="Q22" i="16"/>
  <c r="Q23" i="16"/>
  <c r="D23" i="18"/>
  <c r="Q24" i="16"/>
  <c r="Q25" i="16"/>
  <c r="D25" i="18"/>
  <c r="Q26" i="16"/>
  <c r="D26" i="18"/>
  <c r="Q27" i="16"/>
  <c r="Q28" i="16"/>
  <c r="Q29" i="16"/>
  <c r="D29" i="18"/>
  <c r="Q30" i="16"/>
  <c r="R30" i="18"/>
  <c r="D30" i="18"/>
  <c r="Q31" i="16"/>
  <c r="Q32" i="16"/>
  <c r="D32" i="18"/>
  <c r="Q33" i="16"/>
  <c r="Q34" i="16"/>
  <c r="D34" i="18"/>
  <c r="Q35" i="16"/>
  <c r="D35" i="18"/>
  <c r="Q36" i="16"/>
  <c r="D36" i="18"/>
  <c r="Q37" i="16"/>
  <c r="D37" i="18"/>
  <c r="Q39" i="16"/>
  <c r="D39" i="18"/>
  <c r="Q40" i="16"/>
  <c r="D40" i="18"/>
  <c r="Q41" i="16"/>
  <c r="Q42" i="16"/>
  <c r="Q43" i="16"/>
  <c r="D43" i="18"/>
  <c r="Q44" i="16"/>
  <c r="D44" i="18"/>
  <c r="Q45" i="16"/>
  <c r="D45" i="18"/>
  <c r="Q46" i="16"/>
  <c r="Q47" i="16"/>
  <c r="Q48" i="16"/>
  <c r="Q49" i="16"/>
  <c r="D49" i="18"/>
  <c r="Q50" i="16"/>
  <c r="R50" i="18"/>
  <c r="D50" i="18"/>
  <c r="Q51" i="16"/>
  <c r="Q52" i="16"/>
  <c r="Q53" i="16"/>
  <c r="D53" i="18"/>
  <c r="Q54" i="16"/>
  <c r="Q55" i="16"/>
  <c r="D55" i="18"/>
  <c r="Q56" i="16"/>
  <c r="D56" i="18"/>
  <c r="Q57" i="16"/>
  <c r="D57" i="18"/>
  <c r="Q58" i="16"/>
  <c r="Q59" i="16"/>
  <c r="Q60" i="16"/>
  <c r="D60" i="18"/>
  <c r="Q61" i="16"/>
  <c r="Q62" i="16"/>
  <c r="D62" i="18"/>
  <c r="Q63" i="16"/>
  <c r="D63" i="18"/>
  <c r="Q65" i="16"/>
  <c r="D65" i="18"/>
  <c r="Q66" i="16"/>
  <c r="D66" i="18"/>
  <c r="Q67" i="16"/>
  <c r="D67" i="18"/>
  <c r="Q68" i="16"/>
  <c r="D68" i="18"/>
  <c r="Q69" i="16"/>
  <c r="D69" i="18"/>
  <c r="Q70" i="16"/>
  <c r="D70" i="18"/>
  <c r="Q71" i="16"/>
  <c r="D71" i="18"/>
  <c r="Q72" i="16"/>
  <c r="D72" i="18"/>
  <c r="Q73" i="16"/>
  <c r="D73" i="18"/>
  <c r="Q74" i="16"/>
  <c r="D74" i="18"/>
  <c r="Q75" i="16"/>
  <c r="D75" i="18"/>
  <c r="Q76" i="16"/>
  <c r="D76" i="18"/>
  <c r="Q77" i="16"/>
  <c r="D77" i="18"/>
  <c r="Q78" i="16"/>
  <c r="D78" i="18"/>
  <c r="Q79" i="16"/>
  <c r="D79" i="18"/>
  <c r="Q80" i="16"/>
  <c r="D80" i="18"/>
  <c r="Q81" i="16"/>
  <c r="Q82" i="16"/>
  <c r="D82" i="18"/>
  <c r="Q83" i="16"/>
  <c r="D83" i="18"/>
  <c r="Q84" i="16"/>
  <c r="Q85" i="16"/>
  <c r="D85" i="18"/>
  <c r="Q86" i="16"/>
  <c r="D86" i="18"/>
  <c r="Q87" i="16"/>
  <c r="D87" i="18"/>
  <c r="Q88" i="16"/>
  <c r="D88" i="18"/>
  <c r="Q89" i="16"/>
  <c r="D89" i="18"/>
  <c r="Q90" i="16"/>
  <c r="Q91" i="16"/>
  <c r="D91" i="18"/>
  <c r="Q92" i="16"/>
  <c r="D92" i="18"/>
  <c r="Q93" i="16"/>
  <c r="D93" i="18"/>
  <c r="Q94" i="16"/>
  <c r="D94" i="18"/>
  <c r="Q95" i="16"/>
  <c r="D95" i="18"/>
  <c r="Q96" i="16"/>
  <c r="Q97" i="16"/>
  <c r="D97" i="18"/>
  <c r="Q98" i="16"/>
  <c r="D98" i="18"/>
  <c r="Q99" i="16"/>
  <c r="D99" i="18"/>
  <c r="Q100" i="16"/>
  <c r="D100" i="18"/>
  <c r="Q101" i="16"/>
  <c r="D101" i="18"/>
  <c r="Q102" i="16"/>
  <c r="D102" i="18"/>
  <c r="Q103" i="16"/>
  <c r="D103" i="18"/>
  <c r="D106" i="18"/>
  <c r="Q110" i="16"/>
  <c r="D111" i="18"/>
  <c r="Q111" i="16"/>
  <c r="D112" i="18"/>
  <c r="Q113" i="16"/>
  <c r="Q114" i="16"/>
  <c r="Q115" i="16"/>
  <c r="D117" i="18"/>
  <c r="Q116" i="16"/>
  <c r="D118" i="18"/>
  <c r="Q117" i="16"/>
  <c r="D119" i="18"/>
  <c r="Q118" i="16"/>
  <c r="Q119" i="16"/>
  <c r="Q120" i="16"/>
  <c r="D122" i="18"/>
  <c r="R122" i="18"/>
  <c r="Q121" i="16"/>
  <c r="Q122" i="16"/>
  <c r="D124" i="18"/>
  <c r="Q123" i="16"/>
  <c r="D125" i="18"/>
  <c r="Q124" i="16"/>
  <c r="D126" i="18"/>
  <c r="Q125" i="16"/>
  <c r="D127" i="18"/>
  <c r="R127" i="18"/>
  <c r="Q126" i="16"/>
  <c r="D128" i="18"/>
  <c r="Q127" i="16"/>
  <c r="Q128" i="16"/>
  <c r="D130" i="18"/>
  <c r="Q129" i="16"/>
  <c r="D131" i="18"/>
  <c r="Q130" i="16"/>
  <c r="Q131" i="16"/>
  <c r="D133" i="18"/>
  <c r="Q132" i="16"/>
  <c r="D134" i="18"/>
  <c r="Q133" i="16"/>
  <c r="D135" i="18"/>
  <c r="Q134" i="16"/>
  <c r="D136" i="18"/>
  <c r="Q135" i="16"/>
  <c r="D137" i="18"/>
  <c r="Q136" i="16"/>
  <c r="D138" i="18"/>
  <c r="Q137" i="16"/>
  <c r="D139" i="18"/>
  <c r="R139" i="18"/>
  <c r="Q138" i="16"/>
  <c r="D140" i="18"/>
  <c r="Q139" i="16"/>
  <c r="Q140" i="16"/>
  <c r="D142" i="18"/>
  <c r="Q141" i="16"/>
  <c r="D143" i="18"/>
  <c r="Q142" i="16"/>
  <c r="D144" i="18"/>
  <c r="Q143" i="16"/>
  <c r="D145" i="18"/>
  <c r="R145" i="18"/>
  <c r="Q144" i="16"/>
  <c r="D146" i="18"/>
  <c r="Q145" i="16"/>
  <c r="D147" i="18"/>
  <c r="Q146" i="16"/>
  <c r="D148" i="18"/>
  <c r="Q147" i="16"/>
  <c r="D149" i="18"/>
  <c r="Q148" i="16"/>
  <c r="D150" i="18"/>
  <c r="Q149" i="16"/>
  <c r="D151" i="18"/>
  <c r="Q150" i="16"/>
  <c r="D152" i="18"/>
  <c r="Q151" i="16"/>
  <c r="D153" i="18"/>
  <c r="Q152" i="16"/>
  <c r="D154" i="18"/>
  <c r="Q153" i="16"/>
  <c r="D155" i="18"/>
  <c r="Q154" i="16"/>
  <c r="Q155" i="16"/>
  <c r="Q156" i="16"/>
  <c r="Q157" i="16"/>
  <c r="D159" i="18"/>
  <c r="Q158" i="16"/>
  <c r="D160" i="18"/>
  <c r="Q159" i="16"/>
  <c r="D161" i="18"/>
  <c r="Q160" i="16"/>
  <c r="D162" i="18"/>
  <c r="Q161" i="16"/>
  <c r="D163" i="18"/>
  <c r="Q162" i="16"/>
  <c r="Q163" i="16"/>
  <c r="D165" i="18"/>
  <c r="Q164" i="16"/>
  <c r="R166" i="18"/>
  <c r="D166" i="18"/>
  <c r="Q165" i="16"/>
  <c r="D167" i="18"/>
  <c r="Q166" i="16"/>
  <c r="D168" i="18"/>
  <c r="Q167" i="16"/>
  <c r="Q168" i="16"/>
  <c r="D170" i="18"/>
  <c r="Q171" i="16"/>
  <c r="D173" i="18"/>
  <c r="Q172" i="16"/>
  <c r="D174" i="18"/>
  <c r="Q174" i="16"/>
  <c r="Q175" i="16"/>
  <c r="R178" i="18"/>
  <c r="D178" i="18"/>
  <c r="Q185" i="16"/>
  <c r="D188" i="18"/>
  <c r="Q186" i="16"/>
  <c r="D189" i="18"/>
  <c r="Q187" i="16"/>
  <c r="Q188" i="16"/>
  <c r="Q189" i="16"/>
  <c r="D193" i="18"/>
  <c r="Q191" i="16"/>
  <c r="D194" i="18"/>
  <c r="Q192" i="16"/>
  <c r="D195" i="18"/>
  <c r="Q193" i="16"/>
  <c r="D196" i="18"/>
  <c r="Q194" i="16"/>
  <c r="Q195" i="16"/>
  <c r="D198" i="18"/>
  <c r="Q197" i="16"/>
  <c r="D200" i="18"/>
  <c r="Q198" i="16"/>
  <c r="R198" i="16"/>
  <c r="Q199" i="16"/>
  <c r="D202" i="18"/>
  <c r="Q200" i="16"/>
  <c r="D203" i="18"/>
  <c r="Q202" i="16"/>
  <c r="R206" i="18"/>
  <c r="D206" i="18"/>
  <c r="Q203" i="16"/>
  <c r="Q204" i="16"/>
  <c r="D208" i="18"/>
  <c r="Q205" i="16"/>
  <c r="Q206" i="16"/>
  <c r="Q207" i="16"/>
  <c r="D211" i="18"/>
  <c r="Q208" i="16"/>
  <c r="D212" i="18"/>
  <c r="Q209" i="16"/>
  <c r="Q210" i="16"/>
  <c r="R210" i="16"/>
  <c r="Q211" i="16"/>
  <c r="R215" i="18"/>
  <c r="Q212" i="16"/>
  <c r="Q213" i="16"/>
  <c r="D218" i="18"/>
  <c r="Q214" i="16"/>
  <c r="D219" i="18"/>
  <c r="Q216" i="16"/>
  <c r="D221" i="18"/>
  <c r="Q217" i="16"/>
  <c r="Q218" i="16"/>
  <c r="D223" i="18"/>
  <c r="Q219" i="16"/>
  <c r="Q220" i="16"/>
  <c r="Q221" i="16"/>
  <c r="D227" i="18"/>
  <c r="Q222" i="16"/>
  <c r="D228" i="18"/>
  <c r="Q223" i="16"/>
  <c r="D229" i="18"/>
  <c r="Q224" i="16"/>
  <c r="D230" i="18"/>
  <c r="Q225" i="16"/>
  <c r="Q226" i="16"/>
  <c r="D232" i="18"/>
  <c r="Q227" i="16"/>
  <c r="Q228" i="16"/>
  <c r="D234" i="18"/>
  <c r="Q229" i="16"/>
  <c r="D235" i="18"/>
  <c r="Q230" i="16"/>
  <c r="D236" i="18"/>
  <c r="Q231" i="16"/>
  <c r="D237" i="18"/>
  <c r="Q232" i="16"/>
  <c r="Q233" i="16"/>
  <c r="R239" i="18"/>
  <c r="Q234" i="16"/>
  <c r="Q235" i="16"/>
  <c r="Q236" i="16"/>
  <c r="Q237" i="16"/>
  <c r="D243" i="18"/>
  <c r="Q239" i="16"/>
  <c r="Q240" i="16"/>
  <c r="D246" i="18"/>
  <c r="Q241" i="16"/>
  <c r="D247" i="18"/>
  <c r="Q242" i="16"/>
  <c r="R248" i="18"/>
  <c r="D248" i="18"/>
  <c r="Q243" i="16"/>
  <c r="Q244" i="16"/>
  <c r="D250" i="18"/>
  <c r="Q245" i="16"/>
  <c r="Q246" i="16"/>
  <c r="D252" i="18"/>
  <c r="Q247" i="16"/>
  <c r="D253" i="18"/>
  <c r="Q248" i="16"/>
  <c r="Q249" i="16"/>
  <c r="Q250" i="16"/>
  <c r="D256" i="18"/>
  <c r="Q251" i="16"/>
  <c r="D257" i="18"/>
  <c r="Q252" i="16"/>
  <c r="D258" i="18"/>
  <c r="Q253" i="16"/>
  <c r="Q254" i="16"/>
  <c r="D260" i="18"/>
  <c r="Q255" i="16"/>
  <c r="D261" i="18"/>
  <c r="Q256" i="16"/>
  <c r="Q257" i="16"/>
  <c r="D263" i="18"/>
  <c r="Q258" i="16"/>
  <c r="D264" i="18"/>
  <c r="Q259" i="16"/>
  <c r="D265" i="18"/>
  <c r="Q260" i="16"/>
  <c r="D266" i="18"/>
  <c r="Q261" i="16"/>
  <c r="Q262" i="16"/>
  <c r="D268" i="18"/>
  <c r="Q263" i="16"/>
  <c r="Q264" i="16"/>
  <c r="Q265" i="16"/>
  <c r="R271" i="18"/>
  <c r="Q266" i="16"/>
  <c r="D272" i="18"/>
  <c r="Q267" i="16"/>
  <c r="D273" i="18"/>
  <c r="Q183" i="16"/>
  <c r="D186" i="18"/>
  <c r="Q184" i="16"/>
  <c r="D187" i="18"/>
  <c r="Q177" i="16"/>
  <c r="R180" i="18"/>
  <c r="D180" i="18"/>
  <c r="Q178" i="16"/>
  <c r="D181" i="18"/>
  <c r="Q179" i="16"/>
  <c r="D182" i="18"/>
  <c r="Q181" i="16"/>
  <c r="Q182" i="16"/>
  <c r="R185" i="18"/>
  <c r="Q176" i="16"/>
  <c r="D179" i="18"/>
  <c r="Q166" i="14"/>
  <c r="D168" i="16"/>
  <c r="R168" i="16"/>
  <c r="Q159" i="14"/>
  <c r="Q152" i="14"/>
  <c r="D154" i="16"/>
  <c r="R154" i="16"/>
  <c r="Q111" i="14"/>
  <c r="D113" i="16"/>
  <c r="R113" i="16"/>
  <c r="Q82" i="14"/>
  <c r="Q183" i="14"/>
  <c r="D190" i="16"/>
  <c r="R190" i="16"/>
  <c r="Q179" i="10"/>
  <c r="D183" i="14"/>
  <c r="R183" i="14"/>
  <c r="E180" i="10"/>
  <c r="N180" i="8"/>
  <c r="O180" i="8"/>
  <c r="P180" i="8"/>
  <c r="Q179" i="8"/>
  <c r="O180" i="6"/>
  <c r="P180" i="6"/>
  <c r="Q180" i="6"/>
  <c r="Q28" i="14"/>
  <c r="D29" i="16"/>
  <c r="R29" i="16"/>
  <c r="Q58" i="14"/>
  <c r="R58" i="14"/>
  <c r="Q167" i="14"/>
  <c r="D171" i="16"/>
  <c r="Q255" i="14"/>
  <c r="Q250" i="14"/>
  <c r="Q246" i="14"/>
  <c r="Q242" i="10"/>
  <c r="D246" i="14"/>
  <c r="R246" i="14"/>
  <c r="Q201" i="14"/>
  <c r="Q195" i="14"/>
  <c r="Q188" i="14"/>
  <c r="D195" i="16"/>
  <c r="R195" i="16"/>
  <c r="Q193" i="14"/>
  <c r="D201" i="16"/>
  <c r="Q184" i="14"/>
  <c r="D191" i="16"/>
  <c r="Q180" i="14"/>
  <c r="Q179" i="14"/>
  <c r="Q232" i="14"/>
  <c r="Q221" i="14"/>
  <c r="D229" i="16"/>
  <c r="Q147" i="10"/>
  <c r="D148" i="14"/>
  <c r="R148" i="14"/>
  <c r="Q218" i="14"/>
  <c r="Q251" i="10"/>
  <c r="R251" i="10"/>
  <c r="Q250" i="8"/>
  <c r="R250" i="8"/>
  <c r="Q250" i="6"/>
  <c r="R250" i="6"/>
  <c r="Q248" i="7"/>
  <c r="R248" i="7"/>
  <c r="Q191" i="10"/>
  <c r="R191" i="10"/>
  <c r="Q191" i="8"/>
  <c r="R191" i="8"/>
  <c r="Q191" i="6"/>
  <c r="R191" i="6"/>
  <c r="Q176" i="14"/>
  <c r="D183" i="16"/>
  <c r="Q172" i="10"/>
  <c r="R172" i="10"/>
  <c r="Q172" i="8"/>
  <c r="R172" i="8"/>
  <c r="Q172" i="6"/>
  <c r="R172" i="6"/>
  <c r="Q172" i="7"/>
  <c r="R172" i="7"/>
  <c r="Q58" i="10"/>
  <c r="R58" i="10"/>
  <c r="Q58" i="8"/>
  <c r="R58" i="8"/>
  <c r="Q58" i="6"/>
  <c r="R58" i="6"/>
  <c r="Q58" i="7"/>
  <c r="Q178" i="14"/>
  <c r="D185" i="16"/>
  <c r="R185" i="16"/>
  <c r="Q2" i="14"/>
  <c r="D3" i="16"/>
  <c r="Q3" i="14"/>
  <c r="D4" i="16"/>
  <c r="Q4" i="14"/>
  <c r="D5" i="16"/>
  <c r="R5" i="16"/>
  <c r="Q5" i="14"/>
  <c r="D6" i="16"/>
  <c r="Q6" i="14"/>
  <c r="D7" i="16"/>
  <c r="R7" i="16"/>
  <c r="Q7" i="14"/>
  <c r="Q8" i="14"/>
  <c r="D9" i="16"/>
  <c r="Q9" i="14"/>
  <c r="D10" i="16"/>
  <c r="R10" i="16"/>
  <c r="Q10" i="14"/>
  <c r="D11" i="16"/>
  <c r="Q11" i="14"/>
  <c r="Q12" i="14"/>
  <c r="D13" i="16"/>
  <c r="Q13" i="14"/>
  <c r="D14" i="16"/>
  <c r="R14" i="16"/>
  <c r="Q14" i="14"/>
  <c r="Q15" i="14"/>
  <c r="D16" i="16"/>
  <c r="R16" i="16"/>
  <c r="Q16" i="14"/>
  <c r="D17" i="16"/>
  <c r="Q17" i="14"/>
  <c r="Q18" i="14"/>
  <c r="D19" i="16"/>
  <c r="Q19" i="14"/>
  <c r="D20" i="16"/>
  <c r="Q20" i="14"/>
  <c r="D21" i="16"/>
  <c r="Q21" i="14"/>
  <c r="D22" i="16"/>
  <c r="R22" i="16"/>
  <c r="Q22" i="14"/>
  <c r="D23" i="16"/>
  <c r="R23" i="16"/>
  <c r="Q23" i="14"/>
  <c r="Q24" i="14"/>
  <c r="Q25" i="14"/>
  <c r="Q26" i="14"/>
  <c r="D27" i="16"/>
  <c r="Q27" i="14"/>
  <c r="D28" i="16"/>
  <c r="Q29" i="14"/>
  <c r="D30" i="16"/>
  <c r="R30" i="16"/>
  <c r="Q30" i="14"/>
  <c r="Q31" i="14"/>
  <c r="Q32" i="14"/>
  <c r="Q33" i="14"/>
  <c r="D34" i="16"/>
  <c r="Q34" i="14"/>
  <c r="D35" i="16"/>
  <c r="Q35" i="14"/>
  <c r="D36" i="16"/>
  <c r="Q36" i="14"/>
  <c r="Q37" i="14"/>
  <c r="Q38" i="14"/>
  <c r="Q39" i="14"/>
  <c r="Q40" i="14"/>
  <c r="Q41" i="14"/>
  <c r="Q42" i="14"/>
  <c r="Q43" i="14"/>
  <c r="Q44" i="14"/>
  <c r="D45" i="16"/>
  <c r="R45" i="16"/>
  <c r="Q45" i="14"/>
  <c r="Q46" i="14"/>
  <c r="D47" i="16"/>
  <c r="Q47" i="14"/>
  <c r="Q48" i="14"/>
  <c r="Q49" i="14"/>
  <c r="D50" i="16"/>
  <c r="R50" i="16"/>
  <c r="Q50" i="14"/>
  <c r="Q51" i="14"/>
  <c r="Q53" i="14"/>
  <c r="D54" i="16"/>
  <c r="Q55" i="14"/>
  <c r="D56" i="16"/>
  <c r="R56" i="16"/>
  <c r="Q56" i="14"/>
  <c r="D57" i="16"/>
  <c r="R57" i="16"/>
  <c r="Q57" i="14"/>
  <c r="D58" i="16"/>
  <c r="Q59" i="14"/>
  <c r="D60" i="16"/>
  <c r="Q60" i="14"/>
  <c r="D61" i="16"/>
  <c r="Q61" i="14"/>
  <c r="Q62" i="14"/>
  <c r="D63" i="16"/>
  <c r="Q63" i="14"/>
  <c r="D65" i="16"/>
  <c r="Q65" i="14"/>
  <c r="Q66" i="14"/>
  <c r="D68" i="16"/>
  <c r="Q67" i="14"/>
  <c r="D69" i="16"/>
  <c r="Q68" i="14"/>
  <c r="Q69" i="14"/>
  <c r="D71" i="16"/>
  <c r="Q70" i="14"/>
  <c r="Q71" i="14"/>
  <c r="D73" i="16"/>
  <c r="Q72" i="14"/>
  <c r="D74" i="16"/>
  <c r="Q73" i="14"/>
  <c r="Q74" i="14"/>
  <c r="Q75" i="14"/>
  <c r="D77" i="16"/>
  <c r="Q76" i="14"/>
  <c r="D78" i="16"/>
  <c r="Q77" i="14"/>
  <c r="D79" i="16"/>
  <c r="Q78" i="14"/>
  <c r="D80" i="16"/>
  <c r="R80" i="16"/>
  <c r="Q79" i="14"/>
  <c r="D81" i="16"/>
  <c r="Q80" i="14"/>
  <c r="Q81" i="14"/>
  <c r="D83" i="16"/>
  <c r="Q83" i="14"/>
  <c r="D85" i="16"/>
  <c r="Q84" i="14"/>
  <c r="D86" i="16"/>
  <c r="Q85" i="14"/>
  <c r="Q86" i="14"/>
  <c r="Q87" i="14"/>
  <c r="Q88" i="14"/>
  <c r="D90" i="16"/>
  <c r="Q89" i="14"/>
  <c r="Q90" i="14"/>
  <c r="Q91" i="14"/>
  <c r="D93" i="16"/>
  <c r="Q92" i="14"/>
  <c r="D94" i="16"/>
  <c r="R94" i="16"/>
  <c r="Q93" i="14"/>
  <c r="D95" i="16"/>
  <c r="Q94" i="14"/>
  <c r="D96" i="16"/>
  <c r="Q95" i="14"/>
  <c r="D97" i="16"/>
  <c r="R97" i="16"/>
  <c r="Q96" i="14"/>
  <c r="D98" i="16"/>
  <c r="R98" i="16"/>
  <c r="Q97" i="14"/>
  <c r="Q98" i="14"/>
  <c r="D100" i="16"/>
  <c r="Q99" i="14"/>
  <c r="D101" i="16"/>
  <c r="Q100" i="14"/>
  <c r="Q101" i="14"/>
  <c r="D103" i="16"/>
  <c r="Q102" i="14"/>
  <c r="D104" i="16"/>
  <c r="Q103" i="14"/>
  <c r="Q104" i="14"/>
  <c r="D106" i="16"/>
  <c r="R106" i="16"/>
  <c r="Q105" i="14"/>
  <c r="Q106" i="14"/>
  <c r="D108" i="16"/>
  <c r="R108" i="16"/>
  <c r="Q107" i="14"/>
  <c r="D109" i="16"/>
  <c r="R109" i="16"/>
  <c r="Q108" i="14"/>
  <c r="D110" i="16"/>
  <c r="Q109" i="14"/>
  <c r="Q110" i="14"/>
  <c r="Q112" i="14"/>
  <c r="Q113" i="14"/>
  <c r="Q114" i="14"/>
  <c r="Q115" i="14"/>
  <c r="D117" i="16"/>
  <c r="R117" i="16"/>
  <c r="Q116" i="14"/>
  <c r="D118" i="16"/>
  <c r="Q117" i="14"/>
  <c r="D119" i="16"/>
  <c r="Q118" i="14"/>
  <c r="D120" i="16"/>
  <c r="Q119" i="14"/>
  <c r="D121" i="16"/>
  <c r="Q120" i="14"/>
  <c r="Q121" i="14"/>
  <c r="D123" i="16"/>
  <c r="R123" i="16"/>
  <c r="Q122" i="14"/>
  <c r="Q123" i="14"/>
  <c r="D125" i="16"/>
  <c r="R125" i="16"/>
  <c r="Q125" i="14"/>
  <c r="D127" i="16"/>
  <c r="Q126" i="14"/>
  <c r="Q127" i="14"/>
  <c r="D129" i="16"/>
  <c r="Q128" i="14"/>
  <c r="Q129" i="14"/>
  <c r="Q130" i="14"/>
  <c r="D132" i="16"/>
  <c r="Q131" i="14"/>
  <c r="D133" i="16"/>
  <c r="Q132" i="14"/>
  <c r="Q133" i="14"/>
  <c r="D135" i="16"/>
  <c r="R135" i="16"/>
  <c r="Q134" i="14"/>
  <c r="D136" i="16"/>
  <c r="Q135" i="14"/>
  <c r="D137" i="16"/>
  <c r="Q136" i="14"/>
  <c r="D138" i="16"/>
  <c r="Q137" i="14"/>
  <c r="D139" i="16"/>
  <c r="Q138" i="14"/>
  <c r="Q139" i="14"/>
  <c r="D141" i="16"/>
  <c r="R141" i="16"/>
  <c r="Q140" i="14"/>
  <c r="D142" i="16"/>
  <c r="R142" i="16"/>
  <c r="Q141" i="14"/>
  <c r="R141" i="14"/>
  <c r="Q142" i="14"/>
  <c r="Q143" i="14"/>
  <c r="Q144" i="14"/>
  <c r="Q145" i="14"/>
  <c r="Q146" i="14"/>
  <c r="D148" i="16"/>
  <c r="Q147" i="14"/>
  <c r="Q148" i="14"/>
  <c r="D150" i="16"/>
  <c r="Q149" i="14"/>
  <c r="Q150" i="14"/>
  <c r="D152" i="16"/>
  <c r="Q151" i="14"/>
  <c r="D153" i="16"/>
  <c r="Q153" i="14"/>
  <c r="Q154" i="14"/>
  <c r="D156" i="16"/>
  <c r="R156" i="16"/>
  <c r="Q155" i="14"/>
  <c r="D157" i="16"/>
  <c r="Q156" i="14"/>
  <c r="D158" i="16"/>
  <c r="Q157" i="14"/>
  <c r="Q158" i="14"/>
  <c r="Q160" i="14"/>
  <c r="Q161" i="14"/>
  <c r="D163" i="16"/>
  <c r="R163" i="16"/>
  <c r="Q162" i="14"/>
  <c r="Q163" i="14"/>
  <c r="D165" i="16"/>
  <c r="R165" i="16"/>
  <c r="Q164" i="14"/>
  <c r="D166" i="16"/>
  <c r="R166" i="16"/>
  <c r="Q165" i="14"/>
  <c r="D167" i="16"/>
  <c r="Q169" i="14"/>
  <c r="Q170" i="14"/>
  <c r="D176" i="16"/>
  <c r="Q171" i="14"/>
  <c r="D177" i="16"/>
  <c r="R177" i="16"/>
  <c r="Q172" i="14"/>
  <c r="Q173" i="14"/>
  <c r="D179" i="16"/>
  <c r="Q174" i="14"/>
  <c r="Q175" i="14"/>
  <c r="D182" i="16"/>
  <c r="R182" i="16"/>
  <c r="Q177" i="14"/>
  <c r="D184" i="16"/>
  <c r="Q181" i="14"/>
  <c r="D188" i="16"/>
  <c r="Q182" i="14"/>
  <c r="D189" i="16"/>
  <c r="Q185" i="14"/>
  <c r="D192" i="16"/>
  <c r="Q186" i="14"/>
  <c r="D193" i="16"/>
  <c r="Q187" i="14"/>
  <c r="Q189" i="14"/>
  <c r="D197" i="16"/>
  <c r="R197" i="16"/>
  <c r="Q190" i="14"/>
  <c r="Q191" i="14"/>
  <c r="Q192" i="14"/>
  <c r="D200" i="16"/>
  <c r="R200" i="16"/>
  <c r="Q194" i="14"/>
  <c r="D202" i="16"/>
  <c r="R202" i="16"/>
  <c r="Q196" i="14"/>
  <c r="Q198" i="14"/>
  <c r="Q199" i="14"/>
  <c r="Q200" i="14"/>
  <c r="Q203" i="14"/>
  <c r="D211" i="16"/>
  <c r="R211" i="16"/>
  <c r="Q204" i="14"/>
  <c r="Q205" i="14"/>
  <c r="D213" i="16"/>
  <c r="Q206" i="14"/>
  <c r="D214" i="16"/>
  <c r="Q207" i="14"/>
  <c r="Q208" i="14"/>
  <c r="D216" i="16"/>
  <c r="Q209" i="14"/>
  <c r="Q210" i="14"/>
  <c r="D218" i="16"/>
  <c r="R218" i="16"/>
  <c r="Q211" i="14"/>
  <c r="Q212" i="14"/>
  <c r="Q213" i="14"/>
  <c r="Q214" i="14"/>
  <c r="Q215" i="14"/>
  <c r="Q216" i="14"/>
  <c r="Q217" i="14"/>
  <c r="Q219" i="14"/>
  <c r="D227" i="16"/>
  <c r="R227" i="16"/>
  <c r="Q220" i="14"/>
  <c r="D228" i="16"/>
  <c r="Q222" i="14"/>
  <c r="D230" i="16"/>
  <c r="Q223" i="14"/>
  <c r="D231" i="16"/>
  <c r="R231" i="16"/>
  <c r="Q224" i="14"/>
  <c r="Q225" i="14"/>
  <c r="D233" i="16"/>
  <c r="Q226" i="14"/>
  <c r="Q227" i="14"/>
  <c r="Q228" i="14"/>
  <c r="D236" i="16"/>
  <c r="R236" i="16"/>
  <c r="Q229" i="14"/>
  <c r="D237" i="16"/>
  <c r="Q230" i="14"/>
  <c r="Q231" i="14"/>
  <c r="Q233" i="14"/>
  <c r="Q234" i="14"/>
  <c r="Q235" i="14"/>
  <c r="Q236" i="14"/>
  <c r="D245" i="16"/>
  <c r="Q241" i="14"/>
  <c r="D250" i="16"/>
  <c r="Q237" i="14"/>
  <c r="D246" i="16"/>
  <c r="R246" i="16"/>
  <c r="Q238" i="14"/>
  <c r="D247" i="16"/>
  <c r="R247" i="16"/>
  <c r="Q239" i="14"/>
  <c r="Q240" i="14"/>
  <c r="Q242" i="14"/>
  <c r="D251" i="16"/>
  <c r="R251" i="16"/>
  <c r="Q243" i="14"/>
  <c r="D252" i="16"/>
  <c r="R252" i="16"/>
  <c r="Q244" i="14"/>
  <c r="D253" i="16"/>
  <c r="Q245" i="14"/>
  <c r="D254" i="16"/>
  <c r="Q247" i="14"/>
  <c r="Q248" i="14"/>
  <c r="D257" i="16"/>
  <c r="R257" i="16"/>
  <c r="Q249" i="14"/>
  <c r="Q251" i="14"/>
  <c r="D260" i="16"/>
  <c r="R260" i="16"/>
  <c r="Q252" i="14"/>
  <c r="Q253" i="14"/>
  <c r="Q254" i="14"/>
  <c r="Q256" i="14"/>
  <c r="Q257" i="14"/>
  <c r="D266" i="16"/>
  <c r="R266" i="16"/>
  <c r="Q258" i="14"/>
  <c r="D267" i="16"/>
  <c r="Q124" i="14"/>
  <c r="D126" i="16"/>
  <c r="R126" i="16"/>
  <c r="Q81" i="10"/>
  <c r="Q110" i="10"/>
  <c r="D110" i="14"/>
  <c r="Q104" i="10"/>
  <c r="L175" i="10"/>
  <c r="Q246" i="10"/>
  <c r="Q247" i="10"/>
  <c r="D251" i="14"/>
  <c r="L232" i="10"/>
  <c r="L243" i="10"/>
  <c r="M232" i="10"/>
  <c r="L248" i="10"/>
  <c r="K248" i="10"/>
  <c r="L217" i="10"/>
  <c r="K217" i="10"/>
  <c r="K215" i="10"/>
  <c r="L215" i="10"/>
  <c r="L216" i="10"/>
  <c r="K216" i="10"/>
  <c r="L214" i="10"/>
  <c r="K214" i="10"/>
  <c r="J214" i="10"/>
  <c r="K197" i="10"/>
  <c r="Q197" i="10"/>
  <c r="D201" i="14"/>
  <c r="K180" i="10"/>
  <c r="J180" i="10"/>
  <c r="K175" i="10"/>
  <c r="K174" i="10"/>
  <c r="J174" i="10"/>
  <c r="J248" i="10"/>
  <c r="I248" i="10"/>
  <c r="J217" i="10"/>
  <c r="J216" i="10"/>
  <c r="J215" i="10"/>
  <c r="J77" i="10"/>
  <c r="I77" i="10"/>
  <c r="H77" i="10"/>
  <c r="G77" i="10"/>
  <c r="J72" i="10"/>
  <c r="I72" i="10"/>
  <c r="H72" i="10"/>
  <c r="G72" i="10"/>
  <c r="J243" i="10"/>
  <c r="I243" i="10"/>
  <c r="H243" i="10"/>
  <c r="I216" i="10"/>
  <c r="I217" i="10"/>
  <c r="I215" i="10"/>
  <c r="H215" i="10"/>
  <c r="H216" i="10"/>
  <c r="H217" i="10"/>
  <c r="H248" i="10"/>
  <c r="G248" i="10"/>
  <c r="G217" i="10"/>
  <c r="G216" i="10"/>
  <c r="G215" i="10"/>
  <c r="I214" i="10"/>
  <c r="G214" i="10"/>
  <c r="H214" i="10"/>
  <c r="I180" i="10"/>
  <c r="H180" i="10"/>
  <c r="G180" i="10"/>
  <c r="I175" i="10"/>
  <c r="H175" i="10"/>
  <c r="G175" i="10"/>
  <c r="I174" i="10"/>
  <c r="H174" i="10"/>
  <c r="G174" i="10"/>
  <c r="Q146" i="10"/>
  <c r="Q103" i="8"/>
  <c r="D103" i="10"/>
  <c r="Q105" i="8"/>
  <c r="D105" i="10"/>
  <c r="Q107" i="8"/>
  <c r="D107" i="10"/>
  <c r="Q108" i="8"/>
  <c r="D108" i="10"/>
  <c r="D253" i="8"/>
  <c r="D209" i="8"/>
  <c r="R102" i="7"/>
  <c r="Q103" i="7"/>
  <c r="R104" i="7"/>
  <c r="H63" i="8"/>
  <c r="H64" i="8"/>
  <c r="H65" i="8"/>
  <c r="H66" i="8"/>
  <c r="H67" i="8"/>
  <c r="H68" i="8"/>
  <c r="H69" i="8"/>
  <c r="H70" i="8"/>
  <c r="Q70" i="8"/>
  <c r="H71" i="8"/>
  <c r="H72" i="8"/>
  <c r="H73" i="8"/>
  <c r="H74" i="8"/>
  <c r="H75" i="8"/>
  <c r="H76" i="8"/>
  <c r="H77" i="8"/>
  <c r="G78" i="8"/>
  <c r="G80" i="8"/>
  <c r="G81" i="8"/>
  <c r="G82" i="8"/>
  <c r="G83" i="8"/>
  <c r="G85" i="8"/>
  <c r="G86" i="8"/>
  <c r="Q86" i="8"/>
  <c r="G90" i="8"/>
  <c r="Q90" i="8"/>
  <c r="G94" i="8"/>
  <c r="Q94" i="8"/>
  <c r="D94" i="10"/>
  <c r="G97" i="8"/>
  <c r="G98" i="8"/>
  <c r="Q98" i="8"/>
  <c r="G99" i="8"/>
  <c r="Q99" i="8"/>
  <c r="R9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G163" i="8"/>
  <c r="H163" i="8"/>
  <c r="G164" i="8"/>
  <c r="H164" i="8"/>
  <c r="H174" i="8"/>
  <c r="H175" i="8"/>
  <c r="G180" i="8"/>
  <c r="H180" i="8"/>
  <c r="H215" i="8"/>
  <c r="H216" i="8"/>
  <c r="H217" i="8"/>
  <c r="G232" i="8"/>
  <c r="H232" i="8"/>
  <c r="H242" i="8"/>
  <c r="H246" i="8"/>
  <c r="H247" i="8"/>
  <c r="H220" i="10"/>
  <c r="Q220" i="10"/>
  <c r="G243" i="10"/>
  <c r="F243" i="10"/>
  <c r="G232" i="10"/>
  <c r="F232" i="10"/>
  <c r="F248" i="10"/>
  <c r="F217" i="10"/>
  <c r="F216" i="10"/>
  <c r="F215" i="10"/>
  <c r="Q215" i="10"/>
  <c r="D219" i="14"/>
  <c r="R219" i="14"/>
  <c r="F214" i="10"/>
  <c r="F180" i="10"/>
  <c r="F174" i="10"/>
  <c r="E214" i="10"/>
  <c r="F175" i="10"/>
  <c r="F72" i="10"/>
  <c r="F77" i="10"/>
  <c r="F70" i="10"/>
  <c r="F65" i="10"/>
  <c r="F76" i="10"/>
  <c r="F68" i="10"/>
  <c r="F64" i="10"/>
  <c r="F67" i="10"/>
  <c r="F71" i="10"/>
  <c r="F74" i="10"/>
  <c r="F69" i="10"/>
  <c r="Q69" i="10"/>
  <c r="F66" i="10"/>
  <c r="F73" i="10"/>
  <c r="F63" i="10"/>
  <c r="F75" i="10"/>
  <c r="P213" i="8"/>
  <c r="F220" i="10"/>
  <c r="E248" i="10"/>
  <c r="E216" i="10"/>
  <c r="E217" i="10"/>
  <c r="E215" i="10"/>
  <c r="Q86" i="10"/>
  <c r="D86" i="14"/>
  <c r="R86" i="14"/>
  <c r="Q78" i="10"/>
  <c r="D78" i="14"/>
  <c r="R78" i="14"/>
  <c r="Q82" i="10"/>
  <c r="D82" i="14"/>
  <c r="R82" i="14"/>
  <c r="Q97" i="10"/>
  <c r="Q84" i="10"/>
  <c r="D84" i="14"/>
  <c r="Q96" i="10"/>
  <c r="D96" i="14"/>
  <c r="R96" i="14"/>
  <c r="E222" i="10"/>
  <c r="Q222" i="10"/>
  <c r="E232" i="10"/>
  <c r="P214" i="8"/>
  <c r="E72" i="10"/>
  <c r="E77" i="10"/>
  <c r="E70" i="10"/>
  <c r="E65" i="10"/>
  <c r="E76" i="10"/>
  <c r="Q76" i="10"/>
  <c r="D76" i="14"/>
  <c r="E68" i="10"/>
  <c r="E64" i="10"/>
  <c r="E71" i="10"/>
  <c r="Q71" i="10"/>
  <c r="D71" i="14"/>
  <c r="E67" i="10"/>
  <c r="E74" i="10"/>
  <c r="E69" i="10"/>
  <c r="E66" i="10"/>
  <c r="E73" i="10"/>
  <c r="E63" i="10"/>
  <c r="E75" i="10"/>
  <c r="P174" i="8"/>
  <c r="Q3" i="8"/>
  <c r="Q4" i="8"/>
  <c r="D4" i="10"/>
  <c r="Q6" i="8"/>
  <c r="Q8" i="8"/>
  <c r="D8" i="10"/>
  <c r="R8" i="10"/>
  <c r="Q9" i="8"/>
  <c r="Q10" i="8"/>
  <c r="D10" i="10"/>
  <c r="R10" i="10"/>
  <c r="Q11" i="8"/>
  <c r="Q12" i="8"/>
  <c r="D12" i="10"/>
  <c r="R12" i="10"/>
  <c r="Q13" i="8"/>
  <c r="Q15" i="8"/>
  <c r="D15" i="10"/>
  <c r="Q16" i="8"/>
  <c r="D16" i="10"/>
  <c r="Q17" i="8"/>
  <c r="D17" i="10"/>
  <c r="Q18" i="8"/>
  <c r="Q19" i="8"/>
  <c r="D19" i="10"/>
  <c r="Q21" i="8"/>
  <c r="D21" i="10"/>
  <c r="R21" i="10"/>
  <c r="Q23" i="8"/>
  <c r="Q24" i="8"/>
  <c r="D24" i="10"/>
  <c r="R24" i="10"/>
  <c r="Q25" i="8"/>
  <c r="D25" i="10"/>
  <c r="Q26" i="8"/>
  <c r="D26" i="10"/>
  <c r="Q27" i="8"/>
  <c r="Q28" i="8"/>
  <c r="D28" i="10"/>
  <c r="R28" i="10"/>
  <c r="Q29" i="8"/>
  <c r="D29" i="10"/>
  <c r="Q30" i="8"/>
  <c r="D30" i="10"/>
  <c r="Q31" i="8"/>
  <c r="D31" i="10"/>
  <c r="Q32" i="8"/>
  <c r="Q33" i="8"/>
  <c r="Q34" i="8"/>
  <c r="D34" i="10"/>
  <c r="Q35" i="8"/>
  <c r="Q36" i="8"/>
  <c r="D36" i="10"/>
  <c r="R36" i="10"/>
  <c r="Q37" i="8"/>
  <c r="D37" i="10"/>
  <c r="Q38" i="8"/>
  <c r="D38" i="10"/>
  <c r="R38" i="10"/>
  <c r="Q39" i="8"/>
  <c r="Q40" i="8"/>
  <c r="D40" i="10"/>
  <c r="Q41" i="8"/>
  <c r="D41" i="10"/>
  <c r="Q42" i="8"/>
  <c r="D42" i="10"/>
  <c r="R42" i="10"/>
  <c r="Q43" i="8"/>
  <c r="Q44" i="8"/>
  <c r="D44" i="10"/>
  <c r="R44" i="10"/>
  <c r="Q45" i="8"/>
  <c r="D45" i="10"/>
  <c r="Q46" i="8"/>
  <c r="D46" i="10"/>
  <c r="Q47" i="8"/>
  <c r="Q48" i="8"/>
  <c r="D48" i="10"/>
  <c r="Q49" i="8"/>
  <c r="Q50" i="8"/>
  <c r="Q51" i="8"/>
  <c r="D51" i="10"/>
  <c r="Q52" i="8"/>
  <c r="Q53" i="8"/>
  <c r="D53" i="10"/>
  <c r="Q54" i="8"/>
  <c r="D54" i="10"/>
  <c r="Q55" i="8"/>
  <c r="Q56" i="8"/>
  <c r="D56" i="10"/>
  <c r="Q57" i="8"/>
  <c r="Q59" i="8"/>
  <c r="D59" i="10"/>
  <c r="R59" i="10"/>
  <c r="Q60" i="8"/>
  <c r="D60" i="10"/>
  <c r="Q61" i="8"/>
  <c r="Q62" i="8"/>
  <c r="Q79" i="8"/>
  <c r="D79" i="10"/>
  <c r="Q84" i="8"/>
  <c r="Q87" i="8"/>
  <c r="Q88" i="8"/>
  <c r="D88" i="10"/>
  <c r="Q89" i="8"/>
  <c r="D89" i="10"/>
  <c r="Q91" i="8"/>
  <c r="D91" i="10"/>
  <c r="Q92" i="8"/>
  <c r="D92" i="10"/>
  <c r="Q93" i="8"/>
  <c r="D93" i="10"/>
  <c r="Q95" i="8"/>
  <c r="Q96" i="8"/>
  <c r="Q100" i="8"/>
  <c r="Q101" i="8"/>
  <c r="D101" i="10"/>
  <c r="Q102" i="8"/>
  <c r="Q104" i="8"/>
  <c r="Q106" i="8"/>
  <c r="D106" i="10"/>
  <c r="Q109" i="8"/>
  <c r="D109" i="10"/>
  <c r="Q110" i="8"/>
  <c r="Q111" i="8"/>
  <c r="D111" i="10"/>
  <c r="R111" i="10"/>
  <c r="Q112" i="8"/>
  <c r="D112" i="10"/>
  <c r="Q113" i="8"/>
  <c r="Q114" i="8"/>
  <c r="Q115" i="8"/>
  <c r="D115" i="10"/>
  <c r="Q116" i="8"/>
  <c r="D116" i="10"/>
  <c r="Q117" i="8"/>
  <c r="D117" i="10"/>
  <c r="Q118" i="8"/>
  <c r="D118" i="10"/>
  <c r="Q119" i="8"/>
  <c r="D119" i="10"/>
  <c r="Q120" i="8"/>
  <c r="Q121" i="8"/>
  <c r="Q122" i="8"/>
  <c r="D122" i="10"/>
  <c r="Q123" i="8"/>
  <c r="Q124" i="8"/>
  <c r="D124" i="10"/>
  <c r="Q125" i="8"/>
  <c r="D125" i="10"/>
  <c r="Q126" i="8"/>
  <c r="D126" i="10"/>
  <c r="R126" i="10"/>
  <c r="Q127" i="8"/>
  <c r="D127" i="10"/>
  <c r="Q128" i="8"/>
  <c r="D128" i="10"/>
  <c r="Q129" i="8"/>
  <c r="Q130" i="8"/>
  <c r="D130" i="10"/>
  <c r="Q131" i="8"/>
  <c r="Q132" i="8"/>
  <c r="D132" i="10"/>
  <c r="Q133" i="8"/>
  <c r="Q134" i="8"/>
  <c r="Q135" i="8"/>
  <c r="D135" i="10"/>
  <c r="Q136" i="8"/>
  <c r="D136" i="10"/>
  <c r="Q137" i="8"/>
  <c r="Q138" i="8"/>
  <c r="Q139" i="8"/>
  <c r="Q140" i="8"/>
  <c r="Q141" i="8"/>
  <c r="Q142" i="8"/>
  <c r="Q143" i="8"/>
  <c r="Q144" i="8"/>
  <c r="Q145" i="8"/>
  <c r="D145" i="10"/>
  <c r="Q146" i="8"/>
  <c r="Q147" i="8"/>
  <c r="D147" i="10"/>
  <c r="Q148" i="8"/>
  <c r="Q149" i="8"/>
  <c r="D149" i="10"/>
  <c r="Q165" i="8"/>
  <c r="D165" i="10"/>
  <c r="R165" i="10"/>
  <c r="Q166" i="8"/>
  <c r="D166" i="10"/>
  <c r="Q167" i="8"/>
  <c r="Q168" i="8"/>
  <c r="D168" i="10"/>
  <c r="Q169" i="8"/>
  <c r="D169" i="10"/>
  <c r="R169" i="10"/>
  <c r="Q170" i="8"/>
  <c r="D170" i="10"/>
  <c r="Q171" i="8"/>
  <c r="D171" i="10"/>
  <c r="R171" i="10"/>
  <c r="Q173" i="8"/>
  <c r="Q176" i="8"/>
  <c r="Q177" i="8"/>
  <c r="D177" i="10"/>
  <c r="Q178" i="8"/>
  <c r="Q181" i="8"/>
  <c r="D181" i="10"/>
  <c r="Q182" i="8"/>
  <c r="Q183" i="8"/>
  <c r="Q184" i="8"/>
  <c r="Q185" i="8"/>
  <c r="Q186" i="8"/>
  <c r="Q187" i="8"/>
  <c r="D187" i="10"/>
  <c r="Q188" i="8"/>
  <c r="D188" i="10"/>
  <c r="R188" i="10"/>
  <c r="Q189" i="8"/>
  <c r="Q190" i="8"/>
  <c r="D190" i="10"/>
  <c r="R190" i="10"/>
  <c r="Q192" i="8"/>
  <c r="Q193" i="8"/>
  <c r="D193" i="10"/>
  <c r="Q194" i="8"/>
  <c r="Q195" i="8"/>
  <c r="D195" i="10"/>
  <c r="R195" i="10"/>
  <c r="Q196" i="8"/>
  <c r="D196" i="10"/>
  <c r="Q200" i="8"/>
  <c r="D200" i="10"/>
  <c r="Q201" i="8"/>
  <c r="D201" i="10"/>
  <c r="Q202" i="8"/>
  <c r="D202" i="10"/>
  <c r="Q203" i="8"/>
  <c r="D203" i="10"/>
  <c r="Q204" i="8"/>
  <c r="Q205" i="8"/>
  <c r="Q206" i="8"/>
  <c r="Q207" i="8"/>
  <c r="D207" i="10"/>
  <c r="Q208" i="8"/>
  <c r="D208" i="10"/>
  <c r="Q209" i="8"/>
  <c r="R209" i="8"/>
  <c r="Q210" i="8"/>
  <c r="D210" i="10"/>
  <c r="Q211" i="8"/>
  <c r="D211" i="10"/>
  <c r="Q212" i="8"/>
  <c r="D212" i="10"/>
  <c r="R212" i="10"/>
  <c r="Q218" i="8"/>
  <c r="Q219" i="8"/>
  <c r="Q221" i="8"/>
  <c r="D221" i="10"/>
  <c r="Q222" i="8"/>
  <c r="D222" i="10"/>
  <c r="Q223" i="8"/>
  <c r="Q224" i="8"/>
  <c r="D224" i="10"/>
  <c r="Q225" i="8"/>
  <c r="Q226" i="8"/>
  <c r="Q227" i="8"/>
  <c r="D227" i="10"/>
  <c r="Q228" i="8"/>
  <c r="D228" i="10"/>
  <c r="Q229" i="8"/>
  <c r="D229" i="10"/>
  <c r="Q230" i="8"/>
  <c r="D230" i="10"/>
  <c r="Q231" i="8"/>
  <c r="Q233" i="8"/>
  <c r="D233" i="10"/>
  <c r="Q234" i="8"/>
  <c r="Q235" i="8"/>
  <c r="D235" i="10"/>
  <c r="R235" i="10"/>
  <c r="Q236" i="8"/>
  <c r="Q237" i="8"/>
  <c r="D237" i="10"/>
  <c r="Q238" i="8"/>
  <c r="Q239" i="8"/>
  <c r="D239" i="10"/>
  <c r="R239" i="10"/>
  <c r="Q240" i="8"/>
  <c r="Q241" i="8"/>
  <c r="Q243" i="8"/>
  <c r="D244" i="10"/>
  <c r="Q244" i="8"/>
  <c r="Q245" i="8"/>
  <c r="D246" i="10"/>
  <c r="Q248" i="8"/>
  <c r="Q249" i="8"/>
  <c r="D250" i="10"/>
  <c r="Q251" i="8"/>
  <c r="D252" i="10"/>
  <c r="Q252" i="8"/>
  <c r="D253" i="10"/>
  <c r="R253" i="10"/>
  <c r="Q253" i="8"/>
  <c r="R253" i="8"/>
  <c r="Q2" i="8"/>
  <c r="D2" i="10"/>
  <c r="E243" i="10"/>
  <c r="E175" i="10"/>
  <c r="E174" i="10"/>
  <c r="P247" i="8"/>
  <c r="P216" i="8"/>
  <c r="P217" i="8"/>
  <c r="P215" i="8"/>
  <c r="Q2" i="6"/>
  <c r="Q3" i="6"/>
  <c r="R3" i="6"/>
  <c r="Q4" i="6"/>
  <c r="D4" i="8"/>
  <c r="Q5" i="6"/>
  <c r="Q6" i="6"/>
  <c r="R6" i="6"/>
  <c r="Q7" i="6"/>
  <c r="R7" i="6"/>
  <c r="Q8" i="6"/>
  <c r="R8" i="6"/>
  <c r="Q9" i="6"/>
  <c r="D9" i="8"/>
  <c r="R9" i="8"/>
  <c r="Q10" i="6"/>
  <c r="R10" i="6"/>
  <c r="Q11" i="6"/>
  <c r="Q12" i="6"/>
  <c r="D12" i="8"/>
  <c r="Q13" i="6"/>
  <c r="Q14" i="6"/>
  <c r="R14" i="6"/>
  <c r="Q15" i="6"/>
  <c r="D15" i="8"/>
  <c r="Q16" i="6"/>
  <c r="R16" i="6"/>
  <c r="Q17" i="6"/>
  <c r="Q18" i="6"/>
  <c r="R18" i="6"/>
  <c r="Q19" i="6"/>
  <c r="Q20" i="6"/>
  <c r="Q21" i="6"/>
  <c r="Q22" i="6"/>
  <c r="D22" i="8"/>
  <c r="Q23" i="6"/>
  <c r="Q24" i="6"/>
  <c r="D24" i="8"/>
  <c r="Q25" i="6"/>
  <c r="Q26" i="6"/>
  <c r="R26" i="6"/>
  <c r="Q27" i="6"/>
  <c r="D27" i="8"/>
  <c r="R27" i="8"/>
  <c r="Q28" i="6"/>
  <c r="Q29" i="6"/>
  <c r="D29" i="8"/>
  <c r="Q30" i="6"/>
  <c r="Q31" i="6"/>
  <c r="R31" i="6"/>
  <c r="Q32" i="6"/>
  <c r="Q33" i="6"/>
  <c r="R33" i="6"/>
  <c r="D33" i="8"/>
  <c r="Q34" i="6"/>
  <c r="D34" i="8"/>
  <c r="Q35" i="6"/>
  <c r="Q36" i="6"/>
  <c r="Q37" i="6"/>
  <c r="D37" i="8"/>
  <c r="Q38" i="6"/>
  <c r="R38" i="6"/>
  <c r="Q39" i="6"/>
  <c r="R39" i="6"/>
  <c r="Q40" i="6"/>
  <c r="D40" i="8"/>
  <c r="Q41" i="6"/>
  <c r="D41" i="8"/>
  <c r="R41" i="8"/>
  <c r="Q42" i="6"/>
  <c r="R42" i="6"/>
  <c r="Q43" i="6"/>
  <c r="D43" i="8"/>
  <c r="R43" i="8"/>
  <c r="Q44" i="6"/>
  <c r="R44" i="6"/>
  <c r="Q45" i="6"/>
  <c r="R45" i="6"/>
  <c r="Q46" i="6"/>
  <c r="Q47" i="6"/>
  <c r="Q48" i="6"/>
  <c r="R48" i="6"/>
  <c r="Q49" i="6"/>
  <c r="D49" i="8"/>
  <c r="Q50" i="6"/>
  <c r="R50" i="6"/>
  <c r="Q51" i="6"/>
  <c r="Q52" i="6"/>
  <c r="Q53" i="6"/>
  <c r="R53" i="6"/>
  <c r="Q54" i="6"/>
  <c r="R54" i="6"/>
  <c r="Q55" i="6"/>
  <c r="Q56" i="6"/>
  <c r="R56" i="6"/>
  <c r="Q57" i="6"/>
  <c r="D57" i="8"/>
  <c r="Q59" i="6"/>
  <c r="Q60" i="6"/>
  <c r="Q61" i="6"/>
  <c r="R61" i="6"/>
  <c r="Q62" i="6"/>
  <c r="D62" i="8"/>
  <c r="Q63" i="6"/>
  <c r="Q64" i="6"/>
  <c r="R64" i="6"/>
  <c r="D64" i="8"/>
  <c r="Q65" i="6"/>
  <c r="R65" i="6"/>
  <c r="Q66" i="6"/>
  <c r="D66" i="8"/>
  <c r="Q67" i="6"/>
  <c r="R67" i="6"/>
  <c r="Q68" i="6"/>
  <c r="R68" i="6"/>
  <c r="Q69" i="6"/>
  <c r="Q70" i="6"/>
  <c r="R70" i="6"/>
  <c r="Q71" i="6"/>
  <c r="D71" i="8"/>
  <c r="Q72" i="6"/>
  <c r="Q73" i="6"/>
  <c r="D73" i="8"/>
  <c r="Q74" i="6"/>
  <c r="Q75" i="6"/>
  <c r="D75" i="8"/>
  <c r="Q76" i="6"/>
  <c r="Q77" i="6"/>
  <c r="R77" i="6"/>
  <c r="Q78" i="6"/>
  <c r="Q79" i="6"/>
  <c r="R79" i="6"/>
  <c r="Q80" i="6"/>
  <c r="Q81" i="6"/>
  <c r="D81" i="8"/>
  <c r="Q82" i="6"/>
  <c r="Q83" i="6"/>
  <c r="R83" i="6"/>
  <c r="Q84" i="6"/>
  <c r="D84" i="8"/>
  <c r="R84" i="8"/>
  <c r="Q85" i="6"/>
  <c r="Q86" i="6"/>
  <c r="Q87" i="6"/>
  <c r="Q88" i="6"/>
  <c r="Q89" i="6"/>
  <c r="Q90" i="6"/>
  <c r="Q91" i="6"/>
  <c r="D91" i="8"/>
  <c r="R91" i="8"/>
  <c r="Q92" i="6"/>
  <c r="Q93" i="6"/>
  <c r="D93" i="8"/>
  <c r="Q94" i="6"/>
  <c r="Q95" i="6"/>
  <c r="R95" i="6"/>
  <c r="Q96" i="6"/>
  <c r="Q97" i="6"/>
  <c r="Q98" i="6"/>
  <c r="D98" i="8"/>
  <c r="Q99" i="6"/>
  <c r="D99" i="8"/>
  <c r="Q100" i="6"/>
  <c r="R100" i="6"/>
  <c r="Q101" i="6"/>
  <c r="Q102" i="6"/>
  <c r="R102" i="6"/>
  <c r="Q103" i="6"/>
  <c r="R103" i="6"/>
  <c r="Q104" i="6"/>
  <c r="R104" i="6"/>
  <c r="Q105" i="6"/>
  <c r="R105" i="6"/>
  <c r="Q106" i="6"/>
  <c r="R106" i="6"/>
  <c r="Q107" i="6"/>
  <c r="R107" i="6"/>
  <c r="Q108" i="6"/>
  <c r="Q109" i="6"/>
  <c r="R109" i="6"/>
  <c r="Q110" i="6"/>
  <c r="R110" i="6"/>
  <c r="Q111" i="6"/>
  <c r="D111" i="8"/>
  <c r="Q112" i="6"/>
  <c r="Q113" i="6"/>
  <c r="R113" i="6"/>
  <c r="Q114" i="6"/>
  <c r="D114" i="8"/>
  <c r="R114" i="8"/>
  <c r="R114" i="6"/>
  <c r="Q115" i="6"/>
  <c r="D115" i="8"/>
  <c r="R115" i="8"/>
  <c r="Q116" i="6"/>
  <c r="Q117" i="6"/>
  <c r="D117" i="8"/>
  <c r="R117" i="8"/>
  <c r="Q118" i="6"/>
  <c r="D118" i="8"/>
  <c r="Q119" i="6"/>
  <c r="D119" i="8"/>
  <c r="Q120" i="6"/>
  <c r="Q121" i="6"/>
  <c r="R121" i="6"/>
  <c r="Q122" i="6"/>
  <c r="Q123" i="6"/>
  <c r="R123" i="6"/>
  <c r="Q124" i="6"/>
  <c r="Q125" i="6"/>
  <c r="R125" i="6"/>
  <c r="Q126" i="6"/>
  <c r="D126" i="8"/>
  <c r="Q127" i="6"/>
  <c r="R127" i="6"/>
  <c r="Q128" i="6"/>
  <c r="Q129" i="6"/>
  <c r="D129" i="8"/>
  <c r="Q130" i="6"/>
  <c r="Q131" i="6"/>
  <c r="R131" i="6"/>
  <c r="Q132" i="6"/>
  <c r="D132" i="8"/>
  <c r="R132" i="8"/>
  <c r="Q133" i="6"/>
  <c r="D133" i="8"/>
  <c r="R133" i="8"/>
  <c r="Q134" i="6"/>
  <c r="R134" i="6"/>
  <c r="Q135" i="6"/>
  <c r="R135" i="6"/>
  <c r="Q136" i="6"/>
  <c r="D136" i="8"/>
  <c r="R136" i="6"/>
  <c r="Q137" i="6"/>
  <c r="Q138" i="6"/>
  <c r="R138" i="6"/>
  <c r="Q139" i="6"/>
  <c r="R139" i="6"/>
  <c r="Q140" i="6"/>
  <c r="R140" i="6"/>
  <c r="Q141" i="6"/>
  <c r="Q142" i="6"/>
  <c r="D142" i="8"/>
  <c r="R142" i="8"/>
  <c r="Q143" i="6"/>
  <c r="Q144" i="6"/>
  <c r="R144" i="6"/>
  <c r="Q145" i="6"/>
  <c r="R145" i="6"/>
  <c r="Q146" i="6"/>
  <c r="D146" i="8"/>
  <c r="Q147" i="6"/>
  <c r="Q148" i="6"/>
  <c r="D148" i="8"/>
  <c r="R148" i="8"/>
  <c r="Q149" i="6"/>
  <c r="D149" i="8"/>
  <c r="R149" i="8"/>
  <c r="Q150" i="6"/>
  <c r="D150" i="8"/>
  <c r="Q151" i="6"/>
  <c r="R151" i="6"/>
  <c r="Q152" i="6"/>
  <c r="D152" i="8"/>
  <c r="Q153" i="6"/>
  <c r="D153" i="8"/>
  <c r="Q154" i="6"/>
  <c r="D154" i="8"/>
  <c r="Q155" i="6"/>
  <c r="D155" i="8"/>
  <c r="Q156" i="6"/>
  <c r="R156" i="6"/>
  <c r="Q157" i="6"/>
  <c r="Q158" i="6"/>
  <c r="R158" i="6"/>
  <c r="Q159" i="6"/>
  <c r="R159" i="6"/>
  <c r="Q160" i="6"/>
  <c r="Q161" i="6"/>
  <c r="Q162" i="6"/>
  <c r="R162" i="6"/>
  <c r="N163" i="6"/>
  <c r="O163" i="6"/>
  <c r="P163" i="6"/>
  <c r="L164" i="6"/>
  <c r="M164" i="6"/>
  <c r="N164" i="6"/>
  <c r="O164" i="6"/>
  <c r="P164" i="6"/>
  <c r="Q165" i="6"/>
  <c r="D165" i="8"/>
  <c r="Q166" i="6"/>
  <c r="R166" i="6"/>
  <c r="Q167" i="6"/>
  <c r="R167" i="6"/>
  <c r="Q168" i="6"/>
  <c r="D168" i="8"/>
  <c r="R168" i="8"/>
  <c r="Q169" i="6"/>
  <c r="R169" i="6"/>
  <c r="Q170" i="6"/>
  <c r="Q171" i="6"/>
  <c r="Q173" i="6"/>
  <c r="R173" i="6"/>
  <c r="Q174" i="6"/>
  <c r="D174" i="8"/>
  <c r="Q175" i="6"/>
  <c r="Q176" i="6"/>
  <c r="Q177" i="6"/>
  <c r="R177" i="6"/>
  <c r="Q178" i="6"/>
  <c r="D178" i="8"/>
  <c r="Q181" i="6"/>
  <c r="Q182" i="6"/>
  <c r="R182" i="6"/>
  <c r="Q183" i="6"/>
  <c r="R183" i="6"/>
  <c r="Q184" i="6"/>
  <c r="D184" i="8"/>
  <c r="Q185" i="6"/>
  <c r="Q186" i="6"/>
  <c r="Q187" i="6"/>
  <c r="D187" i="8"/>
  <c r="Q188" i="6"/>
  <c r="D188" i="8"/>
  <c r="Q189" i="6"/>
  <c r="Q190" i="6"/>
  <c r="Q192" i="6"/>
  <c r="R192" i="6"/>
  <c r="Q193" i="6"/>
  <c r="Q194" i="6"/>
  <c r="R194" i="6"/>
  <c r="Q195" i="6"/>
  <c r="D195" i="8"/>
  <c r="Q196" i="6"/>
  <c r="D196" i="8"/>
  <c r="Q197" i="6"/>
  <c r="Q198" i="6"/>
  <c r="D198" i="8"/>
  <c r="Q199" i="6"/>
  <c r="Q200" i="6"/>
  <c r="Q201" i="6"/>
  <c r="Q202" i="6"/>
  <c r="Q203" i="6"/>
  <c r="D203" i="8"/>
  <c r="Q204" i="6"/>
  <c r="Q205" i="6"/>
  <c r="Q206" i="6"/>
  <c r="D206" i="8"/>
  <c r="Q207" i="6"/>
  <c r="Q208" i="6"/>
  <c r="R209" i="6"/>
  <c r="Q210" i="6"/>
  <c r="D210" i="8"/>
  <c r="R210" i="8"/>
  <c r="Q211" i="6"/>
  <c r="R211" i="6"/>
  <c r="Q212" i="6"/>
  <c r="Q213" i="6"/>
  <c r="R213" i="6"/>
  <c r="Q214" i="6"/>
  <c r="R214" i="6"/>
  <c r="D214" i="8"/>
  <c r="Q215" i="6"/>
  <c r="D215" i="8"/>
  <c r="Q216" i="6"/>
  <c r="Q217" i="6"/>
  <c r="Q218" i="6"/>
  <c r="Q219" i="6"/>
  <c r="Q220" i="6"/>
  <c r="Q221" i="6"/>
  <c r="R221" i="6"/>
  <c r="Q222" i="6"/>
  <c r="Q223" i="6"/>
  <c r="Q224" i="6"/>
  <c r="D224" i="8"/>
  <c r="R224" i="8"/>
  <c r="Q225" i="6"/>
  <c r="Q226" i="6"/>
  <c r="D226" i="8"/>
  <c r="Q227" i="6"/>
  <c r="Q228" i="6"/>
  <c r="R228" i="6"/>
  <c r="Q229" i="6"/>
  <c r="Q230" i="6"/>
  <c r="D230" i="8"/>
  <c r="Q231" i="6"/>
  <c r="R231" i="6"/>
  <c r="Q232" i="6"/>
  <c r="D232" i="8"/>
  <c r="Q233" i="6"/>
  <c r="D233" i="8"/>
  <c r="Q234" i="6"/>
  <c r="R234" i="6"/>
  <c r="Q235" i="6"/>
  <c r="Q236" i="6"/>
  <c r="D236" i="8"/>
  <c r="R236" i="8"/>
  <c r="Q237" i="6"/>
  <c r="R237" i="6"/>
  <c r="Q238" i="6"/>
  <c r="D238" i="8"/>
  <c r="Q239" i="6"/>
  <c r="Q240" i="6"/>
  <c r="R240" i="6"/>
  <c r="Q241" i="6"/>
  <c r="D241" i="8"/>
  <c r="Q242" i="6"/>
  <c r="Q243" i="6"/>
  <c r="Q244" i="6"/>
  <c r="R244" i="6"/>
  <c r="Q245" i="6"/>
  <c r="Q246" i="6"/>
  <c r="D246" i="8"/>
  <c r="Q247" i="6"/>
  <c r="D247" i="8"/>
  <c r="Q248" i="6"/>
  <c r="R248" i="6"/>
  <c r="Q249" i="6"/>
  <c r="R249" i="6"/>
  <c r="Q251" i="6"/>
  <c r="R251" i="6"/>
  <c r="Q252" i="6"/>
  <c r="R253" i="6"/>
  <c r="M5" i="8"/>
  <c r="Q5" i="8"/>
  <c r="M7" i="8"/>
  <c r="Q7" i="8"/>
  <c r="M14" i="8"/>
  <c r="Q14" i="8"/>
  <c r="M20" i="8"/>
  <c r="I63" i="8"/>
  <c r="J63" i="8"/>
  <c r="K63" i="8"/>
  <c r="L63" i="8"/>
  <c r="M63" i="8"/>
  <c r="N63" i="8"/>
  <c r="O63" i="8"/>
  <c r="P63" i="8"/>
  <c r="I64" i="8"/>
  <c r="J64" i="8"/>
  <c r="K64" i="8"/>
  <c r="L64" i="8"/>
  <c r="M64" i="8"/>
  <c r="N64" i="8"/>
  <c r="O64" i="8"/>
  <c r="P64" i="8"/>
  <c r="I65" i="8"/>
  <c r="J65" i="8"/>
  <c r="K65" i="8"/>
  <c r="L65" i="8"/>
  <c r="M65" i="8"/>
  <c r="N65" i="8"/>
  <c r="O65" i="8"/>
  <c r="P65" i="8"/>
  <c r="I66" i="8"/>
  <c r="J66" i="8"/>
  <c r="K66" i="8"/>
  <c r="L66" i="8"/>
  <c r="M66" i="8"/>
  <c r="N66" i="8"/>
  <c r="O66" i="8"/>
  <c r="P66" i="8"/>
  <c r="I67" i="8"/>
  <c r="J67" i="8"/>
  <c r="K67" i="8"/>
  <c r="L67" i="8"/>
  <c r="M67" i="8"/>
  <c r="N67" i="8"/>
  <c r="O67" i="8"/>
  <c r="P67" i="8"/>
  <c r="I68" i="8"/>
  <c r="J68" i="8"/>
  <c r="K68" i="8"/>
  <c r="L68" i="8"/>
  <c r="M68" i="8"/>
  <c r="N68" i="8"/>
  <c r="O68" i="8"/>
  <c r="P68" i="8"/>
  <c r="I69" i="8"/>
  <c r="J69" i="8"/>
  <c r="K69" i="8"/>
  <c r="L69" i="8"/>
  <c r="M69" i="8"/>
  <c r="N69" i="8"/>
  <c r="O69" i="8"/>
  <c r="P69" i="8"/>
  <c r="I70" i="8"/>
  <c r="J70" i="8"/>
  <c r="K70" i="8"/>
  <c r="L70" i="8"/>
  <c r="M70" i="8"/>
  <c r="N70" i="8"/>
  <c r="O70" i="8"/>
  <c r="P70" i="8"/>
  <c r="I71" i="8"/>
  <c r="J71" i="8"/>
  <c r="K71" i="8"/>
  <c r="L71" i="8"/>
  <c r="M71" i="8"/>
  <c r="N71" i="8"/>
  <c r="O71" i="8"/>
  <c r="P71" i="8"/>
  <c r="I72" i="8"/>
  <c r="J72" i="8"/>
  <c r="K72" i="8"/>
  <c r="L72" i="8"/>
  <c r="M72" i="8"/>
  <c r="N72" i="8"/>
  <c r="O72" i="8"/>
  <c r="P72" i="8"/>
  <c r="I73" i="8"/>
  <c r="J73" i="8"/>
  <c r="K73" i="8"/>
  <c r="L73" i="8"/>
  <c r="M73" i="8"/>
  <c r="N73" i="8"/>
  <c r="O73" i="8"/>
  <c r="P73" i="8"/>
  <c r="I74" i="8"/>
  <c r="J74" i="8"/>
  <c r="K74" i="8"/>
  <c r="L74" i="8"/>
  <c r="M74" i="8"/>
  <c r="N74" i="8"/>
  <c r="O74" i="8"/>
  <c r="P74" i="8"/>
  <c r="I75" i="8"/>
  <c r="J75" i="8"/>
  <c r="K75" i="8"/>
  <c r="L75" i="8"/>
  <c r="M75" i="8"/>
  <c r="N75" i="8"/>
  <c r="O75" i="8"/>
  <c r="P75" i="8"/>
  <c r="I76" i="8"/>
  <c r="J76" i="8"/>
  <c r="K76" i="8"/>
  <c r="L76" i="8"/>
  <c r="M76" i="8"/>
  <c r="N76" i="8"/>
  <c r="O76" i="8"/>
  <c r="P76" i="8"/>
  <c r="I77" i="8"/>
  <c r="J77" i="8"/>
  <c r="K77" i="8"/>
  <c r="L77" i="8"/>
  <c r="M77" i="8"/>
  <c r="N77" i="8"/>
  <c r="O77" i="8"/>
  <c r="P77" i="8"/>
  <c r="Q81" i="8"/>
  <c r="I150" i="8"/>
  <c r="J150" i="8"/>
  <c r="K150" i="8"/>
  <c r="L150" i="8"/>
  <c r="M150" i="8"/>
  <c r="N150" i="8"/>
  <c r="O150" i="8"/>
  <c r="P150" i="8"/>
  <c r="I151" i="8"/>
  <c r="J151" i="8"/>
  <c r="K151" i="8"/>
  <c r="L151" i="8"/>
  <c r="M151" i="8"/>
  <c r="N151" i="8"/>
  <c r="O151" i="8"/>
  <c r="P151" i="8"/>
  <c r="I152" i="8"/>
  <c r="J152" i="8"/>
  <c r="K152" i="8"/>
  <c r="L152" i="8"/>
  <c r="M152" i="8"/>
  <c r="N152" i="8"/>
  <c r="O152" i="8"/>
  <c r="P152" i="8"/>
  <c r="I153" i="8"/>
  <c r="J153" i="8"/>
  <c r="K153" i="8"/>
  <c r="L153" i="8"/>
  <c r="M153" i="8"/>
  <c r="N153" i="8"/>
  <c r="O153" i="8"/>
  <c r="P153" i="8"/>
  <c r="I154" i="8"/>
  <c r="J154" i="8"/>
  <c r="K154" i="8"/>
  <c r="L154" i="8"/>
  <c r="M154" i="8"/>
  <c r="N154" i="8"/>
  <c r="O154" i="8"/>
  <c r="P154" i="8"/>
  <c r="I155" i="8"/>
  <c r="Q155" i="8"/>
  <c r="J155" i="8"/>
  <c r="K155" i="8"/>
  <c r="L155" i="8"/>
  <c r="M155" i="8"/>
  <c r="N155" i="8"/>
  <c r="O155" i="8"/>
  <c r="P155" i="8"/>
  <c r="I156" i="8"/>
  <c r="J156" i="8"/>
  <c r="K156" i="8"/>
  <c r="L156" i="8"/>
  <c r="M156" i="8"/>
  <c r="N156" i="8"/>
  <c r="O156" i="8"/>
  <c r="P156" i="8"/>
  <c r="I157" i="8"/>
  <c r="J157" i="8"/>
  <c r="K157" i="8"/>
  <c r="L157" i="8"/>
  <c r="M157" i="8"/>
  <c r="N157" i="8"/>
  <c r="O157" i="8"/>
  <c r="P157" i="8"/>
  <c r="I158" i="8"/>
  <c r="J158" i="8"/>
  <c r="K158" i="8"/>
  <c r="L158" i="8"/>
  <c r="M158" i="8"/>
  <c r="N158" i="8"/>
  <c r="O158" i="8"/>
  <c r="P158" i="8"/>
  <c r="I159" i="8"/>
  <c r="J159" i="8"/>
  <c r="K159" i="8"/>
  <c r="L159" i="8"/>
  <c r="M159" i="8"/>
  <c r="N159" i="8"/>
  <c r="O159" i="8"/>
  <c r="P159" i="8"/>
  <c r="I160" i="8"/>
  <c r="J160" i="8"/>
  <c r="K160" i="8"/>
  <c r="L160" i="8"/>
  <c r="M160" i="8"/>
  <c r="N160" i="8"/>
  <c r="O160" i="8"/>
  <c r="P160" i="8"/>
  <c r="I161" i="8"/>
  <c r="J161" i="8"/>
  <c r="K161" i="8"/>
  <c r="L161" i="8"/>
  <c r="M161" i="8"/>
  <c r="N161" i="8"/>
  <c r="O161" i="8"/>
  <c r="P161" i="8"/>
  <c r="I162" i="8"/>
  <c r="J162" i="8"/>
  <c r="K162" i="8"/>
  <c r="L162" i="8"/>
  <c r="M162" i="8"/>
  <c r="N162" i="8"/>
  <c r="O162" i="8"/>
  <c r="P162" i="8"/>
  <c r="E163" i="8"/>
  <c r="F163" i="8"/>
  <c r="I163" i="8"/>
  <c r="J163" i="8"/>
  <c r="K163" i="8"/>
  <c r="L163" i="8"/>
  <c r="M163" i="8"/>
  <c r="N163" i="8"/>
  <c r="E164" i="8"/>
  <c r="F164" i="8"/>
  <c r="I164" i="8"/>
  <c r="J164" i="8"/>
  <c r="K164" i="8"/>
  <c r="L164" i="8"/>
  <c r="M164" i="8"/>
  <c r="N164" i="8"/>
  <c r="I174" i="8"/>
  <c r="J174" i="8"/>
  <c r="K174" i="8"/>
  <c r="L174" i="8"/>
  <c r="M174" i="8"/>
  <c r="N174" i="8"/>
  <c r="O174" i="8"/>
  <c r="I175" i="8"/>
  <c r="J175" i="8"/>
  <c r="K175" i="8"/>
  <c r="L175" i="8"/>
  <c r="M175" i="8"/>
  <c r="N175" i="8"/>
  <c r="O175" i="8"/>
  <c r="P175" i="8"/>
  <c r="I180" i="8"/>
  <c r="J180" i="8"/>
  <c r="K180" i="8"/>
  <c r="L180" i="8"/>
  <c r="M180" i="8"/>
  <c r="Q197" i="8"/>
  <c r="D197" i="10"/>
  <c r="O198" i="8"/>
  <c r="Q198" i="8"/>
  <c r="D198" i="10"/>
  <c r="K199" i="8"/>
  <c r="P199" i="8"/>
  <c r="O213" i="8"/>
  <c r="M214" i="8"/>
  <c r="Q214" i="8"/>
  <c r="D214" i="10"/>
  <c r="N214" i="8"/>
  <c r="O214" i="8"/>
  <c r="I215" i="8"/>
  <c r="J215" i="8"/>
  <c r="K215" i="8"/>
  <c r="L215" i="8"/>
  <c r="M215" i="8"/>
  <c r="N215" i="8"/>
  <c r="O215" i="8"/>
  <c r="I216" i="8"/>
  <c r="J216" i="8"/>
  <c r="K216" i="8"/>
  <c r="L216" i="8"/>
  <c r="M216" i="8"/>
  <c r="N216" i="8"/>
  <c r="O216" i="8"/>
  <c r="I217" i="8"/>
  <c r="J217" i="8"/>
  <c r="K217" i="8"/>
  <c r="L217" i="8"/>
  <c r="M217" i="8"/>
  <c r="N217" i="8"/>
  <c r="O217" i="8"/>
  <c r="I220" i="8"/>
  <c r="Q220" i="8"/>
  <c r="M220" i="8"/>
  <c r="P220" i="8"/>
  <c r="E232" i="8"/>
  <c r="Q232" i="8"/>
  <c r="D232" i="10"/>
  <c r="F232" i="8"/>
  <c r="I232" i="8"/>
  <c r="J232" i="8"/>
  <c r="K232" i="8"/>
  <c r="L232" i="8"/>
  <c r="M232" i="8"/>
  <c r="N232" i="8"/>
  <c r="P232" i="8"/>
  <c r="I242" i="8"/>
  <c r="Q242" i="8"/>
  <c r="D243" i="10"/>
  <c r="J242" i="8"/>
  <c r="L242" i="8"/>
  <c r="M242" i="8"/>
  <c r="N242" i="8"/>
  <c r="O242" i="8"/>
  <c r="P242" i="8"/>
  <c r="I246" i="8"/>
  <c r="J246" i="8"/>
  <c r="K246" i="8"/>
  <c r="L246" i="8"/>
  <c r="M246" i="8"/>
  <c r="N246" i="8"/>
  <c r="P246" i="8"/>
  <c r="I247" i="8"/>
  <c r="J247" i="8"/>
  <c r="K247" i="8"/>
  <c r="Q247" i="8"/>
  <c r="L247" i="8"/>
  <c r="M247" i="8"/>
  <c r="N247" i="8"/>
  <c r="O247" i="8"/>
  <c r="Q2" i="10"/>
  <c r="D2" i="14"/>
  <c r="Q3" i="10"/>
  <c r="Q4" i="10"/>
  <c r="Q5" i="10"/>
  <c r="D5" i="14"/>
  <c r="Q6" i="10"/>
  <c r="Q7" i="10"/>
  <c r="D7" i="14"/>
  <c r="R7" i="14"/>
  <c r="Q8" i="10"/>
  <c r="Q9" i="10"/>
  <c r="Q10" i="10"/>
  <c r="D10" i="14"/>
  <c r="R10" i="14"/>
  <c r="Q11" i="10"/>
  <c r="D11" i="14"/>
  <c r="R11" i="14"/>
  <c r="Q12" i="10"/>
  <c r="Q13" i="10"/>
  <c r="Q14" i="10"/>
  <c r="D14" i="14"/>
  <c r="Q15" i="10"/>
  <c r="Q16" i="10"/>
  <c r="Q17" i="10"/>
  <c r="Q18" i="10"/>
  <c r="D18" i="14"/>
  <c r="Q19" i="10"/>
  <c r="Q20" i="10"/>
  <c r="Q21" i="10"/>
  <c r="Q22" i="10"/>
  <c r="D22" i="14"/>
  <c r="R22" i="14"/>
  <c r="Q23" i="10"/>
  <c r="Q24" i="10"/>
  <c r="D24" i="14"/>
  <c r="Q25" i="10"/>
  <c r="Q26" i="10"/>
  <c r="D26" i="14"/>
  <c r="Q27" i="10"/>
  <c r="D27" i="14"/>
  <c r="Q28" i="10"/>
  <c r="Q29" i="10"/>
  <c r="Q30" i="10"/>
  <c r="D30" i="14"/>
  <c r="R30" i="14"/>
  <c r="Q31" i="10"/>
  <c r="D31" i="14"/>
  <c r="Q32" i="10"/>
  <c r="Q33" i="10"/>
  <c r="D33" i="14"/>
  <c r="R33" i="14"/>
  <c r="Q34" i="10"/>
  <c r="D34" i="14"/>
  <c r="Q35" i="10"/>
  <c r="Q36" i="10"/>
  <c r="Q37" i="10"/>
  <c r="Q38" i="10"/>
  <c r="D38" i="14"/>
  <c r="R38" i="14"/>
  <c r="Q39" i="10"/>
  <c r="D39" i="14"/>
  <c r="Q40" i="10"/>
  <c r="Q41" i="10"/>
  <c r="Q42" i="10"/>
  <c r="D42" i="14"/>
  <c r="Q43" i="10"/>
  <c r="Q44" i="10"/>
  <c r="D44" i="14"/>
  <c r="Q45" i="10"/>
  <c r="Q46" i="10"/>
  <c r="D46" i="14"/>
  <c r="Q47" i="10"/>
  <c r="R47" i="10"/>
  <c r="Q48" i="10"/>
  <c r="Q49" i="10"/>
  <c r="D49" i="14"/>
  <c r="R49" i="14"/>
  <c r="Q50" i="10"/>
  <c r="D50" i="14"/>
  <c r="R50" i="14"/>
  <c r="Q51" i="10"/>
  <c r="R51" i="10"/>
  <c r="Q52" i="10"/>
  <c r="D52" i="14"/>
  <c r="Q53" i="10"/>
  <c r="Q54" i="10"/>
  <c r="D54" i="14"/>
  <c r="R54" i="14"/>
  <c r="Q55" i="10"/>
  <c r="D55" i="14"/>
  <c r="Q56" i="10"/>
  <c r="Q57" i="10"/>
  <c r="Q59" i="10"/>
  <c r="D59" i="14"/>
  <c r="Q60" i="10"/>
  <c r="Q61" i="10"/>
  <c r="Q62" i="10"/>
  <c r="Q79" i="10"/>
  <c r="D79" i="14"/>
  <c r="R79" i="14"/>
  <c r="Q80" i="10"/>
  <c r="D80" i="14"/>
  <c r="Q83" i="10"/>
  <c r="D83" i="14"/>
  <c r="R83" i="14"/>
  <c r="Q88" i="10"/>
  <c r="D88" i="14"/>
  <c r="R88" i="14"/>
  <c r="Q89" i="10"/>
  <c r="D89" i="14"/>
  <c r="Q95" i="10"/>
  <c r="D95" i="14"/>
  <c r="R95" i="14"/>
  <c r="Q100" i="10"/>
  <c r="D100" i="14"/>
  <c r="R100" i="14"/>
  <c r="Q102" i="10"/>
  <c r="D102" i="14"/>
  <c r="R102" i="14"/>
  <c r="Q103" i="10"/>
  <c r="D103" i="14"/>
  <c r="Q105" i="10"/>
  <c r="D105" i="14"/>
  <c r="Q106" i="10"/>
  <c r="Q107" i="10"/>
  <c r="Q108" i="10"/>
  <c r="Q109" i="10"/>
  <c r="D109" i="14"/>
  <c r="R109" i="14"/>
  <c r="Q111" i="10"/>
  <c r="D111" i="14"/>
  <c r="Q112" i="10"/>
  <c r="Q113" i="10"/>
  <c r="D114" i="14"/>
  <c r="Q114" i="10"/>
  <c r="Q115" i="10"/>
  <c r="Q116" i="10"/>
  <c r="Q117" i="10"/>
  <c r="Q118" i="10"/>
  <c r="Q119" i="10"/>
  <c r="Q120" i="10"/>
  <c r="D121" i="14"/>
  <c r="Q121" i="10"/>
  <c r="D122" i="14"/>
  <c r="Q122" i="10"/>
  <c r="Q123" i="10"/>
  <c r="Q124" i="10"/>
  <c r="R124" i="10"/>
  <c r="Q125" i="10"/>
  <c r="D126" i="14"/>
  <c r="Q126" i="10"/>
  <c r="Q127" i="10"/>
  <c r="Q128" i="10"/>
  <c r="D129" i="14"/>
  <c r="R129" i="14"/>
  <c r="Q129" i="10"/>
  <c r="Q130" i="10"/>
  <c r="Q131" i="10"/>
  <c r="Q132" i="10"/>
  <c r="Q133" i="10"/>
  <c r="D134" i="14"/>
  <c r="Q134" i="10"/>
  <c r="Q135" i="10"/>
  <c r="D136" i="14"/>
  <c r="R136" i="14"/>
  <c r="Q136" i="10"/>
  <c r="Q137" i="10"/>
  <c r="Q138" i="10"/>
  <c r="Q139" i="10"/>
  <c r="D140" i="14"/>
  <c r="Q140" i="10"/>
  <c r="D141" i="14"/>
  <c r="Q141" i="10"/>
  <c r="D142" i="14"/>
  <c r="Q142" i="10"/>
  <c r="Q143" i="10"/>
  <c r="D144" i="14"/>
  <c r="R144" i="14"/>
  <c r="Q144" i="10"/>
  <c r="D145" i="14"/>
  <c r="Q145" i="10"/>
  <c r="D146" i="14"/>
  <c r="Q148" i="10"/>
  <c r="Q149" i="10"/>
  <c r="D150" i="14"/>
  <c r="Q150" i="10"/>
  <c r="D151" i="14"/>
  <c r="Q151" i="10"/>
  <c r="D152" i="14"/>
  <c r="Q152" i="10"/>
  <c r="D154" i="14"/>
  <c r="Q153" i="10"/>
  <c r="Q154" i="10"/>
  <c r="D156" i="14"/>
  <c r="Q155" i="10"/>
  <c r="D157" i="14"/>
  <c r="Q156" i="10"/>
  <c r="Q157" i="10"/>
  <c r="D160" i="14"/>
  <c r="Q158" i="10"/>
  <c r="D161" i="14"/>
  <c r="Q159" i="10"/>
  <c r="Q160" i="10"/>
  <c r="D163" i="14"/>
  <c r="Q161" i="10"/>
  <c r="D164" i="14"/>
  <c r="Q162" i="10"/>
  <c r="D165" i="14"/>
  <c r="Q163" i="10"/>
  <c r="Q164" i="10"/>
  <c r="Q165" i="10"/>
  <c r="Q166" i="10"/>
  <c r="D170" i="14"/>
  <c r="Q167" i="10"/>
  <c r="Q168" i="10"/>
  <c r="Q169" i="10"/>
  <c r="D173" i="14"/>
  <c r="Q170" i="10"/>
  <c r="D174" i="14"/>
  <c r="Q171" i="10"/>
  <c r="Q173" i="10"/>
  <c r="D177" i="14"/>
  <c r="R177" i="14"/>
  <c r="Q176" i="10"/>
  <c r="Q177" i="10"/>
  <c r="D181" i="14"/>
  <c r="Q178" i="10"/>
  <c r="Q181" i="10"/>
  <c r="Q182" i="10"/>
  <c r="D186" i="14"/>
  <c r="R186" i="14"/>
  <c r="Q183" i="10"/>
  <c r="D187" i="14"/>
  <c r="Q184" i="10"/>
  <c r="Q185" i="10"/>
  <c r="Q186" i="10"/>
  <c r="Q187" i="10"/>
  <c r="D191" i="14"/>
  <c r="Q188" i="10"/>
  <c r="D192" i="14"/>
  <c r="Q189" i="10"/>
  <c r="Q190" i="10"/>
  <c r="Q192" i="10"/>
  <c r="Q193" i="10"/>
  <c r="D197" i="14"/>
  <c r="Q194" i="10"/>
  <c r="Q195" i="10"/>
  <c r="D199" i="14"/>
  <c r="Q196" i="10"/>
  <c r="Q198" i="10"/>
  <c r="Q199" i="10"/>
  <c r="Q200" i="10"/>
  <c r="Q201" i="10"/>
  <c r="D205" i="14"/>
  <c r="Q202" i="10"/>
  <c r="D206" i="14"/>
  <c r="R206" i="14"/>
  <c r="Q203" i="10"/>
  <c r="Q204" i="10"/>
  <c r="D208" i="14"/>
  <c r="Q205" i="10"/>
  <c r="Q206" i="10"/>
  <c r="Q207" i="10"/>
  <c r="D211" i="14"/>
  <c r="Q208" i="10"/>
  <c r="D212" i="14"/>
  <c r="Q209" i="10"/>
  <c r="Q210" i="10"/>
  <c r="D214" i="14"/>
  <c r="R214" i="14"/>
  <c r="Q211" i="10"/>
  <c r="D215" i="14"/>
  <c r="R215" i="14"/>
  <c r="Q212" i="10"/>
  <c r="D216" i="14"/>
  <c r="Q213" i="10"/>
  <c r="Q218" i="10"/>
  <c r="D222" i="14"/>
  <c r="Q219" i="10"/>
  <c r="Q221" i="10"/>
  <c r="Q223" i="10"/>
  <c r="Q224" i="10"/>
  <c r="D228" i="14"/>
  <c r="R228" i="14"/>
  <c r="Q225" i="10"/>
  <c r="Q226" i="10"/>
  <c r="D230" i="14"/>
  <c r="R230" i="14"/>
  <c r="Q227" i="10"/>
  <c r="Q228" i="10"/>
  <c r="D232" i="14"/>
  <c r="Q229" i="10"/>
  <c r="Q230" i="10"/>
  <c r="D234" i="14"/>
  <c r="Q231" i="10"/>
  <c r="Q233" i="10"/>
  <c r="D237" i="14"/>
  <c r="R237" i="14"/>
  <c r="Q234" i="10"/>
  <c r="Q235" i="10"/>
  <c r="D239" i="14"/>
  <c r="Q236" i="10"/>
  <c r="D240" i="14"/>
  <c r="Q237" i="10"/>
  <c r="D241" i="14"/>
  <c r="Q238" i="10"/>
  <c r="D242" i="14"/>
  <c r="R242" i="14"/>
  <c r="Q239" i="10"/>
  <c r="Q240" i="10"/>
  <c r="Q241" i="10"/>
  <c r="D245" i="14"/>
  <c r="R245" i="14"/>
  <c r="Q244" i="10"/>
  <c r="D248" i="14"/>
  <c r="R248" i="14"/>
  <c r="Q245" i="10"/>
  <c r="Q249" i="10"/>
  <c r="Q250" i="10"/>
  <c r="D254" i="14"/>
  <c r="R254" i="14"/>
  <c r="Q252" i="10"/>
  <c r="Q253" i="10"/>
  <c r="D257" i="14"/>
  <c r="Q254" i="10"/>
  <c r="Q2" i="7"/>
  <c r="R2" i="7"/>
  <c r="Q3" i="7"/>
  <c r="R3" i="7"/>
  <c r="Q4" i="7"/>
  <c r="Q5" i="7"/>
  <c r="R5" i="7"/>
  <c r="Q6" i="7"/>
  <c r="Q7" i="7"/>
  <c r="Q8" i="7"/>
  <c r="R8" i="7"/>
  <c r="Q9" i="7"/>
  <c r="Q10" i="7"/>
  <c r="R10" i="7"/>
  <c r="Q11" i="7"/>
  <c r="R11" i="7"/>
  <c r="Q12" i="7"/>
  <c r="R12" i="7"/>
  <c r="Q13" i="7"/>
  <c r="R13" i="7"/>
  <c r="Q14" i="7"/>
  <c r="R14" i="7"/>
  <c r="Q15" i="7"/>
  <c r="R15" i="7"/>
  <c r="Q16" i="7"/>
  <c r="R16" i="7"/>
  <c r="Q17" i="7"/>
  <c r="Q18" i="7"/>
  <c r="R18" i="7"/>
  <c r="Q19" i="7"/>
  <c r="R19" i="7"/>
  <c r="Q20" i="7"/>
  <c r="R20" i="7"/>
  <c r="Q21" i="7"/>
  <c r="R21" i="7"/>
  <c r="Q22" i="7"/>
  <c r="R22" i="7"/>
  <c r="Q23" i="7"/>
  <c r="R23" i="7"/>
  <c r="Q24" i="7"/>
  <c r="R24" i="7"/>
  <c r="Q25" i="7"/>
  <c r="Q26" i="7"/>
  <c r="R26" i="7"/>
  <c r="Q27" i="7"/>
  <c r="R27" i="7"/>
  <c r="Q28" i="7"/>
  <c r="R28" i="7"/>
  <c r="Q29" i="7"/>
  <c r="R29" i="7"/>
  <c r="Q30" i="7"/>
  <c r="R30" i="7"/>
  <c r="Q31" i="7"/>
  <c r="R31" i="7"/>
  <c r="Q32" i="7"/>
  <c r="R32" i="7"/>
  <c r="Q33" i="7"/>
  <c r="R33" i="7"/>
  <c r="Q34" i="7"/>
  <c r="R34" i="7"/>
  <c r="Q35" i="7"/>
  <c r="R35" i="7"/>
  <c r="Q36" i="7"/>
  <c r="R36" i="7"/>
  <c r="Q37" i="7"/>
  <c r="R37" i="7"/>
  <c r="Q38" i="7"/>
  <c r="Q39" i="7"/>
  <c r="R39" i="7"/>
  <c r="Q40" i="7"/>
  <c r="R40" i="7"/>
  <c r="Q41" i="7"/>
  <c r="Q42" i="7"/>
  <c r="Q43" i="7"/>
  <c r="R43" i="7"/>
  <c r="Q44" i="7"/>
  <c r="R44" i="7"/>
  <c r="Q45" i="7"/>
  <c r="Q46" i="7"/>
  <c r="Q47" i="7"/>
  <c r="R47" i="7"/>
  <c r="Q48" i="7"/>
  <c r="R48" i="7"/>
  <c r="Q49" i="7"/>
  <c r="R49" i="7"/>
  <c r="Q50" i="7"/>
  <c r="R50" i="7"/>
  <c r="Q51" i="7"/>
  <c r="R51" i="7"/>
  <c r="Q52" i="7"/>
  <c r="R52" i="7"/>
  <c r="Q53" i="7"/>
  <c r="R53" i="7"/>
  <c r="Q54" i="7"/>
  <c r="R54" i="7"/>
  <c r="Q55" i="7"/>
  <c r="R55" i="7"/>
  <c r="Q56" i="7"/>
  <c r="R56" i="7"/>
  <c r="Q57" i="7"/>
  <c r="Q59" i="7"/>
  <c r="R59" i="7"/>
  <c r="Q60" i="7"/>
  <c r="R60" i="7"/>
  <c r="Q61" i="7"/>
  <c r="Q62" i="7"/>
  <c r="R62" i="7"/>
  <c r="Q63" i="7"/>
  <c r="Q64" i="7"/>
  <c r="R64" i="7"/>
  <c r="Q65" i="7"/>
  <c r="R65" i="7"/>
  <c r="Q66" i="7"/>
  <c r="Q67" i="7"/>
  <c r="R67" i="7"/>
  <c r="Q68" i="7"/>
  <c r="R68" i="7"/>
  <c r="Q69" i="7"/>
  <c r="R69" i="7"/>
  <c r="Q70" i="7"/>
  <c r="R70" i="7"/>
  <c r="Q71" i="7"/>
  <c r="R71" i="7"/>
  <c r="Q72" i="7"/>
  <c r="R72" i="7"/>
  <c r="Q73" i="7"/>
  <c r="Q74" i="7"/>
  <c r="Q75" i="7"/>
  <c r="R75" i="7"/>
  <c r="Q76" i="7"/>
  <c r="R76" i="7"/>
  <c r="Q77" i="7"/>
  <c r="R77" i="7"/>
  <c r="Q78" i="7"/>
  <c r="R78" i="7"/>
  <c r="Q79" i="7"/>
  <c r="R79" i="7"/>
  <c r="Q80" i="7"/>
  <c r="R80" i="7"/>
  <c r="Q81" i="7"/>
  <c r="R81" i="7"/>
  <c r="Q82" i="7"/>
  <c r="R82" i="7"/>
  <c r="Q83" i="7"/>
  <c r="R83" i="7"/>
  <c r="Q84" i="7"/>
  <c r="Q85" i="7"/>
  <c r="Q86" i="7"/>
  <c r="Q87" i="7"/>
  <c r="R87" i="7"/>
  <c r="Q88" i="7"/>
  <c r="Q89" i="7"/>
  <c r="R89" i="7"/>
  <c r="Q90" i="7"/>
  <c r="R90" i="7"/>
  <c r="Q91" i="7"/>
  <c r="Q92" i="7"/>
  <c r="R92" i="7"/>
  <c r="Q93" i="7"/>
  <c r="R93" i="7"/>
  <c r="Q94" i="7"/>
  <c r="R94" i="7"/>
  <c r="Q95" i="7"/>
  <c r="R95" i="7"/>
  <c r="Q96" i="7"/>
  <c r="R96" i="7"/>
  <c r="Q97" i="7"/>
  <c r="R97" i="7"/>
  <c r="Q98" i="7"/>
  <c r="R98" i="7"/>
  <c r="Q99" i="7"/>
  <c r="R99" i="7"/>
  <c r="Q100" i="7"/>
  <c r="R100" i="7"/>
  <c r="Q101" i="7"/>
  <c r="R101" i="7"/>
  <c r="Q105" i="7"/>
  <c r="R105" i="7"/>
  <c r="R106" i="7"/>
  <c r="Q107" i="7"/>
  <c r="R107" i="7"/>
  <c r="Q108" i="7"/>
  <c r="R108" i="7"/>
  <c r="Q109" i="7"/>
  <c r="R109" i="7"/>
  <c r="Q110" i="7"/>
  <c r="Q111" i="7"/>
  <c r="R111" i="7"/>
  <c r="Q112" i="7"/>
  <c r="R112" i="7"/>
  <c r="Q113" i="7"/>
  <c r="Q114" i="7"/>
  <c r="R114" i="7"/>
  <c r="Q115" i="7"/>
  <c r="Q116" i="7"/>
  <c r="Q117" i="7"/>
  <c r="R117" i="7"/>
  <c r="Q118" i="7"/>
  <c r="R118" i="7"/>
  <c r="Q119" i="7"/>
  <c r="R119" i="7"/>
  <c r="Q120" i="7"/>
  <c r="Q121" i="7"/>
  <c r="R121" i="7"/>
  <c r="Q122" i="7"/>
  <c r="Q123" i="7"/>
  <c r="R123" i="7"/>
  <c r="Q124" i="7"/>
  <c r="R124" i="7"/>
  <c r="Q125" i="7"/>
  <c r="R125" i="7"/>
  <c r="Q126" i="7"/>
  <c r="Q127" i="7"/>
  <c r="Q128" i="7"/>
  <c r="R128" i="7"/>
  <c r="Q129" i="7"/>
  <c r="R129" i="7"/>
  <c r="Q130" i="7"/>
  <c r="R130" i="7"/>
  <c r="Q131" i="7"/>
  <c r="R131" i="7"/>
  <c r="Q132" i="7"/>
  <c r="R132" i="7"/>
  <c r="Q133" i="7"/>
  <c r="R133" i="7"/>
  <c r="Q134" i="7"/>
  <c r="R134" i="7"/>
  <c r="Q135" i="7"/>
  <c r="R135" i="7"/>
  <c r="Q136" i="7"/>
  <c r="Q137" i="7"/>
  <c r="R137" i="7"/>
  <c r="Q138" i="7"/>
  <c r="Q139" i="7"/>
  <c r="R139" i="7"/>
  <c r="Q140" i="7"/>
  <c r="R140" i="7"/>
  <c r="Q141" i="7"/>
  <c r="R141" i="7"/>
  <c r="Q142" i="7"/>
  <c r="R142" i="7"/>
  <c r="Q143" i="7"/>
  <c r="Q144" i="7"/>
  <c r="R144" i="7"/>
  <c r="Q145" i="7"/>
  <c r="Q146" i="7"/>
  <c r="R146" i="7"/>
  <c r="Q147" i="7"/>
  <c r="R147" i="7"/>
  <c r="Q148" i="7"/>
  <c r="R148" i="7"/>
  <c r="Q149" i="7"/>
  <c r="R149" i="7"/>
  <c r="Q150" i="7"/>
  <c r="Q151" i="7"/>
  <c r="R151" i="7"/>
  <c r="Q152" i="7"/>
  <c r="R152" i="7"/>
  <c r="Q153" i="7"/>
  <c r="Q154" i="7"/>
  <c r="Q155" i="7"/>
  <c r="R155" i="7"/>
  <c r="Q156" i="7"/>
  <c r="Q157" i="7"/>
  <c r="R157" i="7"/>
  <c r="Q158" i="7"/>
  <c r="R158" i="7"/>
  <c r="Q159" i="7"/>
  <c r="R159" i="7"/>
  <c r="Q160" i="7"/>
  <c r="R160" i="7"/>
  <c r="Q161" i="7"/>
  <c r="Q162" i="7"/>
  <c r="R162" i="7"/>
  <c r="Q163" i="7"/>
  <c r="R163" i="7"/>
  <c r="Q164" i="7"/>
  <c r="R164" i="7"/>
  <c r="Q165" i="7"/>
  <c r="R165" i="7"/>
  <c r="Q166" i="7"/>
  <c r="Q167" i="7"/>
  <c r="R167" i="7"/>
  <c r="Q168" i="7"/>
  <c r="R168" i="7"/>
  <c r="Q169" i="7"/>
  <c r="R169" i="7"/>
  <c r="Q170" i="7"/>
  <c r="R170" i="7"/>
  <c r="Q171" i="7"/>
  <c r="R171" i="7"/>
  <c r="Q173" i="7"/>
  <c r="R173" i="7"/>
  <c r="Q174" i="7"/>
  <c r="Q175" i="7"/>
  <c r="R175" i="7"/>
  <c r="Q176" i="7"/>
  <c r="R176" i="7"/>
  <c r="Q177" i="7"/>
  <c r="R177" i="7"/>
  <c r="Q178" i="7"/>
  <c r="R178" i="7"/>
  <c r="Q179" i="7"/>
  <c r="Q180" i="7"/>
  <c r="R180" i="7"/>
  <c r="Q181" i="7"/>
  <c r="R181" i="7"/>
  <c r="Q182" i="7"/>
  <c r="R182" i="7"/>
  <c r="Q183" i="7"/>
  <c r="R183" i="7"/>
  <c r="Q184" i="7"/>
  <c r="R184" i="7"/>
  <c r="Q185" i="7"/>
  <c r="R185" i="7"/>
  <c r="Q186" i="7"/>
  <c r="R186" i="7"/>
  <c r="Q187" i="7"/>
  <c r="Q188" i="7"/>
  <c r="R188" i="7"/>
  <c r="Q189" i="7"/>
  <c r="Q190" i="7"/>
  <c r="R190" i="7"/>
  <c r="Q191" i="7"/>
  <c r="R191" i="7"/>
  <c r="Q192" i="7"/>
  <c r="R192" i="7"/>
  <c r="Q193" i="7"/>
  <c r="Q194" i="7"/>
  <c r="R194" i="7"/>
  <c r="Q195" i="7"/>
  <c r="R195" i="7"/>
  <c r="Q196" i="7"/>
  <c r="Q197" i="7"/>
  <c r="R197" i="7"/>
  <c r="Q198" i="7"/>
  <c r="Q199" i="7"/>
  <c r="R199" i="7"/>
  <c r="Q200" i="7"/>
  <c r="R200" i="7"/>
  <c r="Q201" i="7"/>
  <c r="Q202" i="7"/>
  <c r="R202" i="7"/>
  <c r="Q203" i="7"/>
  <c r="Q204" i="7"/>
  <c r="R204" i="7"/>
  <c r="Q205" i="7"/>
  <c r="R205" i="7"/>
  <c r="Q206" i="7"/>
  <c r="R206" i="7"/>
  <c r="Q207" i="7"/>
  <c r="R207" i="7"/>
  <c r="Q208" i="7"/>
  <c r="Q209" i="7"/>
  <c r="R209" i="7"/>
  <c r="E210" i="7"/>
  <c r="F210" i="7"/>
  <c r="G210" i="7"/>
  <c r="H210" i="7"/>
  <c r="Q210" i="7"/>
  <c r="I210" i="7"/>
  <c r="J210" i="7"/>
  <c r="K210" i="7"/>
  <c r="L210" i="7"/>
  <c r="M210" i="7"/>
  <c r="N210" i="7"/>
  <c r="O210" i="7"/>
  <c r="P210" i="7"/>
  <c r="Q211" i="7"/>
  <c r="Q212" i="7"/>
  <c r="R212" i="7"/>
  <c r="Q213" i="7"/>
  <c r="R213" i="7"/>
  <c r="Q214" i="7"/>
  <c r="R214" i="7"/>
  <c r="Q215" i="7"/>
  <c r="Q216" i="7"/>
  <c r="R216" i="7"/>
  <c r="Q217" i="7"/>
  <c r="R217" i="7"/>
  <c r="Q218" i="7"/>
  <c r="R218" i="7"/>
  <c r="Q219" i="7"/>
  <c r="R219" i="7"/>
  <c r="Q220" i="7"/>
  <c r="Q221" i="7"/>
  <c r="R221" i="7"/>
  <c r="Q222" i="7"/>
  <c r="Q223" i="7"/>
  <c r="Q224" i="7"/>
  <c r="R224" i="7"/>
  <c r="Q225" i="7"/>
  <c r="Q226" i="7"/>
  <c r="Q227" i="7"/>
  <c r="Q228" i="7"/>
  <c r="Q229" i="7"/>
  <c r="R229" i="7"/>
  <c r="Q230" i="7"/>
  <c r="R230" i="7"/>
  <c r="Q231" i="7"/>
  <c r="R231" i="7"/>
  <c r="Q232" i="7"/>
  <c r="R232" i="7"/>
  <c r="Q233" i="7"/>
  <c r="Q234" i="7"/>
  <c r="R234" i="7"/>
  <c r="Q235" i="7"/>
  <c r="Q236" i="7"/>
  <c r="R236" i="7"/>
  <c r="Q237" i="7"/>
  <c r="Q238" i="7"/>
  <c r="R238" i="7"/>
  <c r="Q239" i="7"/>
  <c r="Q240" i="7"/>
  <c r="R240" i="7"/>
  <c r="Q241" i="7"/>
  <c r="R241" i="7"/>
  <c r="Q242" i="7"/>
  <c r="R242" i="7"/>
  <c r="Q243" i="7"/>
  <c r="R243" i="7"/>
  <c r="Q244" i="7"/>
  <c r="R244" i="7"/>
  <c r="Q245" i="7"/>
  <c r="R245" i="7"/>
  <c r="Q246" i="7"/>
  <c r="R246" i="7"/>
  <c r="Q247" i="7"/>
  <c r="Q249" i="7"/>
  <c r="R249" i="7"/>
  <c r="Q250" i="7"/>
  <c r="R250" i="7"/>
  <c r="Q22" i="8"/>
  <c r="Q92" i="10"/>
  <c r="D92" i="14"/>
  <c r="R92" i="14"/>
  <c r="R223" i="6"/>
  <c r="D220" i="8"/>
  <c r="R220" i="6"/>
  <c r="R190" i="6"/>
  <c r="R153" i="6"/>
  <c r="D137" i="8"/>
  <c r="R137" i="6"/>
  <c r="D97" i="8"/>
  <c r="R97" i="6"/>
  <c r="D89" i="8"/>
  <c r="R89" i="6"/>
  <c r="R73" i="6"/>
  <c r="D65" i="8"/>
  <c r="D56" i="8"/>
  <c r="D48" i="8"/>
  <c r="R48" i="8"/>
  <c r="D205" i="10"/>
  <c r="R215" i="6"/>
  <c r="D186" i="8"/>
  <c r="R149" i="6"/>
  <c r="R101" i="6"/>
  <c r="R93" i="6"/>
  <c r="R85" i="6"/>
  <c r="D240" i="10"/>
  <c r="R240" i="10"/>
  <c r="D133" i="10"/>
  <c r="D120" i="10"/>
  <c r="R120" i="10"/>
  <c r="D13" i="10"/>
  <c r="Q91" i="10"/>
  <c r="D91" i="14"/>
  <c r="R91" i="14"/>
  <c r="D101" i="8"/>
  <c r="Q97" i="8"/>
  <c r="R97" i="8"/>
  <c r="D243" i="8"/>
  <c r="R243" i="6"/>
  <c r="R227" i="6"/>
  <c r="D171" i="8"/>
  <c r="R171" i="8"/>
  <c r="D127" i="8"/>
  <c r="R127" i="8"/>
  <c r="R87" i="6"/>
  <c r="D79" i="8"/>
  <c r="D63" i="8"/>
  <c r="R63" i="6"/>
  <c r="D33" i="10"/>
  <c r="D77" i="8"/>
  <c r="D85" i="8"/>
  <c r="D182" i="8"/>
  <c r="D81" i="10"/>
  <c r="R228" i="7"/>
  <c r="R226" i="7"/>
  <c r="R150" i="7"/>
  <c r="D193" i="8"/>
  <c r="R193" i="8"/>
  <c r="D176" i="8"/>
  <c r="R176" i="6"/>
  <c r="D83" i="8"/>
  <c r="D50" i="8"/>
  <c r="D47" i="10"/>
  <c r="D43" i="10"/>
  <c r="D190" i="8"/>
  <c r="R190" i="8"/>
  <c r="D221" i="8"/>
  <c r="D189" i="10"/>
  <c r="R189" i="10"/>
  <c r="D178" i="10"/>
  <c r="R178" i="10"/>
  <c r="D248" i="8"/>
  <c r="R230" i="6"/>
  <c r="D110" i="10"/>
  <c r="D96" i="10"/>
  <c r="D55" i="10"/>
  <c r="R103" i="7"/>
  <c r="D134" i="8"/>
  <c r="R134" i="8"/>
  <c r="D7" i="8"/>
  <c r="D185" i="8"/>
  <c r="R185" i="8"/>
  <c r="D42" i="8"/>
  <c r="R42" i="8"/>
  <c r="D26" i="8"/>
  <c r="D18" i="8"/>
  <c r="R18" i="8"/>
  <c r="D14" i="8"/>
  <c r="D10" i="8"/>
  <c r="D6" i="8"/>
  <c r="D213" i="8"/>
  <c r="R212" i="6"/>
  <c r="R148" i="6"/>
  <c r="R27" i="6"/>
  <c r="D84" i="10"/>
  <c r="D52" i="10"/>
  <c r="R52" i="10"/>
  <c r="D212" i="8"/>
  <c r="D192" i="8"/>
  <c r="D245" i="10"/>
  <c r="R215" i="7"/>
  <c r="R25" i="6"/>
  <c r="D25" i="8"/>
  <c r="R225" i="7"/>
  <c r="D22" i="10"/>
  <c r="R227" i="7"/>
  <c r="R57" i="7"/>
  <c r="R246" i="6"/>
  <c r="R178" i="6"/>
  <c r="D32" i="8"/>
  <c r="R32" i="6"/>
  <c r="R241" i="6"/>
  <c r="R90" i="6"/>
  <c r="D90" i="8"/>
  <c r="R9" i="6"/>
  <c r="Q98" i="10"/>
  <c r="R7" i="7"/>
  <c r="D3" i="8"/>
  <c r="R3" i="8"/>
  <c r="R150" i="6"/>
  <c r="R28" i="6"/>
  <c r="D28" i="8"/>
  <c r="R28" i="8"/>
  <c r="D204" i="8"/>
  <c r="D31" i="8"/>
  <c r="D128" i="8"/>
  <c r="D60" i="8"/>
  <c r="R60" i="8"/>
  <c r="D55" i="8"/>
  <c r="R55" i="8"/>
  <c r="R24" i="6"/>
  <c r="R41" i="7"/>
  <c r="R201" i="7"/>
  <c r="D87" i="8"/>
  <c r="R141" i="6"/>
  <c r="R200" i="6"/>
  <c r="D200" i="8"/>
  <c r="R200" i="8"/>
  <c r="D123" i="8"/>
  <c r="R123" i="8"/>
  <c r="D86" i="8"/>
  <c r="R86" i="6"/>
  <c r="D39" i="8"/>
  <c r="R39" i="8"/>
  <c r="D204" i="10"/>
  <c r="Q94" i="10"/>
  <c r="D67" i="8"/>
  <c r="D9" i="10"/>
  <c r="D141" i="8"/>
  <c r="R202" i="6"/>
  <c r="R113" i="7"/>
  <c r="R6" i="7"/>
  <c r="R116" i="7"/>
  <c r="R61" i="7"/>
  <c r="R217" i="6"/>
  <c r="D217" i="8"/>
  <c r="D2" i="8"/>
  <c r="D23" i="10"/>
  <c r="D70" i="8"/>
  <c r="R36" i="6"/>
  <c r="D35" i="8"/>
  <c r="D166" i="8"/>
  <c r="R52" i="6"/>
  <c r="D52" i="8"/>
  <c r="R45" i="7"/>
  <c r="D162" i="8"/>
  <c r="R126" i="7"/>
  <c r="R233" i="6"/>
  <c r="R35" i="6"/>
  <c r="R29" i="6"/>
  <c r="D121" i="8"/>
  <c r="D113" i="8"/>
  <c r="Q85" i="8"/>
  <c r="Q80" i="8"/>
  <c r="D80" i="10"/>
  <c r="D245" i="8"/>
  <c r="R245" i="8"/>
  <c r="R84" i="7"/>
  <c r="R122" i="7"/>
  <c r="D87" i="10"/>
  <c r="R11" i="6"/>
  <c r="D11" i="8"/>
  <c r="D138" i="10"/>
  <c r="R138" i="10"/>
  <c r="R60" i="6"/>
  <c r="D82" i="8"/>
  <c r="R82" i="6"/>
  <c r="R198" i="7"/>
  <c r="R91" i="7"/>
  <c r="D211" i="8"/>
  <c r="R211" i="8"/>
  <c r="R2" i="6"/>
  <c r="D61" i="10"/>
  <c r="R61" i="10"/>
  <c r="D49" i="10"/>
  <c r="R49" i="10"/>
  <c r="Q87" i="10"/>
  <c r="D87" i="14"/>
  <c r="D104" i="10"/>
  <c r="R104" i="10"/>
  <c r="R239" i="7"/>
  <c r="R153" i="7"/>
  <c r="R117" i="6"/>
  <c r="R51" i="6"/>
  <c r="D44" i="8"/>
  <c r="R44" i="8"/>
  <c r="D236" i="10"/>
  <c r="R236" i="10"/>
  <c r="D173" i="10"/>
  <c r="D137" i="10"/>
  <c r="R137" i="10"/>
  <c r="D102" i="10"/>
  <c r="D51" i="8"/>
  <c r="R51" i="8"/>
  <c r="R25" i="7"/>
  <c r="D160" i="8"/>
  <c r="R160" i="6"/>
  <c r="D138" i="8"/>
  <c r="R138" i="8"/>
  <c r="R132" i="6"/>
  <c r="R119" i="6"/>
  <c r="R187" i="7"/>
  <c r="D167" i="10"/>
  <c r="R167" i="10"/>
  <c r="R86" i="7"/>
  <c r="D5" i="8"/>
  <c r="R5" i="6"/>
  <c r="D134" i="10"/>
  <c r="R134" i="10"/>
  <c r="D123" i="10"/>
  <c r="Q78" i="8"/>
  <c r="Q20" i="8"/>
  <c r="D205" i="8"/>
  <c r="R205" i="8"/>
  <c r="R205" i="6"/>
  <c r="R168" i="6"/>
  <c r="D228" i="8"/>
  <c r="R228" i="8"/>
  <c r="R201" i="6"/>
  <c r="D201" i="8"/>
  <c r="R201" i="8"/>
  <c r="R186" i="6"/>
  <c r="R81" i="6"/>
  <c r="R59" i="6"/>
  <c r="D59" i="8"/>
  <c r="D227" i="8"/>
  <c r="R227" i="8"/>
  <c r="R114" i="10"/>
  <c r="R21" i="6"/>
  <c r="D21" i="8"/>
  <c r="D182" i="10"/>
  <c r="R182" i="10"/>
  <c r="Q83" i="8"/>
  <c r="D83" i="10"/>
  <c r="D78" i="8"/>
  <c r="R78" i="6"/>
  <c r="R20" i="6"/>
  <c r="D20" i="8"/>
  <c r="Q70" i="10"/>
  <c r="D70" i="14"/>
  <c r="Q75" i="10"/>
  <c r="Q99" i="10"/>
  <c r="D99" i="14"/>
  <c r="R99" i="14"/>
  <c r="Q73" i="10"/>
  <c r="Q67" i="10"/>
  <c r="Q93" i="10"/>
  <c r="D93" i="14"/>
  <c r="Q85" i="10"/>
  <c r="Q101" i="10"/>
  <c r="D101" i="14"/>
  <c r="D97" i="14"/>
  <c r="D94" i="14"/>
  <c r="R94" i="14"/>
  <c r="D81" i="14"/>
  <c r="R81" i="14"/>
  <c r="R98" i="6"/>
  <c r="R247" i="7"/>
  <c r="R110" i="7"/>
  <c r="D100" i="8"/>
  <c r="D139" i="10"/>
  <c r="D27" i="10"/>
  <c r="R27" i="10"/>
  <c r="D18" i="10"/>
  <c r="D94" i="8"/>
  <c r="R179" i="7"/>
  <c r="D216" i="8"/>
  <c r="R216" i="6"/>
  <c r="D202" i="8"/>
  <c r="R202" i="8"/>
  <c r="R171" i="6"/>
  <c r="D74" i="8"/>
  <c r="R74" i="6"/>
  <c r="D69" i="8"/>
  <c r="R69" i="6"/>
  <c r="R94" i="6"/>
  <c r="R223" i="7"/>
  <c r="R143" i="7"/>
  <c r="R46" i="7"/>
  <c r="R42" i="7"/>
  <c r="R195" i="6"/>
  <c r="R165" i="6"/>
  <c r="R220" i="7"/>
  <c r="D209" i="10"/>
  <c r="D185" i="10"/>
  <c r="Q90" i="10"/>
  <c r="D90" i="14"/>
  <c r="R90" i="14"/>
  <c r="R66" i="6"/>
  <c r="R17" i="6"/>
  <c r="D17" i="8"/>
  <c r="R17" i="8"/>
  <c r="D112" i="14"/>
  <c r="R112" i="14"/>
  <c r="D142" i="10"/>
  <c r="R142" i="10"/>
  <c r="D85" i="14"/>
  <c r="Q54" i="14"/>
  <c r="D55" i="16"/>
  <c r="Q52" i="14"/>
  <c r="D53" i="16"/>
  <c r="R53" i="16"/>
  <c r="D198" i="14"/>
  <c r="Q202" i="14"/>
  <c r="D210" i="16"/>
  <c r="Q168" i="14"/>
  <c r="D172" i="16"/>
  <c r="R233" i="7"/>
  <c r="D238" i="14"/>
  <c r="R238" i="14"/>
  <c r="R193" i="7"/>
  <c r="R161" i="7"/>
  <c r="R136" i="7"/>
  <c r="R208" i="7"/>
  <c r="D131" i="14"/>
  <c r="R131" i="14"/>
  <c r="D127" i="14"/>
  <c r="D123" i="14"/>
  <c r="R123" i="14"/>
  <c r="D119" i="14"/>
  <c r="R119" i="14"/>
  <c r="D113" i="14"/>
  <c r="D108" i="14"/>
  <c r="R138" i="7"/>
  <c r="D95" i="10"/>
  <c r="R235" i="7"/>
  <c r="R154" i="7"/>
  <c r="R115" i="7"/>
  <c r="R189" i="7"/>
  <c r="R156" i="7"/>
  <c r="R85" i="7"/>
  <c r="R17" i="7"/>
  <c r="D17" i="14"/>
  <c r="D197" i="8"/>
  <c r="R197" i="8"/>
  <c r="R197" i="6"/>
  <c r="D189" i="8"/>
  <c r="R189" i="8"/>
  <c r="R189" i="6"/>
  <c r="R185" i="6"/>
  <c r="D120" i="8"/>
  <c r="R120" i="8"/>
  <c r="R120" i="6"/>
  <c r="D116" i="8"/>
  <c r="R116" i="8"/>
  <c r="R116" i="6"/>
  <c r="R22" i="8"/>
  <c r="D73" i="14"/>
  <c r="D256" i="14"/>
  <c r="R256" i="14"/>
  <c r="D235" i="14"/>
  <c r="R235" i="14"/>
  <c r="D229" i="14"/>
  <c r="R229" i="14"/>
  <c r="D223" i="14"/>
  <c r="R223" i="14"/>
  <c r="D193" i="14"/>
  <c r="D189" i="14"/>
  <c r="R189" i="14"/>
  <c r="D56" i="14"/>
  <c r="R56" i="14"/>
  <c r="D45" i="14"/>
  <c r="R45" i="14"/>
  <c r="D251" i="8"/>
  <c r="R251" i="8"/>
  <c r="D258" i="14"/>
  <c r="R258" i="14"/>
  <c r="D253" i="14"/>
  <c r="D244" i="14"/>
  <c r="D231" i="14"/>
  <c r="R231" i="14"/>
  <c r="D162" i="14"/>
  <c r="D153" i="14"/>
  <c r="D138" i="14"/>
  <c r="D130" i="14"/>
  <c r="D116" i="14"/>
  <c r="D36" i="14"/>
  <c r="D16" i="14"/>
  <c r="D13" i="14"/>
  <c r="R13" i="14"/>
  <c r="D9" i="14"/>
  <c r="D75" i="14"/>
  <c r="D99" i="10"/>
  <c r="D249" i="14"/>
  <c r="D210" i="14"/>
  <c r="R210" i="14"/>
  <c r="D194" i="14"/>
  <c r="R194" i="14"/>
  <c r="D190" i="14"/>
  <c r="D180" i="14"/>
  <c r="R180" i="14"/>
  <c r="D169" i="14"/>
  <c r="R169" i="14"/>
  <c r="D137" i="14"/>
  <c r="R137" i="14"/>
  <c r="D133" i="14"/>
  <c r="R133" i="14"/>
  <c r="D53" i="14"/>
  <c r="R46" i="14"/>
  <c r="R219" i="6"/>
  <c r="D219" i="8"/>
  <c r="D36" i="8"/>
  <c r="R36" i="8"/>
  <c r="Q82" i="8"/>
  <c r="D250" i="14"/>
  <c r="D227" i="14"/>
  <c r="R227" i="14"/>
  <c r="D217" i="14"/>
  <c r="D204" i="14"/>
  <c r="R204" i="14"/>
  <c r="D200" i="14"/>
  <c r="D188" i="14"/>
  <c r="D185" i="14"/>
  <c r="R185" i="14"/>
  <c r="D168" i="14"/>
  <c r="D155" i="14"/>
  <c r="R155" i="14"/>
  <c r="D125" i="14"/>
  <c r="D118" i="14"/>
  <c r="D115" i="14"/>
  <c r="R115" i="14"/>
  <c r="D107" i="14"/>
  <c r="D51" i="14"/>
  <c r="D35" i="14"/>
  <c r="R35" i="14"/>
  <c r="D29" i="14"/>
  <c r="D8" i="14"/>
  <c r="D110" i="8"/>
  <c r="R110" i="8"/>
  <c r="D3" i="14"/>
  <c r="D143" i="14"/>
  <c r="D233" i="14"/>
  <c r="D213" i="14"/>
  <c r="R211" i="14"/>
  <c r="D207" i="14"/>
  <c r="D203" i="14"/>
  <c r="D196" i="14"/>
  <c r="R196" i="14"/>
  <c r="D175" i="14"/>
  <c r="D171" i="14"/>
  <c r="D167" i="14"/>
  <c r="D158" i="14"/>
  <c r="D139" i="14"/>
  <c r="D135" i="14"/>
  <c r="D117" i="14"/>
  <c r="D106" i="14"/>
  <c r="D61" i="14"/>
  <c r="D43" i="14"/>
  <c r="D37" i="14"/>
  <c r="D25" i="14"/>
  <c r="D21" i="14"/>
  <c r="D15" i="14"/>
  <c r="D19" i="14"/>
  <c r="R19" i="14"/>
  <c r="D147" i="14"/>
  <c r="R147" i="14"/>
  <c r="R203" i="7"/>
  <c r="R88" i="7"/>
  <c r="D224" i="14"/>
  <c r="R224" i="14"/>
  <c r="R74" i="7"/>
  <c r="R63" i="7"/>
  <c r="R120" i="7"/>
  <c r="R4" i="7"/>
  <c r="D208" i="8"/>
  <c r="R208" i="8"/>
  <c r="R208" i="6"/>
  <c r="R204" i="6"/>
  <c r="D231" i="10"/>
  <c r="R231" i="10"/>
  <c r="R154" i="6"/>
  <c r="R41" i="6"/>
  <c r="R55" i="6"/>
  <c r="D104" i="14"/>
  <c r="D4" i="14"/>
  <c r="R4" i="14"/>
  <c r="D12" i="14"/>
  <c r="D62" i="14"/>
  <c r="R62" i="14"/>
  <c r="D41" i="14"/>
  <c r="R41" i="14"/>
  <c r="D57" i="14"/>
  <c r="D23" i="14"/>
  <c r="D149" i="14"/>
  <c r="Q64" i="14"/>
  <c r="D66" i="16"/>
  <c r="Q197" i="14"/>
  <c r="D205" i="16"/>
  <c r="D243" i="14"/>
  <c r="D20" i="14"/>
  <c r="R66" i="7"/>
  <c r="R232" i="6"/>
  <c r="D98" i="14"/>
  <c r="R242" i="6"/>
  <c r="D242" i="8"/>
  <c r="D218" i="10"/>
  <c r="R218" i="10"/>
  <c r="D182" i="14"/>
  <c r="R34" i="10"/>
  <c r="D194" i="10"/>
  <c r="D67" i="14"/>
  <c r="D32" i="14"/>
  <c r="D148" i="10"/>
  <c r="R148" i="10"/>
  <c r="D98" i="10"/>
  <c r="R166" i="7"/>
  <c r="R198" i="6"/>
  <c r="D97" i="10"/>
  <c r="D125" i="8"/>
  <c r="D223" i="10"/>
  <c r="R223" i="10"/>
  <c r="D194" i="8"/>
  <c r="R194" i="8"/>
  <c r="R222" i="7"/>
  <c r="D28" i="14"/>
  <c r="D39" i="10"/>
  <c r="D187" i="16"/>
  <c r="R195" i="14"/>
  <c r="D203" i="16"/>
  <c r="D88" i="16"/>
  <c r="R88" i="16"/>
  <c r="D226" i="16"/>
  <c r="D44" i="16"/>
  <c r="D263" i="16"/>
  <c r="D240" i="16"/>
  <c r="R240" i="16"/>
  <c r="D235" i="16"/>
  <c r="R235" i="16"/>
  <c r="D225" i="16"/>
  <c r="R225" i="16"/>
  <c r="D217" i="16"/>
  <c r="D194" i="16"/>
  <c r="D239" i="16"/>
  <c r="D212" i="16"/>
  <c r="D206" i="16"/>
  <c r="D178" i="16"/>
  <c r="R178" i="16"/>
  <c r="D255" i="16"/>
  <c r="D8" i="16"/>
  <c r="D12" i="16"/>
  <c r="D215" i="16"/>
  <c r="D243" i="16"/>
  <c r="R243" i="16"/>
  <c r="D204" i="16"/>
  <c r="R204" i="16"/>
  <c r="D259" i="16"/>
  <c r="D25" i="16"/>
  <c r="D37" i="16"/>
  <c r="D49" i="16"/>
  <c r="D219" i="16"/>
  <c r="D265" i="16"/>
  <c r="R265" i="16"/>
  <c r="D249" i="16"/>
  <c r="D232" i="16"/>
  <c r="D222" i="16"/>
  <c r="R214" i="16"/>
  <c r="D208" i="16"/>
  <c r="D18" i="16"/>
  <c r="D38" i="16"/>
  <c r="D42" i="16"/>
  <c r="D62" i="16"/>
  <c r="R62" i="16"/>
  <c r="D67" i="16"/>
  <c r="D223" i="16"/>
  <c r="R223" i="16"/>
  <c r="D256" i="16"/>
  <c r="D198" i="16"/>
  <c r="D186" i="16"/>
  <c r="D199" i="16"/>
  <c r="D174" i="16"/>
  <c r="D134" i="16"/>
  <c r="D82" i="16"/>
  <c r="D147" i="16"/>
  <c r="D146" i="16"/>
  <c r="R129" i="16"/>
  <c r="D149" i="16"/>
  <c r="R149" i="16"/>
  <c r="D143" i="16"/>
  <c r="R143" i="16"/>
  <c r="D131" i="16"/>
  <c r="R131" i="16"/>
  <c r="D130" i="16"/>
  <c r="D102" i="16"/>
  <c r="R102" i="16"/>
  <c r="D75" i="16"/>
  <c r="D114" i="16"/>
  <c r="D92" i="16"/>
  <c r="D72" i="16"/>
  <c r="D89" i="16"/>
  <c r="R89" i="16"/>
  <c r="D122" i="16"/>
  <c r="D124" i="16"/>
  <c r="D76" i="16"/>
  <c r="D105" i="16"/>
  <c r="D84" i="16"/>
  <c r="D70" i="16"/>
  <c r="D41" i="16"/>
  <c r="R41" i="16"/>
  <c r="D26" i="16"/>
  <c r="R26" i="16"/>
  <c r="R13" i="16"/>
  <c r="D261" i="16"/>
  <c r="D15" i="16"/>
  <c r="D234" i="16"/>
  <c r="D46" i="16"/>
  <c r="R46" i="16"/>
  <c r="D107" i="16"/>
  <c r="D164" i="16"/>
  <c r="R164" i="16"/>
  <c r="D162" i="16"/>
  <c r="D155" i="16"/>
  <c r="R18" i="14"/>
  <c r="Q201" i="16"/>
  <c r="R205" i="18"/>
  <c r="D91" i="16"/>
  <c r="D83" i="19"/>
  <c r="D81" i="19"/>
  <c r="D82" i="19"/>
  <c r="D198" i="19"/>
  <c r="R187" i="18"/>
  <c r="R181" i="18"/>
  <c r="D202" i="19"/>
  <c r="D207" i="19"/>
  <c r="D213" i="19"/>
  <c r="D218" i="19"/>
  <c r="R218" i="19"/>
  <c r="D252" i="19"/>
  <c r="R269" i="18"/>
  <c r="R272" i="18"/>
  <c r="R273" i="18"/>
  <c r="D221" i="19"/>
  <c r="D78" i="19"/>
  <c r="R200" i="18"/>
  <c r="D291" i="19"/>
  <c r="D295" i="19"/>
  <c r="R182" i="18"/>
  <c r="D204" i="19"/>
  <c r="R204" i="19"/>
  <c r="D258" i="19"/>
  <c r="D263" i="19"/>
  <c r="R263" i="19"/>
  <c r="R150" i="16"/>
  <c r="D261" i="19"/>
  <c r="R243" i="18"/>
  <c r="D250" i="19"/>
  <c r="D271" i="19"/>
  <c r="R271" i="19"/>
  <c r="D245" i="19"/>
  <c r="R245" i="19"/>
  <c r="D235" i="19"/>
  <c r="R235" i="19"/>
  <c r="R213" i="18"/>
  <c r="D253" i="19"/>
  <c r="R253" i="19"/>
  <c r="D242" i="19"/>
  <c r="R219" i="18"/>
  <c r="D277" i="19"/>
  <c r="R211" i="18"/>
  <c r="R223" i="18"/>
  <c r="D249" i="19"/>
  <c r="D236" i="19"/>
  <c r="R247" i="18"/>
  <c r="R225" i="18"/>
  <c r="R235" i="18"/>
  <c r="D257" i="19"/>
  <c r="R257" i="19"/>
  <c r="D262" i="19"/>
  <c r="R262" i="19"/>
  <c r="D269" i="19"/>
  <c r="D241" i="19"/>
  <c r="R241" i="19"/>
  <c r="D270" i="19"/>
  <c r="R270" i="19"/>
  <c r="D254" i="19"/>
  <c r="R254" i="19"/>
  <c r="R227" i="18"/>
  <c r="R237" i="18"/>
  <c r="D230" i="19"/>
  <c r="R234" i="18"/>
  <c r="D243" i="19"/>
  <c r="R252" i="18"/>
  <c r="D285" i="19"/>
  <c r="D256" i="19"/>
  <c r="D239" i="19"/>
  <c r="R239" i="19"/>
  <c r="D265" i="19"/>
  <c r="R266" i="18"/>
  <c r="D284" i="19"/>
  <c r="D266" i="19"/>
  <c r="R266" i="19"/>
  <c r="R30" i="19"/>
  <c r="D179" i="10"/>
  <c r="R179" i="8"/>
  <c r="D151" i="8"/>
  <c r="R47" i="6"/>
  <c r="D47" i="8"/>
  <c r="R47" i="8"/>
  <c r="D143" i="10"/>
  <c r="D3" i="10"/>
  <c r="R3" i="10"/>
  <c r="R196" i="18"/>
  <c r="D136" i="19"/>
  <c r="R114" i="18"/>
  <c r="R222" i="18"/>
  <c r="D205" i="18"/>
  <c r="R92" i="16"/>
  <c r="D69" i="14"/>
  <c r="Q64" i="10"/>
  <c r="R211" i="7"/>
  <c r="R245" i="6"/>
  <c r="R128" i="6"/>
  <c r="R124" i="6"/>
  <c r="D124" i="8"/>
  <c r="R124" i="8"/>
  <c r="Q243" i="10"/>
  <c r="D247" i="14"/>
  <c r="R174" i="7"/>
  <c r="R127" i="7"/>
  <c r="R73" i="7"/>
  <c r="R38" i="7"/>
  <c r="R252" i="6"/>
  <c r="D252" i="8"/>
  <c r="R252" i="8"/>
  <c r="R193" i="6"/>
  <c r="R37" i="6"/>
  <c r="R145" i="7"/>
  <c r="R247" i="6"/>
  <c r="Q159" i="8"/>
  <c r="D231" i="8"/>
  <c r="R231" i="8"/>
  <c r="D223" i="8"/>
  <c r="R223" i="8"/>
  <c r="D35" i="10"/>
  <c r="R109" i="10"/>
  <c r="D31" i="16"/>
  <c r="D39" i="16"/>
  <c r="D242" i="18"/>
  <c r="D156" i="18"/>
  <c r="D59" i="16"/>
  <c r="R59" i="16"/>
  <c r="R231" i="18"/>
  <c r="D231" i="18"/>
  <c r="D241" i="18"/>
  <c r="D233" i="18"/>
  <c r="D192" i="18"/>
  <c r="R120" i="16"/>
  <c r="D114" i="18"/>
  <c r="R57" i="18"/>
  <c r="D79" i="19"/>
  <c r="R79" i="19"/>
  <c r="R263" i="18"/>
  <c r="R155" i="18"/>
  <c r="R7" i="18"/>
  <c r="D21" i="18"/>
  <c r="D18" i="18"/>
  <c r="D10" i="18"/>
  <c r="D215" i="18"/>
  <c r="R59" i="18"/>
  <c r="R170" i="18"/>
  <c r="R167" i="18"/>
  <c r="R249" i="18"/>
  <c r="D249" i="18"/>
  <c r="D59" i="18"/>
  <c r="D31" i="18"/>
  <c r="D220" i="18"/>
  <c r="R159" i="18"/>
  <c r="D28" i="19"/>
  <c r="R28" i="19"/>
  <c r="D34" i="19"/>
  <c r="R12" i="18"/>
  <c r="R208" i="18"/>
  <c r="D200" i="19"/>
  <c r="D219" i="19"/>
  <c r="R219" i="19"/>
  <c r="R3" i="18"/>
  <c r="D41" i="19"/>
  <c r="D192" i="19"/>
  <c r="R193" i="18"/>
  <c r="D209" i="19"/>
  <c r="R209" i="19"/>
  <c r="D158" i="19"/>
  <c r="D37" i="19"/>
  <c r="D64" i="18"/>
  <c r="R64" i="16"/>
  <c r="R19" i="18"/>
  <c r="R13" i="18"/>
  <c r="R44" i="18"/>
  <c r="D53" i="19"/>
  <c r="D49" i="19"/>
  <c r="D45" i="19"/>
  <c r="R34" i="18"/>
  <c r="D62" i="19"/>
  <c r="R260" i="18"/>
  <c r="D126" i="19"/>
  <c r="D194" i="19"/>
  <c r="D69" i="19"/>
  <c r="D61" i="19"/>
  <c r="R161" i="18"/>
  <c r="D25" i="19"/>
  <c r="D193" i="19"/>
  <c r="D31" i="19"/>
  <c r="R160" i="18"/>
  <c r="R94" i="8"/>
  <c r="D64" i="14"/>
  <c r="D244" i="16"/>
  <c r="R244" i="16"/>
  <c r="R242" i="10"/>
  <c r="Q179" i="6"/>
  <c r="R179" i="6"/>
  <c r="D185" i="18"/>
  <c r="D116" i="18"/>
  <c r="D134" i="19"/>
  <c r="D161" i="16"/>
  <c r="D203" i="19"/>
  <c r="R203" i="19"/>
  <c r="D217" i="19"/>
  <c r="D161" i="19"/>
  <c r="D171" i="18"/>
  <c r="R169" i="16"/>
  <c r="R257" i="18"/>
  <c r="R45" i="18"/>
  <c r="D149" i="19"/>
  <c r="R285" i="19"/>
  <c r="R230" i="19"/>
  <c r="R250" i="19"/>
  <c r="R242" i="19"/>
  <c r="R100" i="8"/>
  <c r="D38" i="8"/>
  <c r="R34" i="6"/>
  <c r="R226" i="6"/>
  <c r="D131" i="8"/>
  <c r="R12" i="6"/>
  <c r="R152" i="6"/>
  <c r="R57" i="6"/>
  <c r="R196" i="6"/>
  <c r="D158" i="8"/>
  <c r="R118" i="6"/>
  <c r="R188" i="6"/>
  <c r="R184" i="6"/>
  <c r="R126" i="6"/>
  <c r="D135" i="8"/>
  <c r="R135" i="8"/>
  <c r="D173" i="8"/>
  <c r="R173" i="8"/>
  <c r="R203" i="6"/>
  <c r="D183" i="8"/>
  <c r="D144" i="8"/>
  <c r="R144" i="8"/>
  <c r="R49" i="6"/>
  <c r="R236" i="6"/>
  <c r="R115" i="6"/>
  <c r="R15" i="6"/>
  <c r="D177" i="8"/>
  <c r="R177" i="8"/>
  <c r="R187" i="6"/>
  <c r="R174" i="6"/>
  <c r="D16" i="8"/>
  <c r="D61" i="8"/>
  <c r="R61" i="8"/>
  <c r="R75" i="6"/>
  <c r="D159" i="8"/>
  <c r="D240" i="8"/>
  <c r="R240" i="8"/>
  <c r="D244" i="8"/>
  <c r="D234" i="8"/>
  <c r="R142" i="6"/>
  <c r="R219" i="8"/>
  <c r="D237" i="8"/>
  <c r="R237" i="8"/>
  <c r="R84" i="6"/>
  <c r="D145" i="8"/>
  <c r="R145" i="8"/>
  <c r="R155" i="6"/>
  <c r="D68" i="8"/>
  <c r="R40" i="6"/>
  <c r="D45" i="8"/>
  <c r="R111" i="6"/>
  <c r="D169" i="8"/>
  <c r="R169" i="8"/>
  <c r="R220" i="8"/>
  <c r="Q164" i="6"/>
  <c r="R14" i="8"/>
  <c r="D14" i="10"/>
  <c r="R232" i="8"/>
  <c r="D220" i="10"/>
  <c r="R220" i="10"/>
  <c r="Q64" i="8"/>
  <c r="R64" i="8"/>
  <c r="Q154" i="8"/>
  <c r="Q66" i="8"/>
  <c r="D66" i="10"/>
  <c r="R38" i="8"/>
  <c r="R2" i="8"/>
  <c r="R79" i="8"/>
  <c r="D141" i="10"/>
  <c r="R141" i="8"/>
  <c r="R34" i="8"/>
  <c r="R226" i="8"/>
  <c r="D226" i="10"/>
  <c r="R184" i="8"/>
  <c r="D184" i="10"/>
  <c r="R184" i="10"/>
  <c r="R244" i="8"/>
  <c r="Q215" i="8"/>
  <c r="D215" i="10"/>
  <c r="R215" i="10"/>
  <c r="R238" i="8"/>
  <c r="Q246" i="8"/>
  <c r="R246" i="8"/>
  <c r="Q180" i="8"/>
  <c r="Q164" i="8"/>
  <c r="D164" i="10"/>
  <c r="Q161" i="8"/>
  <c r="D161" i="10"/>
  <c r="Q157" i="8"/>
  <c r="R157" i="8"/>
  <c r="Q153" i="8"/>
  <c r="Q77" i="8"/>
  <c r="R77" i="8"/>
  <c r="Q73" i="8"/>
  <c r="R73" i="8"/>
  <c r="Q69" i="8"/>
  <c r="D69" i="10"/>
  <c r="Q65" i="8"/>
  <c r="R37" i="8"/>
  <c r="R21" i="8"/>
  <c r="R59" i="8"/>
  <c r="R20" i="8"/>
  <c r="R126" i="8"/>
  <c r="D254" i="10"/>
  <c r="R254" i="10"/>
  <c r="R204" i="8"/>
  <c r="R16" i="8"/>
  <c r="Q162" i="8"/>
  <c r="Q75" i="8"/>
  <c r="D75" i="10"/>
  <c r="R75" i="10"/>
  <c r="Q74" i="8"/>
  <c r="R74" i="8"/>
  <c r="R230" i="8"/>
  <c r="R196" i="8"/>
  <c r="R188" i="8"/>
  <c r="R178" i="8"/>
  <c r="R12" i="8"/>
  <c r="Q213" i="8"/>
  <c r="D213" i="10"/>
  <c r="R213" i="10"/>
  <c r="Q216" i="8"/>
  <c r="Q175" i="8"/>
  <c r="D175" i="10"/>
  <c r="R98" i="8"/>
  <c r="R125" i="8"/>
  <c r="D219" i="10"/>
  <c r="R219" i="10"/>
  <c r="R52" i="8"/>
  <c r="R87" i="8"/>
  <c r="R10" i="8"/>
  <c r="R26" i="8"/>
  <c r="R56" i="8"/>
  <c r="R89" i="8"/>
  <c r="R137" i="8"/>
  <c r="Q199" i="8"/>
  <c r="D199" i="10"/>
  <c r="R199" i="10"/>
  <c r="R111" i="8"/>
  <c r="R40" i="8"/>
  <c r="R33" i="8"/>
  <c r="R222" i="10"/>
  <c r="D226" i="14"/>
  <c r="R226" i="14"/>
  <c r="R198" i="10"/>
  <c r="R147" i="10"/>
  <c r="D60" i="14"/>
  <c r="R60" i="10"/>
  <c r="R237" i="10"/>
  <c r="R224" i="10"/>
  <c r="R202" i="10"/>
  <c r="R190" i="14"/>
  <c r="R113" i="14"/>
  <c r="Q180" i="10"/>
  <c r="D184" i="14"/>
  <c r="D47" i="14"/>
  <c r="R43" i="10"/>
  <c r="R246" i="10"/>
  <c r="Q72" i="10"/>
  <c r="D72" i="14"/>
  <c r="R204" i="10"/>
  <c r="D202" i="14"/>
  <c r="R202" i="14"/>
  <c r="R145" i="10"/>
  <c r="R233" i="10"/>
  <c r="R18" i="10"/>
  <c r="R23" i="10"/>
  <c r="R200" i="10"/>
  <c r="R110" i="10"/>
  <c r="R133" i="10"/>
  <c r="R252" i="10"/>
  <c r="R181" i="10"/>
  <c r="D172" i="14"/>
  <c r="R172" i="14"/>
  <c r="R168" i="10"/>
  <c r="R127" i="10"/>
  <c r="R123" i="10"/>
  <c r="R119" i="10"/>
  <c r="D120" i="14"/>
  <c r="R208" i="10"/>
  <c r="R46" i="10"/>
  <c r="R17" i="10"/>
  <c r="Q66" i="10"/>
  <c r="D66" i="14"/>
  <c r="Q65" i="10"/>
  <c r="D65" i="14"/>
  <c r="Q248" i="10"/>
  <c r="D252" i="14"/>
  <c r="R252" i="14"/>
  <c r="Q63" i="10"/>
  <c r="D63" i="14"/>
  <c r="Q74" i="10"/>
  <c r="D74" i="14"/>
  <c r="Q68" i="10"/>
  <c r="D68" i="14"/>
  <c r="Q77" i="10"/>
  <c r="D77" i="14"/>
  <c r="Q174" i="10"/>
  <c r="D178" i="14"/>
  <c r="R178" i="14"/>
  <c r="Q232" i="10"/>
  <c r="Q214" i="10"/>
  <c r="D218" i="14"/>
  <c r="R218" i="14"/>
  <c r="Q217" i="10"/>
  <c r="D221" i="14"/>
  <c r="Q175" i="10"/>
  <c r="D179" i="14"/>
  <c r="R179" i="14"/>
  <c r="R35" i="10"/>
  <c r="R39" i="10"/>
  <c r="R9" i="10"/>
  <c r="R245" i="10"/>
  <c r="R54" i="10"/>
  <c r="R13" i="10"/>
  <c r="R205" i="10"/>
  <c r="R48" i="10"/>
  <c r="R244" i="10"/>
  <c r="R229" i="10"/>
  <c r="R211" i="10"/>
  <c r="R203" i="10"/>
  <c r="R196" i="10"/>
  <c r="R187" i="10"/>
  <c r="R177" i="10"/>
  <c r="R170" i="10"/>
  <c r="R132" i="10"/>
  <c r="R125" i="10"/>
  <c r="R122" i="10"/>
  <c r="R118" i="10"/>
  <c r="R112" i="10"/>
  <c r="R53" i="10"/>
  <c r="R45" i="10"/>
  <c r="R41" i="10"/>
  <c r="R29" i="10"/>
  <c r="R25" i="10"/>
  <c r="R19" i="10"/>
  <c r="R16" i="10"/>
  <c r="R69" i="10"/>
  <c r="R187" i="14"/>
  <c r="R157" i="18"/>
  <c r="D157" i="18"/>
  <c r="R61" i="18"/>
  <c r="R61" i="16"/>
  <c r="D47" i="18"/>
  <c r="R47" i="18"/>
  <c r="R197" i="18"/>
  <c r="D197" i="18"/>
  <c r="R153" i="18"/>
  <c r="D224" i="18"/>
  <c r="R224" i="18"/>
  <c r="D22" i="18"/>
  <c r="R22" i="18"/>
  <c r="D15" i="18"/>
  <c r="R15" i="18"/>
  <c r="D54" i="18"/>
  <c r="R54" i="18"/>
  <c r="R180" i="16"/>
  <c r="R183" i="18"/>
  <c r="R161" i="16"/>
  <c r="D271" i="18"/>
  <c r="D255" i="18"/>
  <c r="R255" i="18"/>
  <c r="D240" i="18"/>
  <c r="R240" i="18"/>
  <c r="R41" i="18"/>
  <c r="D41" i="18"/>
  <c r="R37" i="16"/>
  <c r="R34" i="16"/>
  <c r="R201" i="16"/>
  <c r="R233" i="16"/>
  <c r="R234" i="16"/>
  <c r="R82" i="16"/>
  <c r="R186" i="16"/>
  <c r="R18" i="16"/>
  <c r="R219" i="16"/>
  <c r="R25" i="16"/>
  <c r="R239" i="16"/>
  <c r="R44" i="16"/>
  <c r="R205" i="16"/>
  <c r="R237" i="16"/>
  <c r="R213" i="16"/>
  <c r="R189" i="16"/>
  <c r="R138" i="16"/>
  <c r="R100" i="16"/>
  <c r="R85" i="16"/>
  <c r="R60" i="16"/>
  <c r="R152" i="18"/>
  <c r="R113" i="18"/>
  <c r="R136" i="18"/>
  <c r="R168" i="18"/>
  <c r="R53" i="18"/>
  <c r="R60" i="18"/>
  <c r="R198" i="18"/>
  <c r="R31" i="16"/>
  <c r="R230" i="18"/>
  <c r="R195" i="18"/>
  <c r="R15" i="16"/>
  <c r="R122" i="16"/>
  <c r="R146" i="16"/>
  <c r="R134" i="16"/>
  <c r="R208" i="16"/>
  <c r="R249" i="16"/>
  <c r="R259" i="16"/>
  <c r="R215" i="16"/>
  <c r="R267" i="16"/>
  <c r="R254" i="16"/>
  <c r="R228" i="16"/>
  <c r="R193" i="16"/>
  <c r="R179" i="16"/>
  <c r="R157" i="16"/>
  <c r="R153" i="16"/>
  <c r="R137" i="16"/>
  <c r="R103" i="16"/>
  <c r="R95" i="16"/>
  <c r="R63" i="16"/>
  <c r="R27" i="16"/>
  <c r="R56" i="18"/>
  <c r="R207" i="14"/>
  <c r="R93" i="14"/>
  <c r="R89" i="14"/>
  <c r="R127" i="16"/>
  <c r="R25" i="14"/>
  <c r="R117" i="14"/>
  <c r="R221" i="14"/>
  <c r="D264" i="16"/>
  <c r="R264" i="16"/>
  <c r="R255" i="14"/>
  <c r="R20" i="14"/>
  <c r="R55" i="14"/>
  <c r="R120" i="14"/>
  <c r="R149" i="14"/>
  <c r="D151" i="16"/>
  <c r="R151" i="16"/>
  <c r="R87" i="14"/>
  <c r="D115" i="16"/>
  <c r="R115" i="16"/>
  <c r="R9" i="14"/>
  <c r="R182" i="14"/>
  <c r="R243" i="14"/>
  <c r="R116" i="14"/>
  <c r="R233" i="14"/>
  <c r="R98" i="14"/>
  <c r="R37" i="14"/>
  <c r="R171" i="14"/>
  <c r="R8" i="14"/>
  <c r="R59" i="14"/>
  <c r="R16" i="14"/>
  <c r="R241" i="14"/>
  <c r="R17" i="14"/>
  <c r="R240" i="14"/>
  <c r="R44" i="14"/>
  <c r="R24" i="14"/>
  <c r="R247" i="14"/>
  <c r="R145" i="14"/>
  <c r="R34" i="14"/>
  <c r="R12" i="14"/>
  <c r="R208" i="14"/>
  <c r="R21" i="14"/>
  <c r="R106" i="14"/>
  <c r="R139" i="14"/>
  <c r="R175" i="14"/>
  <c r="R29" i="14"/>
  <c r="R125" i="14"/>
  <c r="R53" i="14"/>
  <c r="R257" i="14"/>
  <c r="R5" i="14"/>
  <c r="R36" i="14"/>
  <c r="R146" i="14"/>
  <c r="R181" i="14"/>
  <c r="R244" i="14"/>
  <c r="R198" i="14"/>
  <c r="R234" i="14"/>
  <c r="R191" i="14"/>
  <c r="R170" i="14"/>
  <c r="R80" i="14"/>
  <c r="R60" i="14"/>
  <c r="D164" i="8"/>
  <c r="R164" i="8"/>
  <c r="R164" i="6"/>
  <c r="R180" i="6"/>
  <c r="D180" i="8"/>
  <c r="R180" i="8"/>
  <c r="D239" i="8"/>
  <c r="R239" i="8"/>
  <c r="R239" i="6"/>
  <c r="D235" i="8"/>
  <c r="R235" i="8"/>
  <c r="R235" i="6"/>
  <c r="D161" i="8"/>
  <c r="R161" i="6"/>
  <c r="R143" i="6"/>
  <c r="D143" i="8"/>
  <c r="R143" i="8"/>
  <c r="R175" i="6"/>
  <c r="D175" i="8"/>
  <c r="Q163" i="6"/>
  <c r="D167" i="8"/>
  <c r="R167" i="8"/>
  <c r="R133" i="6"/>
  <c r="R222" i="6"/>
  <c r="D222" i="8"/>
  <c r="R222" i="8"/>
  <c r="D218" i="8"/>
  <c r="R218" i="8"/>
  <c r="R218" i="6"/>
  <c r="R207" i="6"/>
  <c r="D207" i="8"/>
  <c r="R207" i="8"/>
  <c r="R199" i="6"/>
  <c r="D199" i="8"/>
  <c r="R199" i="8"/>
  <c r="R112" i="6"/>
  <c r="D112" i="8"/>
  <c r="R108" i="6"/>
  <c r="D108" i="8"/>
  <c r="R96" i="6"/>
  <c r="D96" i="8"/>
  <c r="R96" i="8"/>
  <c r="R92" i="6"/>
  <c r="D92" i="8"/>
  <c r="R92" i="8"/>
  <c r="R88" i="6"/>
  <c r="D88" i="8"/>
  <c r="R88" i="8"/>
  <c r="D80" i="8"/>
  <c r="R80" i="6"/>
  <c r="D76" i="8"/>
  <c r="R76" i="6"/>
  <c r="D72" i="8"/>
  <c r="R72" i="6"/>
  <c r="D23" i="8"/>
  <c r="R23" i="8"/>
  <c r="R23" i="6"/>
  <c r="D19" i="8"/>
  <c r="R19" i="8"/>
  <c r="R19" i="6"/>
  <c r="R157" i="6"/>
  <c r="D157" i="8"/>
  <c r="D147" i="8"/>
  <c r="R147" i="8"/>
  <c r="R147" i="6"/>
  <c r="R181" i="6"/>
  <c r="D181" i="8"/>
  <c r="R181" i="8"/>
  <c r="R170" i="6"/>
  <c r="D170" i="8"/>
  <c r="R170" i="8"/>
  <c r="R46" i="6"/>
  <c r="D46" i="8"/>
  <c r="D13" i="8"/>
  <c r="R13" i="8"/>
  <c r="R13" i="6"/>
  <c r="D140" i="8"/>
  <c r="R140" i="8"/>
  <c r="R82" i="8"/>
  <c r="R62" i="6"/>
  <c r="D54" i="8"/>
  <c r="R54" i="8"/>
  <c r="R43" i="6"/>
  <c r="D229" i="8"/>
  <c r="R229" i="8"/>
  <c r="R229" i="6"/>
  <c r="R225" i="6"/>
  <c r="D225" i="8"/>
  <c r="R225" i="8"/>
  <c r="R130" i="6"/>
  <c r="D130" i="8"/>
  <c r="R130" i="8"/>
  <c r="R122" i="6"/>
  <c r="D122" i="8"/>
  <c r="R122" i="8"/>
  <c r="D30" i="8"/>
  <c r="R30" i="8"/>
  <c r="R30" i="6"/>
  <c r="R66" i="8"/>
  <c r="R206" i="6"/>
  <c r="R22" i="6"/>
  <c r="R99" i="6"/>
  <c r="R146" i="6"/>
  <c r="D139" i="8"/>
  <c r="R139" i="8"/>
  <c r="R85" i="8"/>
  <c r="R91" i="6"/>
  <c r="R129" i="6"/>
  <c r="R238" i="6"/>
  <c r="D156" i="8"/>
  <c r="R4" i="6"/>
  <c r="R214" i="8"/>
  <c r="R210" i="6"/>
  <c r="D95" i="8"/>
  <c r="R95" i="8"/>
  <c r="R224" i="6"/>
  <c r="R93" i="8"/>
  <c r="R241" i="8"/>
  <c r="R182" i="8"/>
  <c r="D8" i="8"/>
  <c r="R8" i="8"/>
  <c r="R80" i="8"/>
  <c r="D53" i="8"/>
  <c r="R53" i="8"/>
  <c r="D249" i="8"/>
  <c r="R249" i="8"/>
  <c r="R71" i="6"/>
  <c r="R215" i="8"/>
  <c r="R90" i="8"/>
  <c r="D90" i="10"/>
  <c r="D162" i="10"/>
  <c r="R162" i="8"/>
  <c r="R75" i="8"/>
  <c r="D159" i="10"/>
  <c r="R159" i="8"/>
  <c r="R78" i="8"/>
  <c r="D78" i="10"/>
  <c r="R234" i="8"/>
  <c r="D234" i="10"/>
  <c r="R234" i="10"/>
  <c r="D192" i="10"/>
  <c r="R192" i="10"/>
  <c r="R192" i="8"/>
  <c r="D144" i="10"/>
  <c r="R144" i="10"/>
  <c r="D62" i="10"/>
  <c r="R62" i="10"/>
  <c r="R62" i="8"/>
  <c r="R57" i="8"/>
  <c r="D57" i="10"/>
  <c r="R57" i="10"/>
  <c r="R6" i="8"/>
  <c r="D6" i="10"/>
  <c r="R6" i="10"/>
  <c r="R153" i="8"/>
  <c r="D153" i="10"/>
  <c r="R153" i="10"/>
  <c r="D73" i="10"/>
  <c r="R73" i="10"/>
  <c r="D238" i="10"/>
  <c r="R70" i="8"/>
  <c r="D70" i="10"/>
  <c r="D225" i="10"/>
  <c r="R225" i="10"/>
  <c r="D140" i="10"/>
  <c r="R140" i="10"/>
  <c r="D100" i="10"/>
  <c r="Q151" i="8"/>
  <c r="Q71" i="8"/>
  <c r="Q67" i="8"/>
  <c r="Q63" i="8"/>
  <c r="D5" i="10"/>
  <c r="R5" i="10"/>
  <c r="R5" i="8"/>
  <c r="R248" i="8"/>
  <c r="D249" i="10"/>
  <c r="R249" i="10"/>
  <c r="R206" i="8"/>
  <c r="D206" i="10"/>
  <c r="R206" i="10"/>
  <c r="R186" i="8"/>
  <c r="D186" i="10"/>
  <c r="R186" i="10"/>
  <c r="D176" i="10"/>
  <c r="R176" i="10"/>
  <c r="R176" i="8"/>
  <c r="D146" i="10"/>
  <c r="R146" i="10"/>
  <c r="R146" i="8"/>
  <c r="R131" i="8"/>
  <c r="D131" i="10"/>
  <c r="R131" i="10"/>
  <c r="R121" i="8"/>
  <c r="D121" i="10"/>
  <c r="R121" i="10"/>
  <c r="R32" i="8"/>
  <c r="D32" i="10"/>
  <c r="R32" i="10"/>
  <c r="R213" i="8"/>
  <c r="Q163" i="8"/>
  <c r="Q160" i="8"/>
  <c r="Q156" i="8"/>
  <c r="Q152" i="8"/>
  <c r="D86" i="10"/>
  <c r="R86" i="8"/>
  <c r="Q72" i="8"/>
  <c r="Q68" i="8"/>
  <c r="R68" i="8"/>
  <c r="D155" i="10"/>
  <c r="R155" i="8"/>
  <c r="R247" i="8"/>
  <c r="D248" i="10"/>
  <c r="D85" i="10"/>
  <c r="D183" i="10"/>
  <c r="R183" i="10"/>
  <c r="R183" i="8"/>
  <c r="D129" i="10"/>
  <c r="R129" i="10"/>
  <c r="R129" i="8"/>
  <c r="D11" i="10"/>
  <c r="R11" i="10"/>
  <c r="R11" i="8"/>
  <c r="D180" i="10"/>
  <c r="R65" i="8"/>
  <c r="D65" i="10"/>
  <c r="R154" i="8"/>
  <c r="D154" i="10"/>
  <c r="R242" i="8"/>
  <c r="R112" i="8"/>
  <c r="R83" i="8"/>
  <c r="D241" i="10"/>
  <c r="R241" i="10"/>
  <c r="R243" i="8"/>
  <c r="R243" i="10"/>
  <c r="D20" i="10"/>
  <c r="R20" i="10"/>
  <c r="R7" i="8"/>
  <c r="D7" i="10"/>
  <c r="R7" i="10"/>
  <c r="R15" i="8"/>
  <c r="R195" i="8"/>
  <c r="R209" i="10"/>
  <c r="R40" i="10"/>
  <c r="R198" i="8"/>
  <c r="D113" i="10"/>
  <c r="R113" i="10"/>
  <c r="R113" i="8"/>
  <c r="R50" i="8"/>
  <c r="D50" i="10"/>
  <c r="R50" i="10"/>
  <c r="R233" i="8"/>
  <c r="R49" i="8"/>
  <c r="R115" i="10"/>
  <c r="R37" i="10"/>
  <c r="Q174" i="8"/>
  <c r="Q158" i="8"/>
  <c r="Q150" i="8"/>
  <c r="R29" i="8"/>
  <c r="R31" i="8"/>
  <c r="R45" i="8"/>
  <c r="R221" i="8"/>
  <c r="R101" i="8"/>
  <c r="R221" i="10"/>
  <c r="R55" i="10"/>
  <c r="R31" i="10"/>
  <c r="R15" i="10"/>
  <c r="R165" i="8"/>
  <c r="R119" i="8"/>
  <c r="R136" i="8"/>
  <c r="R166" i="8"/>
  <c r="R35" i="8"/>
  <c r="R46" i="8"/>
  <c r="R128" i="8"/>
  <c r="R187" i="8"/>
  <c r="R25" i="8"/>
  <c r="R4" i="8"/>
  <c r="R118" i="8"/>
  <c r="Q217" i="8"/>
  <c r="Q76" i="8"/>
  <c r="R203" i="8"/>
  <c r="R24" i="8"/>
  <c r="R65" i="10"/>
  <c r="R232" i="10"/>
  <c r="D236" i="14"/>
  <c r="R236" i="14"/>
  <c r="R66" i="10"/>
  <c r="R248" i="10"/>
  <c r="R193" i="10"/>
  <c r="R166" i="10"/>
  <c r="R201" i="10"/>
  <c r="R143" i="10"/>
  <c r="R238" i="10"/>
  <c r="R179" i="10"/>
  <c r="R226" i="10"/>
  <c r="R70" i="10"/>
  <c r="R14" i="10"/>
  <c r="R197" i="14"/>
  <c r="R33" i="10"/>
  <c r="D48" i="14"/>
  <c r="R48" i="14"/>
  <c r="D132" i="14"/>
  <c r="R132" i="14"/>
  <c r="R149" i="10"/>
  <c r="D209" i="14"/>
  <c r="R209" i="14"/>
  <c r="D6" i="14"/>
  <c r="R6" i="14"/>
  <c r="R173" i="10"/>
  <c r="R2" i="10"/>
  <c r="R30" i="10"/>
  <c r="R227" i="10"/>
  <c r="R56" i="10"/>
  <c r="Q216" i="10"/>
  <c r="R253" i="14"/>
  <c r="R216" i="14"/>
  <c r="R212" i="14"/>
  <c r="R140" i="14"/>
  <c r="R250" i="14"/>
  <c r="R26" i="10"/>
  <c r="R230" i="10"/>
  <c r="R197" i="10"/>
  <c r="R214" i="10"/>
  <c r="D40" i="14"/>
  <c r="R40" i="14"/>
  <c r="D124" i="14"/>
  <c r="R124" i="14"/>
  <c r="D225" i="14"/>
  <c r="R225" i="14"/>
  <c r="R102" i="10"/>
  <c r="R130" i="10"/>
  <c r="R250" i="10"/>
  <c r="R207" i="10"/>
  <c r="R116" i="10"/>
  <c r="R239" i="14"/>
  <c r="R110" i="14"/>
  <c r="R43" i="14"/>
  <c r="D128" i="14"/>
  <c r="R128" i="14"/>
  <c r="R185" i="10"/>
  <c r="R139" i="10"/>
  <c r="R22" i="10"/>
  <c r="R210" i="10"/>
  <c r="R136" i="10"/>
  <c r="R128" i="10"/>
  <c r="R141" i="10"/>
  <c r="R117" i="10"/>
  <c r="R135" i="10"/>
  <c r="R4" i="10"/>
  <c r="R249" i="14"/>
  <c r="R138" i="14"/>
  <c r="R122" i="14"/>
  <c r="R114" i="14"/>
  <c r="R61" i="14"/>
  <c r="R14" i="14"/>
  <c r="R199" i="14"/>
  <c r="D99" i="16"/>
  <c r="R99" i="16"/>
  <c r="R97" i="14"/>
  <c r="R118" i="16"/>
  <c r="D248" i="16"/>
  <c r="R248" i="16"/>
  <c r="R193" i="14"/>
  <c r="R143" i="14"/>
  <c r="D145" i="16"/>
  <c r="R145" i="16"/>
  <c r="R126" i="14"/>
  <c r="D52" i="16"/>
  <c r="R52" i="16"/>
  <c r="R51" i="14"/>
  <c r="D48" i="16"/>
  <c r="R48" i="16"/>
  <c r="R47" i="14"/>
  <c r="D40" i="16"/>
  <c r="R40" i="16"/>
  <c r="R39" i="14"/>
  <c r="R32" i="14"/>
  <c r="D33" i="16"/>
  <c r="R33" i="16"/>
  <c r="R23" i="14"/>
  <c r="D24" i="16"/>
  <c r="R24" i="16"/>
  <c r="D128" i="16"/>
  <c r="R128" i="16"/>
  <c r="D220" i="16"/>
  <c r="R220" i="16"/>
  <c r="D207" i="16"/>
  <c r="R207" i="16"/>
  <c r="R205" i="14"/>
  <c r="R52" i="14"/>
  <c r="R135" i="14"/>
  <c r="D140" i="16"/>
  <c r="R140" i="16"/>
  <c r="D224" i="16"/>
  <c r="R224" i="16"/>
  <c r="D258" i="16"/>
  <c r="R258" i="16"/>
  <c r="R101" i="14"/>
  <c r="D242" i="16"/>
  <c r="R242" i="16"/>
  <c r="R217" i="14"/>
  <c r="D221" i="16"/>
  <c r="R221" i="16"/>
  <c r="R213" i="14"/>
  <c r="D112" i="16"/>
  <c r="R112" i="16"/>
  <c r="D209" i="16"/>
  <c r="R209" i="16"/>
  <c r="R201" i="14"/>
  <c r="R28" i="14"/>
  <c r="R148" i="16"/>
  <c r="R90" i="16"/>
  <c r="R3" i="16"/>
  <c r="D116" i="16"/>
  <c r="R116" i="16"/>
  <c r="R3" i="14"/>
  <c r="R192" i="14"/>
  <c r="R27" i="14"/>
  <c r="R174" i="14"/>
  <c r="D181" i="16"/>
  <c r="R181" i="16"/>
  <c r="R142" i="14"/>
  <c r="D144" i="16"/>
  <c r="R144" i="16"/>
  <c r="D87" i="16"/>
  <c r="R87" i="16"/>
  <c r="R85" i="14"/>
  <c r="D43" i="16"/>
  <c r="R43" i="16"/>
  <c r="R42" i="14"/>
  <c r="R31" i="14"/>
  <c r="D32" i="16"/>
  <c r="R32" i="16"/>
  <c r="R57" i="14"/>
  <c r="R104" i="14"/>
  <c r="R15" i="14"/>
  <c r="R26" i="14"/>
  <c r="R118" i="14"/>
  <c r="R173" i="14"/>
  <c r="R130" i="14"/>
  <c r="R2" i="14"/>
  <c r="R84" i="14"/>
  <c r="R212" i="16"/>
  <c r="R121" i="14"/>
  <c r="R188" i="14"/>
  <c r="R200" i="14"/>
  <c r="R134" i="14"/>
  <c r="R127" i="14"/>
  <c r="R222" i="14"/>
  <c r="R251" i="14"/>
  <c r="R270" i="18"/>
  <c r="D270" i="18"/>
  <c r="D251" i="18"/>
  <c r="R245" i="16"/>
  <c r="D164" i="18"/>
  <c r="R162" i="16"/>
  <c r="R164" i="18"/>
  <c r="D28" i="18"/>
  <c r="R28" i="16"/>
  <c r="R11" i="18"/>
  <c r="D11" i="18"/>
  <c r="R232" i="18"/>
  <c r="R112" i="18"/>
  <c r="R228" i="18"/>
  <c r="R236" i="18"/>
  <c r="R21" i="16"/>
  <c r="D269" i="18"/>
  <c r="R263" i="16"/>
  <c r="D254" i="18"/>
  <c r="R254" i="18"/>
  <c r="D210" i="18"/>
  <c r="R210" i="18"/>
  <c r="D176" i="18"/>
  <c r="R174" i="16"/>
  <c r="D52" i="18"/>
  <c r="R52" i="18"/>
  <c r="D27" i="18"/>
  <c r="R27" i="18"/>
  <c r="R36" i="18"/>
  <c r="R152" i="16"/>
  <c r="R176" i="18"/>
  <c r="D90" i="18"/>
  <c r="D33" i="18"/>
  <c r="D120" i="18"/>
  <c r="D239" i="18"/>
  <c r="R251" i="18"/>
  <c r="R155" i="16"/>
  <c r="R261" i="16"/>
  <c r="R83" i="16"/>
  <c r="R42" i="16"/>
  <c r="R222" i="16"/>
  <c r="R17" i="16"/>
  <c r="R4" i="16"/>
  <c r="R206" i="16"/>
  <c r="R226" i="16"/>
  <c r="R176" i="16"/>
  <c r="R101" i="16"/>
  <c r="D259" i="18"/>
  <c r="R253" i="16"/>
  <c r="R259" i="18"/>
  <c r="D238" i="18"/>
  <c r="R232" i="16"/>
  <c r="D226" i="18"/>
  <c r="R226" i="18"/>
  <c r="D222" i="18"/>
  <c r="R217" i="16"/>
  <c r="D217" i="18"/>
  <c r="D213" i="18"/>
  <c r="D209" i="18"/>
  <c r="R209" i="18"/>
  <c r="D132" i="18"/>
  <c r="R130" i="16"/>
  <c r="D129" i="18"/>
  <c r="D123" i="18"/>
  <c r="R121" i="16"/>
  <c r="D81" i="18"/>
  <c r="R81" i="16"/>
  <c r="D61" i="18"/>
  <c r="D58" i="18"/>
  <c r="R58" i="16"/>
  <c r="D51" i="18"/>
  <c r="R51" i="18"/>
  <c r="D48" i="18"/>
  <c r="D244" i="18"/>
  <c r="R244" i="18"/>
  <c r="D267" i="18"/>
  <c r="R267" i="18"/>
  <c r="D207" i="18"/>
  <c r="R203" i="16"/>
  <c r="R187" i="16"/>
  <c r="R190" i="18"/>
  <c r="D141" i="18"/>
  <c r="R139" i="16"/>
  <c r="D121" i="18"/>
  <c r="R119" i="16"/>
  <c r="D24" i="18"/>
  <c r="R24" i="18"/>
  <c r="R170" i="16"/>
  <c r="R172" i="18"/>
  <c r="R43" i="18"/>
  <c r="R40" i="18"/>
  <c r="D190" i="18"/>
  <c r="R158" i="16"/>
  <c r="D214" i="18"/>
  <c r="R214" i="18"/>
  <c r="D201" i="18"/>
  <c r="R201" i="18"/>
  <c r="D169" i="18"/>
  <c r="R167" i="16"/>
  <c r="D96" i="18"/>
  <c r="R96" i="16"/>
  <c r="D20" i="18"/>
  <c r="R20" i="16"/>
  <c r="D8" i="18"/>
  <c r="R169" i="18"/>
  <c r="D172" i="18"/>
  <c r="R33" i="18"/>
  <c r="R39" i="16"/>
  <c r="R107" i="16"/>
  <c r="R86" i="16"/>
  <c r="R199" i="16"/>
  <c r="R194" i="16"/>
  <c r="R136" i="16"/>
  <c r="D184" i="18"/>
  <c r="D262" i="18"/>
  <c r="R262" i="18"/>
  <c r="R250" i="16"/>
  <c r="R256" i="18"/>
  <c r="D191" i="18"/>
  <c r="R191" i="18"/>
  <c r="D84" i="18"/>
  <c r="R84" i="16"/>
  <c r="D12" i="18"/>
  <c r="R12" i="16"/>
  <c r="D9" i="18"/>
  <c r="R9" i="16"/>
  <c r="R9" i="18"/>
  <c r="R105" i="16"/>
  <c r="R241" i="18"/>
  <c r="R253" i="18"/>
  <c r="R202" i="18"/>
  <c r="R36" i="16"/>
  <c r="R124" i="16"/>
  <c r="R132" i="16"/>
  <c r="R54" i="16"/>
  <c r="R188" i="16"/>
  <c r="R216" i="16"/>
  <c r="R199" i="18"/>
  <c r="R156" i="18"/>
  <c r="R39" i="18"/>
  <c r="R188" i="18"/>
  <c r="R229" i="16"/>
  <c r="R91" i="16"/>
  <c r="R93" i="16"/>
  <c r="R133" i="16"/>
  <c r="R256" i="16"/>
  <c r="R49" i="16"/>
  <c r="R255" i="16"/>
  <c r="R230" i="16"/>
  <c r="R192" i="16"/>
  <c r="R184" i="16"/>
  <c r="R104" i="16"/>
  <c r="R242" i="18"/>
  <c r="R175" i="18"/>
  <c r="R133" i="18"/>
  <c r="R2" i="16"/>
  <c r="R31" i="18"/>
  <c r="D290" i="19"/>
  <c r="R290" i="19"/>
  <c r="R268" i="18"/>
  <c r="D287" i="19"/>
  <c r="R287" i="19"/>
  <c r="R265" i="18"/>
  <c r="R261" i="18"/>
  <c r="D283" i="19"/>
  <c r="R283" i="19"/>
  <c r="D280" i="19"/>
  <c r="R280" i="19"/>
  <c r="R258" i="18"/>
  <c r="D176" i="19"/>
  <c r="R154" i="18"/>
  <c r="D184" i="19"/>
  <c r="R184" i="19"/>
  <c r="R162" i="18"/>
  <c r="D71" i="19"/>
  <c r="R49" i="18"/>
  <c r="D54" i="19"/>
  <c r="R32" i="18"/>
  <c r="D50" i="19"/>
  <c r="R28" i="18"/>
  <c r="R249" i="19"/>
  <c r="R35" i="18"/>
  <c r="R250" i="18"/>
  <c r="D85" i="19"/>
  <c r="R63" i="18"/>
  <c r="R218" i="18"/>
  <c r="D240" i="19"/>
  <c r="R240" i="19"/>
  <c r="D234" i="19"/>
  <c r="R212" i="18"/>
  <c r="D214" i="19"/>
  <c r="R214" i="19"/>
  <c r="R192" i="18"/>
  <c r="D211" i="19"/>
  <c r="R211" i="19"/>
  <c r="R189" i="18"/>
  <c r="R184" i="18"/>
  <c r="D206" i="19"/>
  <c r="D286" i="19"/>
  <c r="R264" i="18"/>
  <c r="R48" i="18"/>
  <c r="D70" i="19"/>
  <c r="D59" i="19"/>
  <c r="R37" i="18"/>
  <c r="D155" i="19"/>
  <c r="R165" i="18"/>
  <c r="D174" i="19"/>
  <c r="R174" i="19"/>
  <c r="R17" i="18"/>
  <c r="D264" i="19"/>
  <c r="R264" i="19"/>
  <c r="R246" i="18"/>
  <c r="R179" i="18"/>
  <c r="R62" i="18"/>
  <c r="D84" i="19"/>
  <c r="R84" i="19"/>
  <c r="D77" i="19"/>
  <c r="R77" i="19"/>
  <c r="R55" i="18"/>
  <c r="D26" i="19"/>
  <c r="R4" i="18"/>
  <c r="D197" i="19"/>
  <c r="R197" i="19"/>
  <c r="R20" i="18"/>
  <c r="R233" i="18"/>
  <c r="D224" i="19"/>
  <c r="D275" i="19"/>
  <c r="R275" i="19"/>
  <c r="R238" i="18"/>
  <c r="R148" i="18"/>
  <c r="R119" i="18"/>
  <c r="D185" i="19"/>
  <c r="R163" i="18"/>
  <c r="D178" i="19"/>
  <c r="D27" i="19"/>
  <c r="R5" i="18"/>
  <c r="D24" i="19"/>
  <c r="R24" i="19"/>
  <c r="R2" i="18"/>
  <c r="D51" i="19"/>
  <c r="R29" i="18"/>
  <c r="D47" i="19"/>
  <c r="R25" i="18"/>
  <c r="D48" i="19"/>
  <c r="R26" i="18"/>
  <c r="R203" i="18"/>
  <c r="R291" i="19"/>
  <c r="R288" i="19"/>
  <c r="R16" i="18"/>
  <c r="R64" i="18"/>
  <c r="R207" i="19"/>
  <c r="R233" i="19"/>
  <c r="R217" i="19"/>
  <c r="R276" i="19"/>
  <c r="R83" i="19"/>
  <c r="R186" i="19"/>
  <c r="R268" i="19"/>
  <c r="R198" i="19"/>
  <c r="R201" i="19"/>
  <c r="R232" i="19"/>
  <c r="R259" i="19"/>
  <c r="R206" i="19"/>
  <c r="R277" i="19"/>
  <c r="R284" i="19"/>
  <c r="R282" i="19"/>
  <c r="R261" i="19"/>
  <c r="R295" i="19"/>
  <c r="R234" i="19"/>
  <c r="R185" i="19"/>
  <c r="R181" i="19"/>
  <c r="R178" i="19"/>
  <c r="R248" i="19"/>
  <c r="R224" i="19"/>
  <c r="R269" i="19"/>
  <c r="R205" i="19"/>
  <c r="R182" i="19"/>
  <c r="R273" i="19"/>
  <c r="D77" i="10"/>
  <c r="R77" i="10"/>
  <c r="D82" i="10"/>
  <c r="R237" i="7"/>
  <c r="R81" i="8"/>
  <c r="R9" i="7"/>
  <c r="R106" i="10"/>
  <c r="D111" i="16"/>
  <c r="R111" i="16"/>
  <c r="D245" i="18"/>
  <c r="R245" i="18"/>
  <c r="R231" i="19"/>
  <c r="D262" i="16"/>
  <c r="R262" i="16"/>
  <c r="D160" i="16"/>
  <c r="R160" i="16"/>
  <c r="D159" i="16"/>
  <c r="R159" i="16"/>
  <c r="D51" i="16"/>
  <c r="R51" i="16"/>
  <c r="D158" i="18"/>
  <c r="R158" i="18"/>
  <c r="R42" i="18"/>
  <c r="D42" i="18"/>
  <c r="D137" i="19"/>
  <c r="R137" i="19"/>
  <c r="R149" i="18"/>
  <c r="R265" i="19"/>
  <c r="R256" i="19"/>
  <c r="R180" i="19"/>
  <c r="R213" i="19"/>
  <c r="R222" i="19"/>
  <c r="R179" i="19"/>
  <c r="R82" i="19"/>
  <c r="R46" i="18"/>
  <c r="D46" i="18"/>
  <c r="D80" i="19"/>
  <c r="R58" i="18"/>
  <c r="D170" i="19"/>
  <c r="R228" i="19"/>
  <c r="R251" i="19"/>
  <c r="R192" i="19"/>
  <c r="R78" i="19"/>
  <c r="R286" i="19"/>
  <c r="R294" i="19"/>
  <c r="R278" i="19"/>
  <c r="R258" i="19"/>
  <c r="R210" i="19"/>
  <c r="R202" i="19"/>
  <c r="D33" i="19"/>
  <c r="R33" i="19"/>
  <c r="R274" i="19"/>
  <c r="R243" i="19"/>
  <c r="R227" i="19"/>
  <c r="R236" i="19"/>
  <c r="R190" i="19"/>
  <c r="R187" i="19"/>
  <c r="R80" i="19"/>
  <c r="R85" i="19"/>
  <c r="R188" i="19"/>
  <c r="D74" i="10"/>
  <c r="R74" i="10"/>
  <c r="D157" i="10"/>
  <c r="D216" i="10"/>
  <c r="R216" i="8"/>
  <c r="D64" i="10"/>
  <c r="R64" i="10"/>
  <c r="R161" i="8"/>
  <c r="D68" i="10"/>
  <c r="R68" i="10"/>
  <c r="D247" i="10"/>
  <c r="R247" i="10"/>
  <c r="R69" i="8"/>
  <c r="R175" i="8"/>
  <c r="R175" i="10"/>
  <c r="R180" i="10"/>
  <c r="D163" i="8"/>
  <c r="R163" i="8"/>
  <c r="R163" i="6"/>
  <c r="R76" i="8"/>
  <c r="D76" i="10"/>
  <c r="R76" i="10"/>
  <c r="D151" i="10"/>
  <c r="R151" i="8"/>
  <c r="D217" i="10"/>
  <c r="R217" i="10"/>
  <c r="R217" i="8"/>
  <c r="R158" i="8"/>
  <c r="D158" i="10"/>
  <c r="R152" i="8"/>
  <c r="D152" i="10"/>
  <c r="R63" i="8"/>
  <c r="D63" i="10"/>
  <c r="R63" i="10"/>
  <c r="R174" i="8"/>
  <c r="D174" i="10"/>
  <c r="R174" i="10"/>
  <c r="D72" i="10"/>
  <c r="R72" i="10"/>
  <c r="R72" i="8"/>
  <c r="D156" i="10"/>
  <c r="R156" i="8"/>
  <c r="D67" i="10"/>
  <c r="R67" i="10"/>
  <c r="R67" i="8"/>
  <c r="D150" i="10"/>
  <c r="R150" i="8"/>
  <c r="D163" i="10"/>
  <c r="D160" i="10"/>
  <c r="R160" i="8"/>
  <c r="R71" i="8"/>
  <c r="D71" i="10"/>
  <c r="R71" i="10"/>
  <c r="D220" i="14"/>
  <c r="R220" i="14"/>
  <c r="R216" i="10"/>
</calcChain>
</file>

<file path=xl/sharedStrings.xml><?xml version="1.0" encoding="utf-8"?>
<sst xmlns="http://schemas.openxmlformats.org/spreadsheetml/2006/main" count="6430" uniqueCount="648">
  <si>
    <t>Country</t>
  </si>
  <si>
    <t>Airport</t>
  </si>
  <si>
    <t>Code</t>
  </si>
  <si>
    <t>Pax 2010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</si>
  <si>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</si>
  <si>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</si>
  <si>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</si>
  <si>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</si>
  <si>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</si>
  <si>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</si>
  <si>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</si>
  <si>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</si>
  <si>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</si>
  <si>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</si>
  <si>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</si>
  <si>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</si>
  <si>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USA</t>
  </si>
  <si>
    <t>Atlanta</t>
  </si>
  <si>
    <t>ATL</t>
  </si>
  <si>
    <t>ORD</t>
  </si>
  <si>
    <t>Los Angeles</t>
  </si>
  <si>
    <t>LAX</t>
  </si>
  <si>
    <t>Dallas/Fort Worth</t>
  </si>
  <si>
    <t>DFW</t>
  </si>
  <si>
    <t>DEN</t>
  </si>
  <si>
    <t>JFK</t>
  </si>
  <si>
    <t>Houston Bush</t>
  </si>
  <si>
    <t>IAH</t>
  </si>
  <si>
    <t>Las Vegas</t>
  </si>
  <si>
    <t>LAS</t>
  </si>
  <si>
    <t>San Francisco</t>
  </si>
  <si>
    <t>SFO</t>
  </si>
  <si>
    <t>Phoenix</t>
  </si>
  <si>
    <t>PHX</t>
  </si>
  <si>
    <t>Charlotte</t>
  </si>
  <si>
    <t>CLT</t>
  </si>
  <si>
    <t>Miami</t>
  </si>
  <si>
    <t>MIA</t>
  </si>
  <si>
    <t>Orlando</t>
  </si>
  <si>
    <t>MCO</t>
  </si>
  <si>
    <t>EWR</t>
  </si>
  <si>
    <t>MSP</t>
  </si>
  <si>
    <t>Detroit</t>
  </si>
  <si>
    <t>DTW</t>
  </si>
  <si>
    <t>Seattle</t>
  </si>
  <si>
    <t>SEA</t>
  </si>
  <si>
    <t>Philadelphia</t>
  </si>
  <si>
    <t>PHL</t>
  </si>
  <si>
    <t>BOS</t>
  </si>
  <si>
    <t>LGA</t>
  </si>
  <si>
    <t>IAD</t>
  </si>
  <si>
    <t>Fort Lauderdale</t>
  </si>
  <si>
    <t>FLL</t>
  </si>
  <si>
    <t>BWI</t>
  </si>
  <si>
    <t>Salt Lake City</t>
  </si>
  <si>
    <t>SLC</t>
  </si>
  <si>
    <t>DCA</t>
  </si>
  <si>
    <t>MDW</t>
  </si>
  <si>
    <t>San Diego</t>
  </si>
  <si>
    <t>SAN</t>
  </si>
  <si>
    <t>Tampa</t>
  </si>
  <si>
    <t>TPA</t>
  </si>
  <si>
    <t>Portland</t>
  </si>
  <si>
    <t>PDX</t>
  </si>
  <si>
    <t>Houston Hobby</t>
  </si>
  <si>
    <t>HOU</t>
  </si>
  <si>
    <t>Canada</t>
  </si>
  <si>
    <t>Toronto</t>
  </si>
  <si>
    <t>YYZ</t>
  </si>
  <si>
    <t>Vancouver</t>
  </si>
  <si>
    <t>YVR</t>
  </si>
  <si>
    <t>YUL</t>
  </si>
  <si>
    <t>YYC</t>
  </si>
  <si>
    <t>Edmonton</t>
  </si>
  <si>
    <t>YEG</t>
  </si>
  <si>
    <t>Ottawa</t>
  </si>
  <si>
    <t>YOW</t>
  </si>
  <si>
    <t>Winnipeg</t>
  </si>
  <si>
    <t>YWG</t>
  </si>
  <si>
    <t>Halifax</t>
  </si>
  <si>
    <t>YHZ</t>
  </si>
  <si>
    <t>Victoria</t>
  </si>
  <si>
    <t>YYJ</t>
  </si>
  <si>
    <t>Kelowna</t>
  </si>
  <si>
    <t>YLW</t>
  </si>
  <si>
    <t>Mexico</t>
  </si>
  <si>
    <t>Mexico City</t>
  </si>
  <si>
    <t>MEX</t>
  </si>
  <si>
    <t>Cancún</t>
  </si>
  <si>
    <t>CUN</t>
  </si>
  <si>
    <t>MID</t>
  </si>
  <si>
    <t>Veracruz</t>
  </si>
  <si>
    <t>VER</t>
  </si>
  <si>
    <t>Villahermosa</t>
  </si>
  <si>
    <t>VSA</t>
  </si>
  <si>
    <t>Oaxaca</t>
  </si>
  <si>
    <t>OAX</t>
  </si>
  <si>
    <t>Cozumel</t>
  </si>
  <si>
    <t>CZM</t>
  </si>
  <si>
    <t>Huatulco</t>
  </si>
  <si>
    <t>HUX</t>
  </si>
  <si>
    <t>Tapachula</t>
  </si>
  <si>
    <t>TAP</t>
  </si>
  <si>
    <t>Minatitlán</t>
  </si>
  <si>
    <t>MTT</t>
  </si>
  <si>
    <t>Guadalajara</t>
  </si>
  <si>
    <t>GDL</t>
  </si>
  <si>
    <t>Tijuana</t>
  </si>
  <si>
    <t>TIJ</t>
  </si>
  <si>
    <t>Puerto Vallarta</t>
  </si>
  <si>
    <t>PVR</t>
  </si>
  <si>
    <t>San Jose del Cabo</t>
  </si>
  <si>
    <t>SJD</t>
  </si>
  <si>
    <t>Hermosillo</t>
  </si>
  <si>
    <t>HMO</t>
  </si>
  <si>
    <t>BJX</t>
  </si>
  <si>
    <t>Mexicali</t>
  </si>
  <si>
    <t>MXL</t>
  </si>
  <si>
    <t>Morelia</t>
  </si>
  <si>
    <t>MLM</t>
  </si>
  <si>
    <t>LAP</t>
  </si>
  <si>
    <t>AGU</t>
  </si>
  <si>
    <t>ZLO</t>
  </si>
  <si>
    <t>LMM</t>
  </si>
  <si>
    <t>MTY</t>
  </si>
  <si>
    <t>CUL</t>
  </si>
  <si>
    <t>ACA</t>
  </si>
  <si>
    <t>CJS</t>
  </si>
  <si>
    <t>MZT</t>
  </si>
  <si>
    <t>CUU</t>
  </si>
  <si>
    <t>ZIH</t>
  </si>
  <si>
    <t>TAM</t>
  </si>
  <si>
    <t>TRC</t>
  </si>
  <si>
    <t>ZCL</t>
  </si>
  <si>
    <t>SLP</t>
  </si>
  <si>
    <t>REX</t>
  </si>
  <si>
    <t>DGO</t>
  </si>
  <si>
    <t>Brazil</t>
  </si>
  <si>
    <t>Aracaju</t>
  </si>
  <si>
    <t>AJU</t>
  </si>
  <si>
    <t>Ilhéus</t>
  </si>
  <si>
    <t>IOS</t>
  </si>
  <si>
    <t>Maceió</t>
  </si>
  <si>
    <t>MCZ</t>
  </si>
  <si>
    <t>Salvador</t>
  </si>
  <si>
    <t>SSA</t>
  </si>
  <si>
    <t>Brasília</t>
  </si>
  <si>
    <t>BSB</t>
  </si>
  <si>
    <t>Campo Grande</t>
  </si>
  <si>
    <t>CGR</t>
  </si>
  <si>
    <t>Cuiabá</t>
  </si>
  <si>
    <t>CGB</t>
  </si>
  <si>
    <t>Goiânia</t>
  </si>
  <si>
    <t>GYN</t>
  </si>
  <si>
    <t>Palmas</t>
  </si>
  <si>
    <t>PMW</t>
  </si>
  <si>
    <t>Fortaleza</t>
  </si>
  <si>
    <t>FOR</t>
  </si>
  <si>
    <t>João Pessoa</t>
  </si>
  <si>
    <t>JPA</t>
  </si>
  <si>
    <t>Juazeiro do Norte</t>
  </si>
  <si>
    <t>JDO</t>
  </si>
  <si>
    <t>Campina Grande</t>
  </si>
  <si>
    <t>CPV</t>
  </si>
  <si>
    <t>Natal</t>
  </si>
  <si>
    <t>NAT</t>
  </si>
  <si>
    <t>Petrolina</t>
  </si>
  <si>
    <t>PNZ</t>
  </si>
  <si>
    <t>Recife</t>
  </si>
  <si>
    <t>REC</t>
  </si>
  <si>
    <t>Teresina</t>
  </si>
  <si>
    <t>THE</t>
  </si>
  <si>
    <t>Belém</t>
  </si>
  <si>
    <t>BEL</t>
  </si>
  <si>
    <t>Imperatriz</t>
  </si>
  <si>
    <t>IMP</t>
  </si>
  <si>
    <t>Marabá</t>
  </si>
  <si>
    <t>MAB</t>
  </si>
  <si>
    <t>Macapa</t>
  </si>
  <si>
    <t>MCP</t>
  </si>
  <si>
    <t>São Luís</t>
  </si>
  <si>
    <t>SLZ</t>
  </si>
  <si>
    <t>Santarém</t>
  </si>
  <si>
    <t>STM</t>
  </si>
  <si>
    <t>Boa Vista</t>
  </si>
  <si>
    <t>BVB</t>
  </si>
  <si>
    <t>Cruzeiro do Sul</t>
  </si>
  <si>
    <t>CZS</t>
  </si>
  <si>
    <t>Manaus</t>
  </si>
  <si>
    <t>MAO</t>
  </si>
  <si>
    <t>Porto Velho</t>
  </si>
  <si>
    <t>PVH</t>
  </si>
  <si>
    <t>Rio Branco</t>
  </si>
  <si>
    <t>RBR</t>
  </si>
  <si>
    <t>Galeão</t>
  </si>
  <si>
    <t>GIG</t>
  </si>
  <si>
    <t>Jacarepaguá</t>
  </si>
  <si>
    <t>RIO</t>
  </si>
  <si>
    <t>Macaé</t>
  </si>
  <si>
    <t>MEA</t>
  </si>
  <si>
    <t>Santos-Dumont</t>
  </si>
  <si>
    <t>SDU</t>
  </si>
  <si>
    <t>Pampulha</t>
  </si>
  <si>
    <t>PLU</t>
  </si>
  <si>
    <t>Confins/Tancredo Neves</t>
  </si>
  <si>
    <t>CNF</t>
  </si>
  <si>
    <t>Montes Claros</t>
  </si>
  <si>
    <t>MOC</t>
  </si>
  <si>
    <t>Uberlândia</t>
  </si>
  <si>
    <t>UDI</t>
  </si>
  <si>
    <t>Vitória</t>
  </si>
  <si>
    <t>VIX</t>
  </si>
  <si>
    <t>Guarulhos</t>
  </si>
  <si>
    <t>GRU</t>
  </si>
  <si>
    <t>Campinas</t>
  </si>
  <si>
    <t>CPQ</t>
  </si>
  <si>
    <t>Campo de Marte</t>
  </si>
  <si>
    <t>CBW</t>
  </si>
  <si>
    <t>São José dos Campos</t>
  </si>
  <si>
    <t>SJK</t>
  </si>
  <si>
    <t>Congonhas</t>
  </si>
  <si>
    <t>CGH</t>
  </si>
  <si>
    <t>Curitiba</t>
  </si>
  <si>
    <t>CWB</t>
  </si>
  <si>
    <t>Foz de Iguaçu</t>
  </si>
  <si>
    <t>IGU</t>
  </si>
  <si>
    <t>Florianópolis</t>
  </si>
  <si>
    <t>FLN</t>
  </si>
  <si>
    <t>Joinville</t>
  </si>
  <si>
    <t>JOI</t>
  </si>
  <si>
    <t>Londrina</t>
  </si>
  <si>
    <t>LDB</t>
  </si>
  <si>
    <t>Navegantes</t>
  </si>
  <si>
    <t>NVT</t>
  </si>
  <si>
    <t>Porto Alegre</t>
  </si>
  <si>
    <t>POA</t>
  </si>
  <si>
    <t>Chile</t>
  </si>
  <si>
    <t>SCL</t>
  </si>
  <si>
    <t>Colombia</t>
  </si>
  <si>
    <t>Bogota-El Dorado</t>
  </si>
  <si>
    <t>BOG</t>
  </si>
  <si>
    <t>Dominican Republic</t>
  </si>
  <si>
    <t>POP</t>
  </si>
  <si>
    <t>Punta Cana</t>
  </si>
  <si>
    <t>PUJ</t>
  </si>
  <si>
    <t>Cibao/Santiago</t>
  </si>
  <si>
    <t>STI</t>
  </si>
  <si>
    <t>SDQ</t>
  </si>
  <si>
    <t>La Romana</t>
  </si>
  <si>
    <t>LRM</t>
  </si>
  <si>
    <t>AZS</t>
  </si>
  <si>
    <t>El Salvador</t>
  </si>
  <si>
    <t>SAL</t>
  </si>
  <si>
    <t>Peru</t>
  </si>
  <si>
    <t>Carepa/Antonio Roldan Betancourt</t>
  </si>
  <si>
    <t>APO</t>
  </si>
  <si>
    <t>Medellin/Olaya Herrera</t>
  </si>
  <si>
    <t>EOH</t>
  </si>
  <si>
    <t>Rionegro-Antioqua/Jose M. Cordova</t>
  </si>
  <si>
    <t>MDE</t>
  </si>
  <si>
    <t>Barranquilla/E. Cortissoz</t>
  </si>
  <si>
    <t>BAQ</t>
  </si>
  <si>
    <t>Cartagena/Rafael Nuqez</t>
  </si>
  <si>
    <t>CTS</t>
  </si>
  <si>
    <t>Armenia-El Eden</t>
  </si>
  <si>
    <t>AXM</t>
  </si>
  <si>
    <r>
      <t>Pareira-Mateca</t>
    </r>
    <r>
      <rPr>
        <b/>
        <sz val="11"/>
        <rFont val="Verdana"/>
        <family val="2"/>
      </rPr>
      <t>ñas</t>
    </r>
  </si>
  <si>
    <t>PEI</t>
  </si>
  <si>
    <t>San Andres-Isla/Gustavo Rojas Pinilla</t>
  </si>
  <si>
    <t>ADZ</t>
  </si>
  <si>
    <t>Leticia/Alfredo Vasquez Cobo</t>
  </si>
  <si>
    <t>LET</t>
  </si>
  <si>
    <t>Cali/Alfonso Bonilla Aragon</t>
  </si>
  <si>
    <t>CLO</t>
  </si>
  <si>
    <t>Neiva/Benito Salas</t>
  </si>
  <si>
    <t>NVA</t>
  </si>
  <si>
    <t>Santa Marta/Simon Bolivar</t>
  </si>
  <si>
    <t>SMR</t>
  </si>
  <si>
    <t>Villavicencio-Vanguardia</t>
  </si>
  <si>
    <t>VVC</t>
  </si>
  <si>
    <t>Pasto/Antonio Nariqo</t>
  </si>
  <si>
    <t>PSO</t>
  </si>
  <si>
    <t>Cucuta/Camilo Daza</t>
  </si>
  <si>
    <t>CUC</t>
  </si>
  <si>
    <t>Valledupar/Alfonso Lopez P.</t>
  </si>
  <si>
    <t>VUP</t>
  </si>
  <si>
    <t>Quibdo-El Caraño</t>
  </si>
  <si>
    <t>UIB</t>
  </si>
  <si>
    <t>Monteria-Los Garzones</t>
  </si>
  <si>
    <t>MTR</t>
  </si>
  <si>
    <t>Barrancabermeja-Yariguies</t>
  </si>
  <si>
    <t>EJA</t>
  </si>
  <si>
    <t>Ibague-Perales</t>
  </si>
  <si>
    <t>IBE</t>
  </si>
  <si>
    <t>Manizales-La Nubia</t>
  </si>
  <si>
    <t>MZL</t>
  </si>
  <si>
    <t>El Yopal</t>
  </si>
  <si>
    <t>EYP</t>
  </si>
  <si>
    <t>Bucaramanga-Palonegro</t>
  </si>
  <si>
    <t>BGA</t>
  </si>
  <si>
    <t>Lima/Jorge Chavez</t>
  </si>
  <si>
    <t>LIM</t>
  </si>
  <si>
    <t>Cuzco</t>
  </si>
  <si>
    <t>CUZ</t>
  </si>
  <si>
    <t>Arequipa</t>
  </si>
  <si>
    <t>AQP</t>
  </si>
  <si>
    <t>Iquitos</t>
  </si>
  <si>
    <t>IQT</t>
  </si>
  <si>
    <t>Puerto Maldonado</t>
  </si>
  <si>
    <t>PEM</t>
  </si>
  <si>
    <t>Juliaca</t>
  </si>
  <si>
    <t>JUL</t>
  </si>
  <si>
    <t>Piura</t>
  </si>
  <si>
    <t>PIU</t>
  </si>
  <si>
    <t>Pucallpa</t>
  </si>
  <si>
    <t>PCL</t>
  </si>
  <si>
    <t>Trujillo</t>
  </si>
  <si>
    <t>TRU</t>
  </si>
  <si>
    <t>Tarapoto</t>
  </si>
  <si>
    <t>TPP</t>
  </si>
  <si>
    <t>Chiclayo</t>
  </si>
  <si>
    <t>CIX</t>
  </si>
  <si>
    <t>Tacna</t>
  </si>
  <si>
    <t>TCQ</t>
  </si>
  <si>
    <t>Cajamarca</t>
  </si>
  <si>
    <t>CJA</t>
  </si>
  <si>
    <t>Uruguay</t>
  </si>
  <si>
    <t>Carrascos</t>
  </si>
  <si>
    <t>MVD</t>
  </si>
  <si>
    <t>Punta del Este/Capitan Curbelo</t>
  </si>
  <si>
    <t>PDP</t>
  </si>
  <si>
    <t>Martinique</t>
  </si>
  <si>
    <r>
      <t>Fort-de-France/Aimé</t>
    </r>
    <r>
      <rPr>
        <b/>
        <sz val="10"/>
        <rFont val="Verdana"/>
        <family val="2"/>
      </rPr>
      <t xml:space="preserve"> Césaire</t>
    </r>
  </si>
  <si>
    <t>FDF</t>
  </si>
  <si>
    <t>Guadeloupe</t>
  </si>
  <si>
    <t>Pointe-à-Pitre</t>
  </si>
  <si>
    <t>PTP</t>
  </si>
  <si>
    <t>SWF</t>
  </si>
  <si>
    <t>Pax 2011</t>
  </si>
  <si>
    <t>vly</t>
  </si>
  <si>
    <t>Pax 2009</t>
  </si>
  <si>
    <t>Ecuador</t>
  </si>
  <si>
    <t>Guayaquil/Jose Joaquin de Olmedo</t>
  </si>
  <si>
    <t>GYE</t>
  </si>
  <si>
    <t>Pittsburgh</t>
  </si>
  <si>
    <t>PIT</t>
  </si>
  <si>
    <t>Milwaukee/General Mitchell Int.</t>
  </si>
  <si>
    <t>MKE</t>
  </si>
  <si>
    <t>AUS</t>
  </si>
  <si>
    <t>Cincinnati</t>
  </si>
  <si>
    <t>CVG</t>
  </si>
  <si>
    <t>Indianapolis</t>
  </si>
  <si>
    <t>IND</t>
  </si>
  <si>
    <t>Albuquerque</t>
  </si>
  <si>
    <t>ABQ</t>
  </si>
  <si>
    <t>Raleigh-Durham</t>
  </si>
  <si>
    <t>RDU</t>
  </si>
  <si>
    <t>Oakland</t>
  </si>
  <si>
    <t>OAK</t>
  </si>
  <si>
    <t>Nashville</t>
  </si>
  <si>
    <t>BNA</t>
  </si>
  <si>
    <t>San Salvador/Comalapa</t>
  </si>
  <si>
    <r>
      <t xml:space="preserve">Calgary </t>
    </r>
    <r>
      <rPr>
        <b/>
        <vertAlign val="superscript"/>
        <sz val="10"/>
        <rFont val="Verdana"/>
        <family val="2"/>
      </rPr>
      <t>1</t>
    </r>
  </si>
  <si>
    <r>
      <t xml:space="preserve">Montreal </t>
    </r>
    <r>
      <rPr>
        <b/>
        <vertAlign val="superscript"/>
        <sz val="10"/>
        <rFont val="Verdana"/>
        <family val="2"/>
      </rPr>
      <t>1</t>
    </r>
  </si>
  <si>
    <r>
      <t xml:space="preserve">Acapulco </t>
    </r>
    <r>
      <rPr>
        <b/>
        <vertAlign val="superscript"/>
        <sz val="10"/>
        <rFont val="Verdana"/>
        <family val="2"/>
      </rPr>
      <t>2</t>
    </r>
  </si>
  <si>
    <r>
      <t xml:space="preserve">Chihuahua </t>
    </r>
    <r>
      <rPr>
        <b/>
        <vertAlign val="superscript"/>
        <sz val="10"/>
        <rFont val="Verdana"/>
        <family val="2"/>
      </rPr>
      <t>2</t>
    </r>
  </si>
  <si>
    <r>
      <t>Ciudad Juarez</t>
    </r>
    <r>
      <rPr>
        <b/>
        <vertAlign val="superscript"/>
        <sz val="10"/>
        <rFont val="Verdana"/>
        <family val="2"/>
      </rPr>
      <t xml:space="preserve"> 2</t>
    </r>
  </si>
  <si>
    <r>
      <t xml:space="preserve">Culiacán </t>
    </r>
    <r>
      <rPr>
        <b/>
        <vertAlign val="superscript"/>
        <sz val="10"/>
        <rFont val="Verdana"/>
        <family val="2"/>
      </rPr>
      <t>2</t>
    </r>
  </si>
  <si>
    <r>
      <t xml:space="preserve">Durango </t>
    </r>
    <r>
      <rPr>
        <b/>
        <vertAlign val="superscript"/>
        <sz val="10"/>
        <rFont val="Verdana"/>
        <family val="2"/>
      </rPr>
      <t>2</t>
    </r>
  </si>
  <si>
    <r>
      <t xml:space="preserve">Mazatlán </t>
    </r>
    <r>
      <rPr>
        <b/>
        <vertAlign val="superscript"/>
        <sz val="10"/>
        <rFont val="Verdana"/>
        <family val="2"/>
      </rPr>
      <t>2</t>
    </r>
  </si>
  <si>
    <r>
      <t xml:space="preserve">Monterrey </t>
    </r>
    <r>
      <rPr>
        <b/>
        <vertAlign val="superscript"/>
        <sz val="10"/>
        <rFont val="Verdana"/>
        <family val="2"/>
      </rPr>
      <t>2</t>
    </r>
  </si>
  <si>
    <r>
      <t xml:space="preserve">Reynosa </t>
    </r>
    <r>
      <rPr>
        <b/>
        <vertAlign val="superscript"/>
        <sz val="10"/>
        <rFont val="Verdana"/>
        <family val="2"/>
      </rPr>
      <t>2</t>
    </r>
  </si>
  <si>
    <r>
      <t xml:space="preserve">San Luis Potosí </t>
    </r>
    <r>
      <rPr>
        <b/>
        <vertAlign val="superscript"/>
        <sz val="10"/>
        <rFont val="Verdana"/>
        <family val="2"/>
      </rPr>
      <t>2</t>
    </r>
  </si>
  <si>
    <r>
      <t xml:space="preserve">Tampico </t>
    </r>
    <r>
      <rPr>
        <b/>
        <vertAlign val="superscript"/>
        <sz val="10"/>
        <rFont val="Verdana"/>
        <family val="2"/>
      </rPr>
      <t>2</t>
    </r>
  </si>
  <si>
    <r>
      <t xml:space="preserve">Torreón </t>
    </r>
    <r>
      <rPr>
        <b/>
        <vertAlign val="superscript"/>
        <sz val="10"/>
        <rFont val="Verdana"/>
        <family val="2"/>
      </rPr>
      <t>2</t>
    </r>
  </si>
  <si>
    <r>
      <t xml:space="preserve">Zacatecas </t>
    </r>
    <r>
      <rPr>
        <b/>
        <vertAlign val="superscript"/>
        <sz val="10"/>
        <rFont val="Verdana"/>
        <family val="2"/>
      </rPr>
      <t>2</t>
    </r>
  </si>
  <si>
    <r>
      <t xml:space="preserve">Zihuatanejo </t>
    </r>
    <r>
      <rPr>
        <b/>
        <vertAlign val="superscript"/>
        <sz val="10"/>
        <rFont val="Verdana"/>
        <family val="2"/>
      </rPr>
      <t>2</t>
    </r>
  </si>
  <si>
    <t xml:space="preserve">Aguascalientes </t>
  </si>
  <si>
    <t xml:space="preserve">Manzanillo </t>
  </si>
  <si>
    <t xml:space="preserve">Los Mochis </t>
  </si>
  <si>
    <t xml:space="preserve">Leon/Del Bajio (Guanajuato) </t>
  </si>
  <si>
    <t xml:space="preserve">La Paz </t>
  </si>
  <si>
    <r>
      <t xml:space="preserve">Austin-Bergstrom </t>
    </r>
    <r>
      <rPr>
        <b/>
        <vertAlign val="superscript"/>
        <sz val="10"/>
        <rFont val="Verdana"/>
        <family val="2"/>
      </rPr>
      <t>1</t>
    </r>
  </si>
  <si>
    <r>
      <t xml:space="preserve">Baltimore/Washington </t>
    </r>
    <r>
      <rPr>
        <b/>
        <vertAlign val="superscript"/>
        <sz val="10"/>
        <rFont val="Verdana"/>
        <family val="2"/>
      </rPr>
      <t>3</t>
    </r>
  </si>
  <si>
    <r>
      <t xml:space="preserve">Chicago Midway </t>
    </r>
    <r>
      <rPr>
        <b/>
        <vertAlign val="superscript"/>
        <sz val="10"/>
        <rFont val="Verdana"/>
        <family val="2"/>
      </rPr>
      <t>1</t>
    </r>
  </si>
  <si>
    <r>
      <t xml:space="preserve">Chicago O'Hare </t>
    </r>
    <r>
      <rPr>
        <b/>
        <vertAlign val="superscript"/>
        <sz val="10"/>
        <rFont val="Verdana"/>
        <family val="2"/>
      </rPr>
      <t>1</t>
    </r>
  </si>
  <si>
    <r>
      <t xml:space="preserve">Denver </t>
    </r>
    <r>
      <rPr>
        <b/>
        <vertAlign val="superscript"/>
        <sz val="10"/>
        <rFont val="Verdana"/>
        <family val="2"/>
      </rPr>
      <t>1</t>
    </r>
  </si>
  <si>
    <r>
      <t>Minneapolis/St Paul</t>
    </r>
    <r>
      <rPr>
        <b/>
        <vertAlign val="superscript"/>
        <sz val="10"/>
        <rFont val="Verdana"/>
        <family val="2"/>
      </rPr>
      <t xml:space="preserve"> 1</t>
    </r>
  </si>
  <si>
    <r>
      <t xml:space="preserve">New York JFK </t>
    </r>
    <r>
      <rPr>
        <b/>
        <vertAlign val="superscript"/>
        <sz val="10"/>
        <rFont val="Verdana"/>
        <family val="2"/>
      </rPr>
      <t>1</t>
    </r>
  </si>
  <si>
    <r>
      <t>New York LaGuardia</t>
    </r>
    <r>
      <rPr>
        <b/>
        <vertAlign val="superscript"/>
        <sz val="10"/>
        <rFont val="Verdana"/>
        <family val="2"/>
      </rPr>
      <t xml:space="preserve"> 1</t>
    </r>
  </si>
  <si>
    <r>
      <t>Newark</t>
    </r>
    <r>
      <rPr>
        <b/>
        <vertAlign val="superscript"/>
        <sz val="10"/>
        <rFont val="Verdana"/>
        <family val="2"/>
      </rPr>
      <t xml:space="preserve"> 1</t>
    </r>
  </si>
  <si>
    <r>
      <t xml:space="preserve">Stewart </t>
    </r>
    <r>
      <rPr>
        <b/>
        <vertAlign val="superscript"/>
        <sz val="10"/>
        <rFont val="Verdana"/>
        <family val="2"/>
      </rPr>
      <t>1</t>
    </r>
  </si>
  <si>
    <r>
      <t xml:space="preserve">Washington Dulles </t>
    </r>
    <r>
      <rPr>
        <b/>
        <vertAlign val="superscript"/>
        <sz val="10"/>
        <rFont val="Verdana"/>
        <family val="2"/>
      </rPr>
      <t>4</t>
    </r>
  </si>
  <si>
    <r>
      <t xml:space="preserve">Washington Reagan </t>
    </r>
    <r>
      <rPr>
        <b/>
        <vertAlign val="superscript"/>
        <sz val="10"/>
        <rFont val="Verdana"/>
        <family val="2"/>
      </rPr>
      <t>4</t>
    </r>
  </si>
  <si>
    <t>St. Louis/Lambert</t>
  </si>
  <si>
    <t>STL</t>
  </si>
  <si>
    <t>San Antonio</t>
  </si>
  <si>
    <t>SAT</t>
  </si>
  <si>
    <t>Fort Myers/Southwest Florida</t>
  </si>
  <si>
    <t>RSW</t>
  </si>
  <si>
    <t>Palm Beach</t>
  </si>
  <si>
    <t>PBI</t>
  </si>
  <si>
    <t>ONT</t>
  </si>
  <si>
    <t>Columbus/Port Columbus</t>
  </si>
  <si>
    <t>CMH</t>
  </si>
  <si>
    <t>New Orleans/Louis Armstrong</t>
  </si>
  <si>
    <t>MSY</t>
  </si>
  <si>
    <t>BUR</t>
  </si>
  <si>
    <t>Providence/Theodore Francis Green</t>
  </si>
  <si>
    <t>PVD</t>
  </si>
  <si>
    <t>Reno-Tahoe</t>
  </si>
  <si>
    <t>RNO</t>
  </si>
  <si>
    <t>Omaha/Eppley</t>
  </si>
  <si>
    <t>OMA</t>
  </si>
  <si>
    <t>Paraguay</t>
  </si>
  <si>
    <t>Silvio Pettirossi</t>
  </si>
  <si>
    <t>ASU</t>
  </si>
  <si>
    <r>
      <t xml:space="preserve">Burbank/Bob Hope </t>
    </r>
    <r>
      <rPr>
        <b/>
        <vertAlign val="superscript"/>
        <sz val="10"/>
        <rFont val="Verdana"/>
        <family val="2"/>
      </rPr>
      <t>5</t>
    </r>
  </si>
  <si>
    <r>
      <t xml:space="preserve">Kansas City </t>
    </r>
    <r>
      <rPr>
        <b/>
        <vertAlign val="superscript"/>
        <sz val="10"/>
        <rFont val="Verdana"/>
        <family val="2"/>
      </rPr>
      <t>5</t>
    </r>
  </si>
  <si>
    <t>Norfolk</t>
  </si>
  <si>
    <t>ORF</t>
  </si>
  <si>
    <t>El Paso</t>
  </si>
  <si>
    <t>ELP</t>
  </si>
  <si>
    <t>Boise</t>
  </si>
  <si>
    <t>BOI</t>
  </si>
  <si>
    <t>Richmond</t>
  </si>
  <si>
    <t>RIC</t>
  </si>
  <si>
    <t>Long Beach</t>
  </si>
  <si>
    <t>LGB</t>
  </si>
  <si>
    <t>Little Rock</t>
  </si>
  <si>
    <t>LIT</t>
  </si>
  <si>
    <t>XNA</t>
  </si>
  <si>
    <t>Grand Rapids/Gerald R. Ford</t>
  </si>
  <si>
    <t>GRR</t>
  </si>
  <si>
    <t>COS</t>
  </si>
  <si>
    <t>Savannah/Hilton Head</t>
  </si>
  <si>
    <t>SAV</t>
  </si>
  <si>
    <t>Des Moines</t>
  </si>
  <si>
    <t>DSM</t>
  </si>
  <si>
    <t>Charleston</t>
  </si>
  <si>
    <t>CHS</t>
  </si>
  <si>
    <t>Orlando Sanford</t>
  </si>
  <si>
    <t>SFB</t>
  </si>
  <si>
    <t>Springfield-Branson</t>
  </si>
  <si>
    <t>SGF</t>
  </si>
  <si>
    <t>Knoxville/McGhee Tyson</t>
  </si>
  <si>
    <t>TYS</t>
  </si>
  <si>
    <t>Greenville-Spartanburg</t>
  </si>
  <si>
    <t>GSP</t>
  </si>
  <si>
    <t>Jackson-Evers</t>
  </si>
  <si>
    <t>JAN</t>
  </si>
  <si>
    <r>
      <t xml:space="preserve">Colorado Springs </t>
    </r>
    <r>
      <rPr>
        <b/>
        <vertAlign val="superscript"/>
        <sz val="10"/>
        <rFont val="Verdana"/>
        <family val="2"/>
      </rPr>
      <t>6</t>
    </r>
  </si>
  <si>
    <r>
      <t xml:space="preserve">Boston </t>
    </r>
    <r>
      <rPr>
        <b/>
        <vertAlign val="superscript"/>
        <sz val="10"/>
        <rFont val="Verdana"/>
        <family val="2"/>
      </rPr>
      <t>3</t>
    </r>
  </si>
  <si>
    <t>Oklahoma City/Will Rogers</t>
  </si>
  <si>
    <t>OKC</t>
  </si>
  <si>
    <t>Palm Springs</t>
  </si>
  <si>
    <t>PSP</t>
  </si>
  <si>
    <t>Antofagasta/Cerro Moreno</t>
  </si>
  <si>
    <t>ANF</t>
  </si>
  <si>
    <t>Arica-Chacalluta</t>
  </si>
  <si>
    <t>ARI</t>
  </si>
  <si>
    <t>Balmaceda</t>
  </si>
  <si>
    <t>BBA</t>
  </si>
  <si>
    <t>Calama/El Loa</t>
  </si>
  <si>
    <t>CJC</t>
  </si>
  <si>
    <t>Concepcion/Carriel Sur</t>
  </si>
  <si>
    <t>CCP</t>
  </si>
  <si>
    <t>Copiapo/Desierto de Atacama</t>
  </si>
  <si>
    <t>CPO</t>
  </si>
  <si>
    <t>Iquique/Diego Aracena</t>
  </si>
  <si>
    <t>IQQ</t>
  </si>
  <si>
    <t>Isla de Pascua/Mataveri</t>
  </si>
  <si>
    <t>IPC</t>
  </si>
  <si>
    <t>La Serena-La Florida</t>
  </si>
  <si>
    <t>LSC</t>
  </si>
  <si>
    <t>Osorno-Cañal Bajo</t>
  </si>
  <si>
    <t>ZOS</t>
  </si>
  <si>
    <t>Puerto Montt/El Tepual</t>
  </si>
  <si>
    <t>PMC</t>
  </si>
  <si>
    <t>Punta Arenas/Presidente C. Ibáñez del Campo</t>
  </si>
  <si>
    <t>PUQ</t>
  </si>
  <si>
    <t xml:space="preserve">Santiago/Arturo Merino Benítez    </t>
  </si>
  <si>
    <t>Temuco-Maquehue</t>
  </si>
  <si>
    <t>ZCO</t>
  </si>
  <si>
    <t>Valdivia-Pichoy</t>
  </si>
  <si>
    <t>ZAL</t>
  </si>
  <si>
    <t>Jacksonville</t>
  </si>
  <si>
    <t>JAX</t>
  </si>
  <si>
    <t>Mérida</t>
  </si>
  <si>
    <r>
      <t xml:space="preserve">Bentonville/Northwest Arkansas </t>
    </r>
    <r>
      <rPr>
        <b/>
        <vertAlign val="superscript"/>
        <sz val="10"/>
        <rFont val="Verdana"/>
        <family val="2"/>
      </rPr>
      <t>1</t>
    </r>
  </si>
  <si>
    <t>Uberaba</t>
  </si>
  <si>
    <t>UBA</t>
  </si>
  <si>
    <t>SNA</t>
  </si>
  <si>
    <t>San Jose</t>
  </si>
  <si>
    <t>SJC</t>
  </si>
  <si>
    <t>DAL</t>
  </si>
  <si>
    <t>Hartford-Springfield/Bradley</t>
  </si>
  <si>
    <t>BDL</t>
  </si>
  <si>
    <t>Tucson</t>
  </si>
  <si>
    <t>TUS</t>
  </si>
  <si>
    <t>Louisville</t>
  </si>
  <si>
    <t>SDF</t>
  </si>
  <si>
    <t>Spokane</t>
  </si>
  <si>
    <t>GEG</t>
  </si>
  <si>
    <r>
      <t xml:space="preserve">Santa Ana/John Wayne </t>
    </r>
    <r>
      <rPr>
        <b/>
        <vertAlign val="superscript"/>
        <sz val="10"/>
        <rFont val="Verdana"/>
        <family val="2"/>
      </rPr>
      <t>7</t>
    </r>
  </si>
  <si>
    <r>
      <t xml:space="preserve">Dallas/Love Field </t>
    </r>
    <r>
      <rPr>
        <b/>
        <vertAlign val="superscript"/>
        <sz val="10"/>
        <rFont val="Verdana"/>
        <family val="2"/>
      </rPr>
      <t>4</t>
    </r>
  </si>
  <si>
    <t>KCI</t>
  </si>
  <si>
    <t>Los Angeles/Ontario</t>
  </si>
  <si>
    <t>Guarani</t>
  </si>
  <si>
    <t>AGT</t>
  </si>
  <si>
    <t>Phoenix Mesa Gateway</t>
  </si>
  <si>
    <t>AZA</t>
  </si>
  <si>
    <t>Panama</t>
  </si>
  <si>
    <t>Tocumen International</t>
  </si>
  <si>
    <t>PTY</t>
  </si>
  <si>
    <t>Myrtle Beach</t>
  </si>
  <si>
    <t>MYR</t>
  </si>
  <si>
    <t>Columbia</t>
  </si>
  <si>
    <t>CAE</t>
  </si>
  <si>
    <t>Sacramento</t>
  </si>
  <si>
    <t>SMF</t>
  </si>
  <si>
    <t>Pax 2012</t>
  </si>
  <si>
    <t>Memphis</t>
  </si>
  <si>
    <t>MEM</t>
  </si>
  <si>
    <r>
      <t>Pereira-Mateca</t>
    </r>
    <r>
      <rPr>
        <b/>
        <sz val="11"/>
        <rFont val="Verdana"/>
        <family val="2"/>
      </rPr>
      <t>ñas</t>
    </r>
  </si>
  <si>
    <t>Rionegro-Antioquia/Jose M. Cordova</t>
  </si>
  <si>
    <t>Wichita</t>
  </si>
  <si>
    <t>ICT</t>
  </si>
  <si>
    <t>Pax 2013</t>
  </si>
  <si>
    <r>
      <t>Samana (El Catey)</t>
    </r>
    <r>
      <rPr>
        <b/>
        <sz val="8"/>
        <rFont val="Verdana"/>
        <family val="2"/>
      </rPr>
      <t>2</t>
    </r>
  </si>
  <si>
    <r>
      <t xml:space="preserve">Santo Domingo (Las Americas) </t>
    </r>
    <r>
      <rPr>
        <b/>
        <sz val="8"/>
        <rFont val="Verdana"/>
        <family val="2"/>
      </rPr>
      <t>2</t>
    </r>
  </si>
  <si>
    <r>
      <t xml:space="preserve">Puerto Plata (La Union) </t>
    </r>
    <r>
      <rPr>
        <b/>
        <sz val="8"/>
        <rFont val="Verdana"/>
        <family val="2"/>
      </rPr>
      <t>2</t>
    </r>
  </si>
  <si>
    <t>Pax 2014</t>
  </si>
  <si>
    <t>Quebec City</t>
  </si>
  <si>
    <t>YQB</t>
  </si>
  <si>
    <t>Buffalo</t>
  </si>
  <si>
    <t>BUF</t>
  </si>
  <si>
    <t>Fresno</t>
  </si>
  <si>
    <t>FAT</t>
  </si>
  <si>
    <t>Tulsa</t>
  </si>
  <si>
    <t>TUL</t>
  </si>
  <si>
    <t>Sarasota</t>
  </si>
  <si>
    <t>SRQ</t>
  </si>
  <si>
    <t>CLE</t>
  </si>
  <si>
    <t>Cleveland</t>
  </si>
  <si>
    <t>Pax 2015</t>
  </si>
  <si>
    <t>Guatemala</t>
  </si>
  <si>
    <t>Guatemala City</t>
  </si>
  <si>
    <t>GUA</t>
  </si>
  <si>
    <t>Atlantic City</t>
  </si>
  <si>
    <t>ACY</t>
  </si>
  <si>
    <t xml:space="preserve">Tumbes </t>
  </si>
  <si>
    <t>TBP</t>
  </si>
  <si>
    <t>Tumbes</t>
  </si>
  <si>
    <t>Ayacucho</t>
  </si>
  <si>
    <t>AYP</t>
  </si>
  <si>
    <t>Nazca</t>
  </si>
  <si>
    <t>NZC</t>
  </si>
  <si>
    <t xml:space="preserve">NZC </t>
  </si>
  <si>
    <t>Houston Intercontinental</t>
  </si>
  <si>
    <t>Rio de Janeiro Galeão</t>
  </si>
  <si>
    <t xml:space="preserve"> 153 951</t>
  </si>
  <si>
    <t>Pereira-Matecañas</t>
  </si>
  <si>
    <t>Pax 2016</t>
  </si>
  <si>
    <t>Stewart</t>
  </si>
  <si>
    <t>Pax 2017</t>
  </si>
  <si>
    <t>Toronto Pearson</t>
  </si>
  <si>
    <t>Seattle-Tacoma</t>
  </si>
  <si>
    <t>Birmingham</t>
  </si>
  <si>
    <t>BHM</t>
  </si>
  <si>
    <t>Dayton</t>
  </si>
  <si>
    <t>DAY</t>
  </si>
  <si>
    <t>Manchester</t>
  </si>
  <si>
    <t>MHT</t>
  </si>
  <si>
    <t>Akron-Canton</t>
  </si>
  <si>
    <t>CAK</t>
  </si>
  <si>
    <t>Akron-Cantan</t>
  </si>
  <si>
    <t>Pensacola</t>
  </si>
  <si>
    <t>PNS</t>
  </si>
  <si>
    <t>Costa Rica</t>
  </si>
  <si>
    <t>SJO</t>
  </si>
  <si>
    <t>Jamaica</t>
  </si>
  <si>
    <t>Montego Bay</t>
  </si>
  <si>
    <t>MBJ</t>
  </si>
  <si>
    <t>Argentina</t>
  </si>
  <si>
    <t>RGA</t>
  </si>
  <si>
    <t>PSS</t>
  </si>
  <si>
    <t>MDQ</t>
  </si>
  <si>
    <t>RES</t>
  </si>
  <si>
    <t>REL</t>
  </si>
  <si>
    <t>RGL</t>
  </si>
  <si>
    <t>JUJ</t>
  </si>
  <si>
    <t>BHI</t>
  </si>
  <si>
    <t>UAQ</t>
  </si>
  <si>
    <t>ROS</t>
  </si>
  <si>
    <t>CRD</t>
  </si>
  <si>
    <t>TUC</t>
  </si>
  <si>
    <t>FTE</t>
  </si>
  <si>
    <t>USH</t>
  </si>
  <si>
    <t>NQN</t>
  </si>
  <si>
    <t>IGR</t>
  </si>
  <si>
    <t>SLA</t>
  </si>
  <si>
    <t>MDZ</t>
  </si>
  <si>
    <t>BRC</t>
  </si>
  <si>
    <t>COR</t>
  </si>
  <si>
    <t>EZE</t>
  </si>
  <si>
    <t>AEP</t>
  </si>
  <si>
    <t>Río Grande</t>
  </si>
  <si>
    <t>Posadas</t>
  </si>
  <si>
    <t>Mar del Plata</t>
  </si>
  <si>
    <t>Resistencia</t>
  </si>
  <si>
    <t>Trelew</t>
  </si>
  <si>
    <t>Río Gallegos</t>
  </si>
  <si>
    <t>Jujuy</t>
  </si>
  <si>
    <t>Bahía Blanca</t>
  </si>
  <si>
    <t>San Juan</t>
  </si>
  <si>
    <t>Rosario</t>
  </si>
  <si>
    <t>Comodoro Rivadavia</t>
  </si>
  <si>
    <t>Tucumán</t>
  </si>
  <si>
    <t>El Calafate</t>
  </si>
  <si>
    <t>Ushuaia</t>
  </si>
  <si>
    <t>Neuquén</t>
  </si>
  <si>
    <t>Iguazú</t>
  </si>
  <si>
    <t>Salta</t>
  </si>
  <si>
    <t>Mendoza</t>
  </si>
  <si>
    <t>Bariloche</t>
  </si>
  <si>
    <t>Cordoba</t>
  </si>
  <si>
    <t>Buenos Aires Ezeiza</t>
  </si>
  <si>
    <t>Buenos Aires Aeroparque</t>
  </si>
  <si>
    <t>Barbados</t>
  </si>
  <si>
    <t>BGI</t>
  </si>
  <si>
    <t>Bridgetown</t>
  </si>
  <si>
    <t>St. Lucia</t>
  </si>
  <si>
    <t>UVF</t>
  </si>
  <si>
    <t>St Lucia Hewanorra International</t>
  </si>
  <si>
    <t>St Lucia George F. L. Charles</t>
  </si>
  <si>
    <t>SLU</t>
  </si>
  <si>
    <t>Cayman Islands</t>
  </si>
  <si>
    <t>GCM</t>
  </si>
  <si>
    <t>Grand Cayman </t>
  </si>
  <si>
    <t>Kansas City</t>
  </si>
  <si>
    <t>Anchorage</t>
  </si>
  <si>
    <t>ANC</t>
  </si>
  <si>
    <t xml:space="preserve">USA </t>
  </si>
  <si>
    <t>Flint</t>
  </si>
  <si>
    <t>FNT</t>
  </si>
  <si>
    <t>Kalamazoo</t>
  </si>
  <si>
    <t>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</si>
</sst>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0.000"/>
    <numFmt numFmtId="167" formatCode="0.0%"/>
    <numFmt numFmtId="168" formatCode="#\ ###\ ##0"/>
    <numFmt numFmtId="169" formatCode="_-[$€-2]\ * #,##0.00_-;\-[$€-2]\ * #,##0.00_-;_-[$€-2]\ * &quot;-&quot;??_-"/>
    <numFmt numFmtId="170" formatCode="0.00_)"/>
  </numFmts>
  <fonts count="4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b/>
      <vertAlign val="superscript"/>
      <sz val="10"/>
      <name val="Verdana"/>
      <family val="2"/>
    </font>
    <font>
      <sz val="10"/>
      <name val="Verdana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b/>
      <sz val="8"/>
      <color indexed="9"/>
      <name val="Verdana"/>
      <family val="2"/>
    </font>
    <font>
      <b/>
      <sz val="8"/>
      <color indexed="8"/>
      <name val="Verdana"/>
      <family val="2"/>
    </font>
    <font>
      <sz val="10"/>
      <color indexed="8"/>
      <name val="Arial"/>
      <family val="2"/>
    </font>
    <font>
      <sz val="9"/>
      <color indexed="23"/>
      <name val="Arial"/>
      <family val="2"/>
    </font>
    <font>
      <sz val="7.5"/>
      <color indexed="8"/>
      <name val="Arial"/>
      <family val="2"/>
    </font>
    <font>
      <sz val="8"/>
      <color indexed="8"/>
      <name val="Arial"/>
      <family val="2"/>
    </font>
    <font>
      <sz val="8"/>
      <name val="Calibri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u/>
      <sz val="10"/>
      <color indexed="12"/>
      <name val="Courier"/>
      <family val="3"/>
    </font>
    <font>
      <sz val="10"/>
      <name val="System"/>
      <family val="2"/>
    </font>
    <font>
      <sz val="10"/>
      <name val="Times New Roman"/>
      <family val="1"/>
    </font>
    <font>
      <sz val="12"/>
      <name val="Arial MT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 (W1)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  <charset val="238"/>
    </font>
    <font>
      <b/>
      <sz val="8"/>
      <color theme="1"/>
      <name val="Verdana"/>
      <family val="2"/>
    </font>
    <font>
      <b/>
      <sz val="10"/>
      <color rgb="FF000099"/>
      <name val="Arial"/>
      <family val="2"/>
    </font>
    <font>
      <sz val="8"/>
      <color theme="1"/>
      <name val="Verdana"/>
      <family val="2"/>
    </font>
    <font>
      <b/>
      <sz val="8"/>
      <color theme="0"/>
      <name val="Verdana"/>
      <family val="2"/>
    </font>
    <font>
      <sz val="12"/>
      <color rgb="FF191919"/>
      <name val="Trebuchet MS"/>
      <family val="2"/>
    </font>
    <font>
      <b/>
      <sz val="8"/>
      <color rgb="FF000000"/>
      <name val="Verdana"/>
      <family val="2"/>
    </font>
    <font>
      <b/>
      <sz val="8"/>
      <color rgb="FF191919"/>
      <name val="Verdana"/>
      <family val="2"/>
    </font>
    <font>
      <b/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8"/>
      </patternFill>
    </fill>
    <fill>
      <patternFill patternType="solid">
        <fgColor indexed="8"/>
        <bgColor indexed="8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</borders>
  <cellStyleXfs count="44">
    <xf numFmtId="0" fontId="0" fillId="0" borderId="0"/>
    <xf numFmtId="165" fontId="9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21" fillId="0" borderId="1" applyNumberFormat="0" applyFill="0" applyAlignment="0" applyProtection="0"/>
    <xf numFmtId="164" fontId="9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21" fillId="0" borderId="2" applyNumberFormat="0" applyFill="0" applyAlignment="0" applyProtection="0"/>
    <xf numFmtId="0" fontId="23" fillId="0" borderId="0" applyNumberFormat="0" applyFill="0" applyBorder="0" applyAlignment="0" applyProtection="0"/>
    <xf numFmtId="169" fontId="1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3" applyNumberFormat="0" applyFill="0" applyAlignment="0" applyProtection="0"/>
    <xf numFmtId="0" fontId="21" fillId="0" borderId="1" applyNumberFormat="0" applyFill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8" fillId="0" borderId="0"/>
    <xf numFmtId="0" fontId="24" fillId="0" borderId="0"/>
    <xf numFmtId="0" fontId="32" fillId="0" borderId="0"/>
    <xf numFmtId="0" fontId="18" fillId="0" borderId="0"/>
    <xf numFmtId="0" fontId="18" fillId="0" borderId="0"/>
    <xf numFmtId="0" fontId="24" fillId="0" borderId="0"/>
    <xf numFmtId="0" fontId="19" fillId="0" borderId="0"/>
    <xf numFmtId="0" fontId="18" fillId="0" borderId="0"/>
    <xf numFmtId="0" fontId="35" fillId="0" borderId="0"/>
    <xf numFmtId="0" fontId="20" fillId="0" borderId="0"/>
    <xf numFmtId="0" fontId="27" fillId="0" borderId="0"/>
    <xf numFmtId="0" fontId="28" fillId="0" borderId="0"/>
    <xf numFmtId="0" fontId="30" fillId="0" borderId="0"/>
    <xf numFmtId="0" fontId="33" fillId="0" borderId="0"/>
    <xf numFmtId="0" fontId="12" fillId="0" borderId="0">
      <alignment vertical="top"/>
    </xf>
    <xf numFmtId="170" fontId="29" fillId="0" borderId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3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36" fillId="0" borderId="5" applyNumberFormat="0" applyFill="0" applyAlignment="0" applyProtection="0"/>
    <xf numFmtId="0" fontId="23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 applyFill="1" applyBorder="1"/>
    <xf numFmtId="167" fontId="3" fillId="0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2" fillId="2" borderId="0" xfId="0" applyFont="1" applyFill="1" applyBorder="1"/>
    <xf numFmtId="167" fontId="4" fillId="2" borderId="0" xfId="0" applyNumberFormat="1" applyFont="1" applyFill="1" applyBorder="1" applyAlignment="1">
      <alignment horizontal="right"/>
    </xf>
    <xf numFmtId="168" fontId="10" fillId="3" borderId="0" xfId="0" applyNumberFormat="1" applyFont="1" applyFill="1" applyBorder="1"/>
    <xf numFmtId="167" fontId="2" fillId="0" borderId="0" xfId="0" applyNumberFormat="1" applyFont="1" applyFill="1" applyBorder="1"/>
    <xf numFmtId="166" fontId="2" fillId="2" borderId="0" xfId="0" applyNumberFormat="1" applyFont="1" applyFill="1" applyBorder="1" applyAlignment="1">
      <alignment horizontal="right"/>
    </xf>
    <xf numFmtId="167" fontId="2" fillId="2" borderId="0" xfId="36" applyNumberFormat="1" applyFont="1" applyFill="1" applyBorder="1" applyAlignment="1">
      <alignment horizontal="right"/>
    </xf>
    <xf numFmtId="168" fontId="3" fillId="0" borderId="0" xfId="0" applyNumberFormat="1" applyFont="1" applyFill="1" applyBorder="1"/>
    <xf numFmtId="168" fontId="3" fillId="0" borderId="0" xfId="19" applyNumberFormat="1" applyFont="1"/>
    <xf numFmtId="168" fontId="11" fillId="0" borderId="0" xfId="0" applyNumberFormat="1" applyFont="1"/>
    <xf numFmtId="3" fontId="0" fillId="0" borderId="0" xfId="0" applyNumberFormat="1"/>
    <xf numFmtId="3" fontId="12" fillId="0" borderId="0" xfId="0" applyNumberFormat="1" applyFont="1" applyFill="1"/>
    <xf numFmtId="10" fontId="11" fillId="0" borderId="0" xfId="0" applyNumberFormat="1" applyFont="1"/>
    <xf numFmtId="10" fontId="3" fillId="2" borderId="0" xfId="36" applyNumberFormat="1" applyFont="1" applyFill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13" fillId="0" borderId="0" xfId="0" applyNumberFormat="1" applyFont="1"/>
    <xf numFmtId="3" fontId="14" fillId="0" borderId="0" xfId="0" applyNumberFormat="1" applyFont="1"/>
    <xf numFmtId="0" fontId="15" fillId="0" borderId="0" xfId="0" applyFont="1"/>
    <xf numFmtId="3" fontId="17" fillId="0" borderId="0" xfId="0" applyNumberFormat="1" applyFont="1"/>
    <xf numFmtId="168" fontId="3" fillId="0" borderId="0" xfId="0" applyNumberFormat="1" applyFont="1" applyFill="1" applyBorder="1" applyAlignment="1">
      <alignment horizontal="right"/>
    </xf>
    <xf numFmtId="168" fontId="0" fillId="0" borderId="0" xfId="0" applyNumberFormat="1"/>
    <xf numFmtId="167" fontId="2" fillId="2" borderId="0" xfId="0" applyNumberFormat="1" applyFont="1" applyFill="1" applyBorder="1" applyAlignment="1">
      <alignment horizontal="right"/>
    </xf>
    <xf numFmtId="3" fontId="37" fillId="0" borderId="0" xfId="0" applyNumberFormat="1" applyFont="1"/>
    <xf numFmtId="168" fontId="3" fillId="0" borderId="0" xfId="0" applyNumberFormat="1" applyFont="1"/>
    <xf numFmtId="168" fontId="38" fillId="0" borderId="0" xfId="0" applyNumberFormat="1" applyFont="1" applyFill="1" applyBorder="1" applyAlignment="1">
      <alignment horizontal="right"/>
    </xf>
    <xf numFmtId="168" fontId="38" fillId="0" borderId="0" xfId="0" applyNumberFormat="1" applyFont="1" applyFill="1" applyBorder="1"/>
    <xf numFmtId="0" fontId="0" fillId="0" borderId="0" xfId="0" applyFill="1"/>
    <xf numFmtId="168" fontId="38" fillId="0" borderId="0" xfId="0" applyNumberFormat="1" applyFont="1"/>
    <xf numFmtId="3" fontId="36" fillId="0" borderId="0" xfId="0" applyNumberFormat="1" applyFont="1"/>
    <xf numFmtId="168" fontId="36" fillId="0" borderId="0" xfId="0" applyNumberFormat="1" applyFont="1"/>
    <xf numFmtId="168" fontId="3" fillId="0" borderId="0" xfId="0" applyNumberFormat="1" applyFont="1" applyFill="1" applyBorder="1" applyAlignment="1"/>
    <xf numFmtId="0" fontId="2" fillId="0" borderId="0" xfId="0" applyFont="1" applyFill="1" applyBorder="1" applyAlignment="1"/>
    <xf numFmtId="168" fontId="10" fillId="3" borderId="0" xfId="0" applyNumberFormat="1" applyFont="1" applyFill="1" applyBorder="1" applyAlignment="1"/>
    <xf numFmtId="0" fontId="0" fillId="0" borderId="0" xfId="0" applyAlignment="1"/>
    <xf numFmtId="3" fontId="39" fillId="0" borderId="0" xfId="0" applyNumberFormat="1" applyFont="1" applyFill="1" applyBorder="1" applyAlignment="1"/>
    <xf numFmtId="3" fontId="11" fillId="0" borderId="0" xfId="1" quotePrefix="1" applyNumberFormat="1" applyFont="1" applyFill="1" applyBorder="1" applyAlignment="1">
      <alignment horizontal="right"/>
    </xf>
    <xf numFmtId="3" fontId="3" fillId="0" borderId="0" xfId="1" applyNumberFormat="1" applyFont="1" applyFill="1" applyBorder="1" applyAlignment="1">
      <alignment horizontal="right"/>
    </xf>
    <xf numFmtId="3" fontId="3" fillId="0" borderId="0" xfId="21" applyNumberFormat="1" applyFont="1" applyFill="1" applyBorder="1"/>
    <xf numFmtId="0" fontId="40" fillId="0" borderId="0" xfId="0" applyFont="1" applyAlignment="1">
      <alignment horizontal="right"/>
    </xf>
    <xf numFmtId="0" fontId="0" fillId="0" borderId="0" xfId="0"/>
    <xf numFmtId="167" fontId="38" fillId="0" borderId="0" xfId="36" applyNumberFormat="1" applyFont="1"/>
    <xf numFmtId="168" fontId="41" fillId="4" borderId="0" xfId="0" applyNumberFormat="1" applyFont="1" applyFill="1"/>
    <xf numFmtId="168" fontId="38" fillId="0" borderId="0" xfId="0" applyNumberFormat="1" applyFont="1" applyAlignment="1">
      <alignment horizontal="right"/>
    </xf>
    <xf numFmtId="167" fontId="36" fillId="0" borderId="0" xfId="36" applyNumberFormat="1" applyFont="1"/>
    <xf numFmtId="0" fontId="42" fillId="0" borderId="0" xfId="0" applyFont="1"/>
    <xf numFmtId="3" fontId="0" fillId="0" borderId="0" xfId="0" applyNumberFormat="1"/>
    <xf numFmtId="168" fontId="43" fillId="0" borderId="0" xfId="0" applyNumberFormat="1" applyFont="1"/>
    <xf numFmtId="168" fontId="3" fillId="0" borderId="0" xfId="20" applyNumberFormat="1" applyFont="1" applyFill="1" applyBorder="1"/>
    <xf numFmtId="168" fontId="11" fillId="0" borderId="4" xfId="20" applyNumberFormat="1" applyFont="1" applyBorder="1" applyAlignment="1" applyProtection="1">
      <alignment horizontal="right" readingOrder="1"/>
      <protection locked="0"/>
    </xf>
    <xf numFmtId="168" fontId="3" fillId="0" borderId="0" xfId="35" applyNumberFormat="1" applyFont="1" applyFill="1" applyBorder="1"/>
    <xf numFmtId="168" fontId="44" fillId="0" borderId="0" xfId="0" applyNumberFormat="1" applyFont="1"/>
    <xf numFmtId="168" fontId="3" fillId="0" borderId="0" xfId="23" applyNumberFormat="1" applyFont="1"/>
    <xf numFmtId="168" fontId="38" fillId="0" borderId="6" xfId="0" applyNumberFormat="1" applyFont="1" applyFill="1" applyBorder="1"/>
    <xf numFmtId="168" fontId="3" fillId="0" borderId="0" xfId="33" applyNumberFormat="1" applyFont="1" applyFill="1" applyAlignment="1">
      <alignment horizontal="right"/>
    </xf>
    <xf numFmtId="168" fontId="3" fillId="0" borderId="0" xfId="0" applyNumberFormat="1" applyFont="1" applyFill="1" applyAlignment="1">
      <alignment horizontal="right"/>
    </xf>
    <xf numFmtId="168" fontId="43" fillId="0" borderId="0" xfId="0" applyNumberFormat="1" applyFont="1" applyFill="1" applyBorder="1" applyAlignment="1">
      <alignment horizontal="right"/>
    </xf>
    <xf numFmtId="1" fontId="0" fillId="0" borderId="0" xfId="0" applyNumberFormat="1"/>
    <xf numFmtId="168" fontId="38" fillId="0" borderId="0" xfId="0" applyNumberFormat="1" applyFont="1" applyFill="1"/>
    <xf numFmtId="168" fontId="38" fillId="0" borderId="0" xfId="0" applyNumberFormat="1" applyFont="1" applyFill="1" applyAlignment="1">
      <alignment horizontal="right"/>
    </xf>
    <xf numFmtId="167" fontId="38" fillId="0" borderId="0" xfId="36" applyNumberFormat="1" applyFont="1" applyFill="1"/>
    <xf numFmtId="167" fontId="34" fillId="0" borderId="0" xfId="36" applyNumberFormat="1" applyFont="1"/>
    <xf numFmtId="168" fontId="41" fillId="0" borderId="0" xfId="0" applyNumberFormat="1" applyFont="1" applyFill="1"/>
    <xf numFmtId="2" fontId="0" fillId="0" borderId="0" xfId="0" applyNumberFormat="1"/>
    <xf numFmtId="168" fontId="40" fillId="0" borderId="0" xfId="0" applyNumberFormat="1" applyFont="1"/>
    <xf numFmtId="10" fontId="3" fillId="0" borderId="0" xfId="36" applyNumberFormat="1" applyFont="1" applyFill="1" applyBorder="1" applyAlignment="1">
      <alignment horizontal="right"/>
    </xf>
    <xf numFmtId="168" fontId="41" fillId="4" borderId="0" xfId="0" applyNumberFormat="1" applyFont="1" applyFill="1" applyBorder="1"/>
    <xf numFmtId="0" fontId="45" fillId="0" borderId="0" xfId="0" applyFont="1" applyFill="1"/>
    <xf numFmtId="166" fontId="3" fillId="4" borderId="0" xfId="0" applyNumberFormat="1" applyFont="1" applyFill="1" applyBorder="1" applyAlignment="1">
      <alignment horizontal="right"/>
    </xf>
    <xf numFmtId="168" fontId="41" fillId="4" borderId="0" xfId="0" applyNumberFormat="1" applyFont="1" applyFill="1" applyBorder="1" applyAlignment="1">
      <alignment horizontal="right"/>
    </xf>
    <xf numFmtId="9" fontId="34" fillId="0" borderId="0" xfId="36" applyFont="1"/>
    <xf numFmtId="168" fontId="38" fillId="0" borderId="0" xfId="36" applyNumberFormat="1" applyFont="1"/>
    <xf numFmtId="168" fontId="38" fillId="0" borderId="0" xfId="5" applyNumberFormat="1" applyFont="1"/>
  </cellXfs>
  <cellStyles count="44">
    <cellStyle name="Comma" xfId="1" builtinId="3"/>
    <cellStyle name="Comma 2" xfId="2" xr:uid="{00000000-0005-0000-0000-000001000000}"/>
    <cellStyle name="Comma 3" xfId="3" xr:uid="{00000000-0005-0000-0000-000002000000}"/>
    <cellStyle name="Comma0" xfId="4" xr:uid="{00000000-0005-0000-0000-000003000000}"/>
    <cellStyle name="Currency" xfId="5" builtinId="4"/>
    <cellStyle name="Currency 2" xfId="6" xr:uid="{00000000-0005-0000-0000-000005000000}"/>
    <cellStyle name="Currency 3" xfId="7" xr:uid="{00000000-0005-0000-0000-000006000000}"/>
    <cellStyle name="Currency0" xfId="8" xr:uid="{00000000-0005-0000-0000-000007000000}"/>
    <cellStyle name="Date" xfId="9" xr:uid="{00000000-0005-0000-0000-000008000000}"/>
    <cellStyle name="Euro" xfId="10" xr:uid="{00000000-0005-0000-0000-000009000000}"/>
    <cellStyle name="Fixed" xfId="11" xr:uid="{00000000-0005-0000-0000-00000A000000}"/>
    <cellStyle name="Heading 1 2" xfId="12" xr:uid="{00000000-0005-0000-0000-00000B000000}"/>
    <cellStyle name="Heading 2 2" xfId="13" xr:uid="{00000000-0005-0000-0000-00000C000000}"/>
    <cellStyle name="Hipervínculo 2" xfId="14" xr:uid="{00000000-0005-0000-0000-00000D000000}"/>
    <cellStyle name="Hipervínculo 3" xfId="15" xr:uid="{00000000-0005-0000-0000-00000E000000}"/>
    <cellStyle name="Hipervínculo_CUADROS ORIGEN-DESTINO JUN 2009" xfId="16" xr:uid="{00000000-0005-0000-0000-00000F000000}"/>
    <cellStyle name="Hyperlink 2" xfId="17" xr:uid="{00000000-0005-0000-0000-000010000000}"/>
    <cellStyle name="Hyperlink 3" xfId="18" xr:uid="{00000000-0005-0000-0000-000011000000}"/>
    <cellStyle name="Normal" xfId="0" builtinId="0"/>
    <cellStyle name="Normal 2" xfId="19" xr:uid="{00000000-0005-0000-0000-000013000000}"/>
    <cellStyle name="Normal 2 2" xfId="20" xr:uid="{00000000-0005-0000-0000-000014000000}"/>
    <cellStyle name="Normal 2 3" xfId="21" xr:uid="{00000000-0005-0000-0000-000015000000}"/>
    <cellStyle name="Normal 2 4" xfId="22" xr:uid="{00000000-0005-0000-0000-000016000000}"/>
    <cellStyle name="Normal 3" xfId="23" xr:uid="{00000000-0005-0000-0000-000017000000}"/>
    <cellStyle name="Normal 3 2" xfId="24" xr:uid="{00000000-0005-0000-0000-000018000000}"/>
    <cellStyle name="Normal 3 3" xfId="25" xr:uid="{00000000-0005-0000-0000-000019000000}"/>
    <cellStyle name="Normal 4" xfId="26" xr:uid="{00000000-0005-0000-0000-00001A000000}"/>
    <cellStyle name="Normal 4 2" xfId="27" xr:uid="{00000000-0005-0000-0000-00001B000000}"/>
    <cellStyle name="Normal 4 3" xfId="28" xr:uid="{00000000-0005-0000-0000-00001C000000}"/>
    <cellStyle name="Normal 5" xfId="29" xr:uid="{00000000-0005-0000-0000-00001D000000}"/>
    <cellStyle name="Normal 5 2" xfId="30" xr:uid="{00000000-0005-0000-0000-00001E000000}"/>
    <cellStyle name="Normal 6" xfId="31" xr:uid="{00000000-0005-0000-0000-00001F000000}"/>
    <cellStyle name="Normal 7" xfId="32" xr:uid="{00000000-0005-0000-0000-000020000000}"/>
    <cellStyle name="Normal 8" xfId="33" xr:uid="{00000000-0005-0000-0000-000021000000}"/>
    <cellStyle name="Normal 9" xfId="34" xr:uid="{00000000-0005-0000-0000-000022000000}"/>
    <cellStyle name="Normal_TECHO_LLEGA_2006" xfId="35" xr:uid="{00000000-0005-0000-0000-000023000000}"/>
    <cellStyle name="Percent" xfId="36" builtinId="5"/>
    <cellStyle name="Percent 2" xfId="37" xr:uid="{00000000-0005-0000-0000-000025000000}"/>
    <cellStyle name="Percent 3" xfId="38" xr:uid="{00000000-0005-0000-0000-000026000000}"/>
    <cellStyle name="Percent 4" xfId="39" xr:uid="{00000000-0005-0000-0000-000027000000}"/>
    <cellStyle name="Percent 5" xfId="40" xr:uid="{00000000-0005-0000-0000-000028000000}"/>
    <cellStyle name="Separador de milhares 2" xfId="41" xr:uid="{00000000-0005-0000-0000-000029000000}"/>
    <cellStyle name="Total" xfId="42" builtinId="25" customBuiltin="1"/>
    <cellStyle name="Total 2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8"/>
  <sheetViews>
    <sheetView zoomScaleNormal="100" workbookViewId="0">
      <selection activeCell="B20" sqref="B20"/>
    </sheetView>
  </sheetViews>
  <sheetFormatPr defaultRowHeight="15"/>
  <cols>
    <col min="1" max="1" width="27" customWidth="1"/>
    <col min="2" max="2" width="39.140625" customWidth="1"/>
    <col min="4" max="4" width="14.28515625" customWidth="1"/>
    <col min="5" max="6" width="10" customWidth="1"/>
    <col min="7" max="7" width="9.85546875" customWidth="1"/>
    <col min="8" max="16" width="10" customWidth="1"/>
    <col min="17" max="17" width="20.28515625" customWidth="1"/>
    <col min="18" max="18" width="10" customWidth="1"/>
    <col min="21" max="21" width="9.7109375" bestFit="1" customWidth="1"/>
  </cols>
  <sheetData>
    <row r="1" spans="1:18">
      <c r="A1" s="4" t="s">
        <v>0</v>
      </c>
      <c r="B1" s="4" t="s">
        <v>1</v>
      </c>
      <c r="C1" s="4" t="s">
        <v>2</v>
      </c>
      <c r="D1" s="8" t="s">
        <v>563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8" t="s">
        <v>565</v>
      </c>
      <c r="R1" s="16" t="s">
        <v>339</v>
      </c>
    </row>
    <row r="2" spans="1:18" s="29" customFormat="1">
      <c r="A2" s="1" t="s">
        <v>584</v>
      </c>
      <c r="B2" s="1" t="s">
        <v>614</v>
      </c>
      <c r="C2" s="69" t="s">
        <v>592</v>
      </c>
      <c r="D2" s="68">
        <v>306523</v>
      </c>
      <c r="E2" s="22">
        <v>23759</v>
      </c>
      <c r="F2" s="22">
        <v>23589</v>
      </c>
      <c r="G2" s="22">
        <v>29348</v>
      </c>
      <c r="H2" s="22">
        <v>32071</v>
      </c>
      <c r="I2" s="22">
        <v>34800</v>
      </c>
      <c r="J2" s="22">
        <v>33957</v>
      </c>
      <c r="K2" s="22"/>
      <c r="L2" s="22"/>
      <c r="M2" s="22"/>
      <c r="N2" s="22"/>
      <c r="O2" s="22"/>
      <c r="P2" s="22"/>
      <c r="Q2" s="70"/>
      <c r="R2" s="67"/>
    </row>
    <row r="3" spans="1:18" s="29" customFormat="1">
      <c r="A3" s="1" t="s">
        <v>584</v>
      </c>
      <c r="B3" s="1" t="s">
        <v>625</v>
      </c>
      <c r="C3" s="69" t="s">
        <v>603</v>
      </c>
      <c r="D3" s="68">
        <v>1187147</v>
      </c>
      <c r="E3" s="22">
        <v>127406</v>
      </c>
      <c r="F3" s="22">
        <v>103661</v>
      </c>
      <c r="G3" s="22">
        <v>92377</v>
      </c>
      <c r="H3" s="22">
        <v>67192</v>
      </c>
      <c r="I3" s="22">
        <v>54456</v>
      </c>
      <c r="J3" s="22">
        <v>68742</v>
      </c>
      <c r="K3" s="22"/>
      <c r="L3" s="22"/>
      <c r="M3" s="22"/>
      <c r="N3" s="22"/>
      <c r="O3" s="22"/>
      <c r="P3" s="22"/>
      <c r="Q3" s="70"/>
      <c r="R3" s="67"/>
    </row>
    <row r="4" spans="1:18" s="29" customFormat="1">
      <c r="A4" s="1" t="s">
        <v>584</v>
      </c>
      <c r="B4" s="1" t="s">
        <v>628</v>
      </c>
      <c r="C4" s="69" t="s">
        <v>606</v>
      </c>
      <c r="D4" s="68">
        <v>11661528</v>
      </c>
      <c r="E4" s="22">
        <v>1160602</v>
      </c>
      <c r="F4" s="22">
        <v>1064606</v>
      </c>
      <c r="G4" s="22">
        <v>1127780</v>
      </c>
      <c r="H4" s="22">
        <v>991121</v>
      </c>
      <c r="I4" s="22">
        <v>986382</v>
      </c>
      <c r="J4" s="22">
        <v>936211</v>
      </c>
      <c r="K4" s="22"/>
      <c r="L4" s="22"/>
      <c r="M4" s="22"/>
      <c r="N4" s="22"/>
      <c r="O4" s="22"/>
      <c r="P4" s="22"/>
      <c r="Q4" s="70"/>
      <c r="R4" s="67"/>
    </row>
    <row r="5" spans="1:18" s="29" customFormat="1">
      <c r="A5" s="1" t="s">
        <v>584</v>
      </c>
      <c r="B5" s="1" t="s">
        <v>627</v>
      </c>
      <c r="C5" s="69" t="s">
        <v>605</v>
      </c>
      <c r="D5" s="68">
        <v>9831127</v>
      </c>
      <c r="E5" s="22">
        <v>923262</v>
      </c>
      <c r="F5" s="22">
        <v>845715</v>
      </c>
      <c r="G5" s="22">
        <v>845548</v>
      </c>
      <c r="H5" s="22">
        <v>747862</v>
      </c>
      <c r="I5" s="22">
        <v>741032</v>
      </c>
      <c r="J5" s="22">
        <v>688890</v>
      </c>
      <c r="K5" s="22"/>
      <c r="L5" s="22"/>
      <c r="M5" s="22"/>
      <c r="N5" s="22"/>
      <c r="O5" s="22"/>
      <c r="P5" s="22"/>
      <c r="Q5" s="70"/>
      <c r="R5" s="67"/>
    </row>
    <row r="6" spans="1:18" s="29" customFormat="1">
      <c r="A6" s="1" t="s">
        <v>584</v>
      </c>
      <c r="B6" s="1" t="s">
        <v>617</v>
      </c>
      <c r="C6" s="69" t="s">
        <v>595</v>
      </c>
      <c r="D6" s="68">
        <v>573579</v>
      </c>
      <c r="E6" s="22">
        <v>47665</v>
      </c>
      <c r="F6" s="22">
        <v>44604</v>
      </c>
      <c r="G6" s="22">
        <v>46534</v>
      </c>
      <c r="H6" s="22">
        <v>44178</v>
      </c>
      <c r="I6" s="22">
        <v>48760</v>
      </c>
      <c r="J6" s="22">
        <v>46863</v>
      </c>
      <c r="K6" s="22"/>
      <c r="L6" s="22"/>
      <c r="M6" s="22"/>
      <c r="N6" s="22"/>
      <c r="O6" s="22"/>
      <c r="P6" s="22"/>
      <c r="Q6" s="70"/>
      <c r="R6" s="67"/>
    </row>
    <row r="7" spans="1:18" s="29" customFormat="1">
      <c r="A7" s="1" t="s">
        <v>584</v>
      </c>
      <c r="B7" s="1" t="s">
        <v>626</v>
      </c>
      <c r="C7" s="69" t="s">
        <v>604</v>
      </c>
      <c r="D7" s="68">
        <v>2212939</v>
      </c>
      <c r="E7" s="22">
        <v>228871</v>
      </c>
      <c r="F7" s="22">
        <v>208527</v>
      </c>
      <c r="G7" s="22">
        <v>223975</v>
      </c>
      <c r="H7" s="22">
        <v>214660</v>
      </c>
      <c r="I7" s="22">
        <v>222520</v>
      </c>
      <c r="J7" s="22">
        <v>212342</v>
      </c>
      <c r="K7" s="22"/>
      <c r="L7" s="22"/>
      <c r="M7" s="22"/>
      <c r="N7" s="22"/>
      <c r="O7" s="22"/>
      <c r="P7" s="22"/>
      <c r="Q7" s="70"/>
      <c r="R7" s="67"/>
    </row>
    <row r="8" spans="1:18" s="29" customFormat="1">
      <c r="A8" s="1" t="s">
        <v>584</v>
      </c>
      <c r="B8" s="1" t="s">
        <v>619</v>
      </c>
      <c r="C8" s="69" t="s">
        <v>597</v>
      </c>
      <c r="D8" s="68">
        <v>701842</v>
      </c>
      <c r="E8" s="22">
        <v>91110</v>
      </c>
      <c r="F8" s="22">
        <v>77451</v>
      </c>
      <c r="G8" s="22">
        <v>71967</v>
      </c>
      <c r="H8" s="22">
        <v>46029</v>
      </c>
      <c r="I8" s="22">
        <v>23385</v>
      </c>
      <c r="J8" s="22">
        <v>18886</v>
      </c>
      <c r="K8" s="22"/>
      <c r="L8" s="22"/>
      <c r="M8" s="22"/>
      <c r="N8" s="22"/>
      <c r="O8" s="22"/>
      <c r="P8" s="22"/>
      <c r="Q8" s="70"/>
      <c r="R8" s="67"/>
    </row>
    <row r="9" spans="1:18" s="29" customFormat="1">
      <c r="A9" s="1" t="s">
        <v>584</v>
      </c>
      <c r="B9" s="1" t="s">
        <v>622</v>
      </c>
      <c r="C9" s="69" t="s">
        <v>600</v>
      </c>
      <c r="D9" s="68">
        <v>893945</v>
      </c>
      <c r="E9" s="22">
        <v>93212</v>
      </c>
      <c r="F9" s="22">
        <v>88695</v>
      </c>
      <c r="G9" s="22">
        <v>85249</v>
      </c>
      <c r="H9" s="22">
        <v>66549</v>
      </c>
      <c r="I9" s="22">
        <v>60202</v>
      </c>
      <c r="J9" s="22">
        <v>54699</v>
      </c>
      <c r="K9" s="22"/>
      <c r="L9" s="22"/>
      <c r="M9" s="22"/>
      <c r="N9" s="22"/>
      <c r="O9" s="22"/>
      <c r="P9" s="22"/>
      <c r="Q9" s="70"/>
      <c r="R9" s="67"/>
    </row>
    <row r="10" spans="1:18" s="29" customFormat="1">
      <c r="A10" s="1" t="s">
        <v>584</v>
      </c>
      <c r="B10" s="1" t="s">
        <v>613</v>
      </c>
      <c r="C10" s="69" t="s">
        <v>591</v>
      </c>
      <c r="D10" s="68">
        <v>277042</v>
      </c>
      <c r="E10" s="22">
        <v>23272</v>
      </c>
      <c r="F10" s="22">
        <v>19593</v>
      </c>
      <c r="G10" s="22">
        <v>19479</v>
      </c>
      <c r="H10" s="22">
        <v>17874</v>
      </c>
      <c r="I10" s="22">
        <v>19722</v>
      </c>
      <c r="J10" s="22">
        <v>19668</v>
      </c>
      <c r="K10" s="22"/>
      <c r="L10" s="22"/>
      <c r="M10" s="22"/>
      <c r="N10" s="22"/>
      <c r="O10" s="22"/>
      <c r="P10" s="22"/>
      <c r="Q10" s="70"/>
      <c r="R10" s="67"/>
    </row>
    <row r="11" spans="1:18" s="29" customFormat="1">
      <c r="A11" s="1" t="s">
        <v>584</v>
      </c>
      <c r="B11" s="1" t="s">
        <v>609</v>
      </c>
      <c r="C11" s="69" t="s">
        <v>587</v>
      </c>
      <c r="D11" s="68">
        <v>202963</v>
      </c>
      <c r="E11" s="22">
        <v>44846</v>
      </c>
      <c r="F11" s="22">
        <v>37391</v>
      </c>
      <c r="G11" s="22">
        <v>18292</v>
      </c>
      <c r="H11" s="22">
        <v>16601</v>
      </c>
      <c r="I11" s="22">
        <v>16464</v>
      </c>
      <c r="J11" s="22">
        <v>16049</v>
      </c>
      <c r="K11" s="22"/>
      <c r="L11" s="22"/>
      <c r="M11" s="22"/>
      <c r="N11" s="22"/>
      <c r="O11" s="22"/>
      <c r="P11" s="22"/>
      <c r="Q11" s="70"/>
      <c r="R11" s="67"/>
    </row>
    <row r="12" spans="1:18" s="29" customFormat="1">
      <c r="A12" s="1" t="s">
        <v>584</v>
      </c>
      <c r="B12" s="1" t="s">
        <v>624</v>
      </c>
      <c r="C12" s="69" t="s">
        <v>602</v>
      </c>
      <c r="D12" s="68">
        <v>1086043</v>
      </c>
      <c r="E12" s="22">
        <v>122894</v>
      </c>
      <c r="F12" s="22">
        <v>120308</v>
      </c>
      <c r="G12" s="22">
        <v>140525</v>
      </c>
      <c r="H12" s="22">
        <v>139678</v>
      </c>
      <c r="I12" s="22">
        <v>147863</v>
      </c>
      <c r="J12" s="22">
        <v>140087</v>
      </c>
      <c r="K12" s="22"/>
      <c r="L12" s="22"/>
      <c r="M12" s="22"/>
      <c r="N12" s="22"/>
      <c r="O12" s="22"/>
      <c r="P12" s="22"/>
      <c r="Q12" s="70"/>
      <c r="R12" s="67"/>
    </row>
    <row r="13" spans="1:18" s="29" customFormat="1">
      <c r="A13" s="1" t="s">
        <v>584</v>
      </c>
      <c r="B13" s="1" t="s">
        <v>621</v>
      </c>
      <c r="C13" s="69" t="s">
        <v>599</v>
      </c>
      <c r="D13" s="68">
        <v>816556</v>
      </c>
      <c r="E13" s="22">
        <v>69349</v>
      </c>
      <c r="F13" s="22">
        <v>61188</v>
      </c>
      <c r="G13" s="22">
        <v>73563</v>
      </c>
      <c r="H13" s="22">
        <v>69903</v>
      </c>
      <c r="I13" s="22">
        <v>74137</v>
      </c>
      <c r="J13" s="22">
        <v>68627</v>
      </c>
      <c r="K13" s="22"/>
      <c r="L13" s="22"/>
      <c r="M13" s="22"/>
      <c r="N13" s="22"/>
      <c r="O13" s="22"/>
      <c r="P13" s="22"/>
      <c r="Q13" s="70"/>
      <c r="R13" s="67"/>
    </row>
    <row r="14" spans="1:18" s="29" customFormat="1">
      <c r="A14" s="1" t="s">
        <v>584</v>
      </c>
      <c r="B14" s="1" t="s">
        <v>608</v>
      </c>
      <c r="C14" s="69" t="s">
        <v>586</v>
      </c>
      <c r="D14" s="68">
        <v>178488</v>
      </c>
      <c r="E14" s="22">
        <v>14094</v>
      </c>
      <c r="F14" s="22">
        <v>13715</v>
      </c>
      <c r="G14" s="22">
        <v>16508</v>
      </c>
      <c r="H14" s="22">
        <v>15487</v>
      </c>
      <c r="I14" s="22">
        <v>16949</v>
      </c>
      <c r="J14" s="22">
        <v>17354</v>
      </c>
      <c r="K14" s="22"/>
      <c r="L14" s="22"/>
      <c r="M14" s="22"/>
      <c r="N14" s="22"/>
      <c r="O14" s="22"/>
      <c r="P14" s="22"/>
      <c r="Q14" s="70"/>
      <c r="R14" s="67"/>
    </row>
    <row r="15" spans="1:18" s="29" customFormat="1">
      <c r="A15" s="1" t="s">
        <v>584</v>
      </c>
      <c r="B15" s="1" t="s">
        <v>610</v>
      </c>
      <c r="C15" s="69" t="s">
        <v>588</v>
      </c>
      <c r="D15" s="68">
        <v>219125</v>
      </c>
      <c r="E15" s="22">
        <v>15689</v>
      </c>
      <c r="F15" s="22">
        <v>15381</v>
      </c>
      <c r="G15" s="22">
        <v>20499</v>
      </c>
      <c r="H15" s="22">
        <v>25369</v>
      </c>
      <c r="I15" s="22">
        <v>28321</v>
      </c>
      <c r="J15" s="22">
        <v>26871</v>
      </c>
      <c r="K15" s="22"/>
      <c r="L15" s="22"/>
      <c r="M15" s="22"/>
      <c r="N15" s="22"/>
      <c r="O15" s="22"/>
      <c r="P15" s="22"/>
      <c r="Q15" s="70"/>
      <c r="R15" s="67"/>
    </row>
    <row r="16" spans="1:18" s="29" customFormat="1">
      <c r="A16" s="1" t="s">
        <v>584</v>
      </c>
      <c r="B16" s="1" t="s">
        <v>612</v>
      </c>
      <c r="C16" s="69" t="s">
        <v>590</v>
      </c>
      <c r="D16" s="68">
        <v>269099</v>
      </c>
      <c r="E16" s="22">
        <v>23024</v>
      </c>
      <c r="F16" s="22">
        <v>20869</v>
      </c>
      <c r="G16" s="22">
        <v>22226</v>
      </c>
      <c r="H16" s="22">
        <v>18530</v>
      </c>
      <c r="I16" s="22">
        <v>18782</v>
      </c>
      <c r="J16" s="22">
        <v>18424</v>
      </c>
      <c r="K16" s="22"/>
      <c r="L16" s="22"/>
      <c r="M16" s="22"/>
      <c r="N16" s="22"/>
      <c r="O16" s="22"/>
      <c r="P16" s="22"/>
      <c r="Q16" s="70"/>
      <c r="R16" s="67"/>
    </row>
    <row r="17" spans="1:18" s="29" customFormat="1">
      <c r="A17" s="1" t="s">
        <v>584</v>
      </c>
      <c r="B17" s="1" t="s">
        <v>607</v>
      </c>
      <c r="C17" s="69" t="s">
        <v>585</v>
      </c>
      <c r="D17" s="68">
        <v>142227</v>
      </c>
      <c r="E17" s="22">
        <v>14083</v>
      </c>
      <c r="F17" s="22">
        <v>12140</v>
      </c>
      <c r="G17" s="22">
        <v>12714</v>
      </c>
      <c r="H17" s="22">
        <v>11349</v>
      </c>
      <c r="I17" s="22">
        <v>11282</v>
      </c>
      <c r="J17" s="22">
        <v>11280</v>
      </c>
      <c r="K17" s="22"/>
      <c r="L17" s="22"/>
      <c r="M17" s="22"/>
      <c r="N17" s="22"/>
      <c r="O17" s="22"/>
      <c r="P17" s="22"/>
      <c r="Q17" s="70"/>
      <c r="R17" s="67"/>
    </row>
    <row r="18" spans="1:18" s="29" customFormat="1">
      <c r="A18" s="1" t="s">
        <v>584</v>
      </c>
      <c r="B18" s="1" t="s">
        <v>616</v>
      </c>
      <c r="C18" s="69" t="s">
        <v>594</v>
      </c>
      <c r="D18" s="68">
        <v>510056</v>
      </c>
      <c r="E18" s="22">
        <v>67513</v>
      </c>
      <c r="F18" s="22">
        <v>62606</v>
      </c>
      <c r="G18" s="22">
        <v>63940</v>
      </c>
      <c r="H18" s="22">
        <v>56245</v>
      </c>
      <c r="I18" s="22">
        <v>53492</v>
      </c>
      <c r="J18" s="22">
        <v>48675</v>
      </c>
      <c r="K18" s="22"/>
      <c r="L18" s="22"/>
      <c r="M18" s="22"/>
      <c r="N18" s="22"/>
      <c r="O18" s="22"/>
      <c r="P18" s="22"/>
      <c r="Q18" s="70"/>
      <c r="R18" s="67"/>
    </row>
    <row r="19" spans="1:18" s="29" customFormat="1">
      <c r="A19" s="1" t="s">
        <v>584</v>
      </c>
      <c r="B19" s="1" t="s">
        <v>623</v>
      </c>
      <c r="C19" s="69" t="s">
        <v>601</v>
      </c>
      <c r="D19" s="68">
        <v>972310</v>
      </c>
      <c r="E19" s="22">
        <v>94692</v>
      </c>
      <c r="F19" s="22">
        <v>84277</v>
      </c>
      <c r="G19" s="22">
        <v>81101</v>
      </c>
      <c r="H19" s="22">
        <v>82389</v>
      </c>
      <c r="I19" s="22">
        <v>79353</v>
      </c>
      <c r="J19" s="22">
        <v>76205</v>
      </c>
      <c r="K19" s="22"/>
      <c r="L19" s="22"/>
      <c r="M19" s="22"/>
      <c r="N19" s="22"/>
      <c r="O19" s="22"/>
      <c r="P19" s="22"/>
      <c r="Q19" s="70"/>
      <c r="R19" s="67"/>
    </row>
    <row r="20" spans="1:18" s="29" customFormat="1">
      <c r="A20" s="1" t="s">
        <v>584</v>
      </c>
      <c r="B20" s="1" t="s">
        <v>615</v>
      </c>
      <c r="C20" s="69" t="s">
        <v>593</v>
      </c>
      <c r="D20" s="68">
        <v>379311</v>
      </c>
      <c r="E20" s="22">
        <v>14498</v>
      </c>
      <c r="F20" s="22">
        <v>13918</v>
      </c>
      <c r="G20" s="22">
        <v>15339</v>
      </c>
      <c r="H20" s="22">
        <v>16669</v>
      </c>
      <c r="I20" s="22">
        <v>17042</v>
      </c>
      <c r="J20" s="22">
        <v>17278</v>
      </c>
      <c r="K20" s="22"/>
      <c r="L20" s="22"/>
      <c r="M20" s="22"/>
      <c r="N20" s="22"/>
      <c r="O20" s="22"/>
      <c r="P20" s="22"/>
      <c r="Q20" s="70"/>
      <c r="R20" s="67"/>
    </row>
    <row r="21" spans="1:18" s="29" customFormat="1">
      <c r="A21" s="1" t="s">
        <v>584</v>
      </c>
      <c r="B21" s="1" t="s">
        <v>611</v>
      </c>
      <c r="C21" s="69" t="s">
        <v>589</v>
      </c>
      <c r="D21" s="68">
        <v>252954</v>
      </c>
      <c r="E21" s="22">
        <v>23533</v>
      </c>
      <c r="F21" s="22">
        <v>10332</v>
      </c>
      <c r="G21" s="22">
        <v>0</v>
      </c>
      <c r="H21" s="22">
        <v>11426</v>
      </c>
      <c r="I21" s="22">
        <v>18838</v>
      </c>
      <c r="J21" s="22">
        <v>17814</v>
      </c>
      <c r="K21" s="22"/>
      <c r="L21" s="22"/>
      <c r="M21" s="22"/>
      <c r="N21" s="22"/>
      <c r="O21" s="22"/>
      <c r="P21" s="22"/>
      <c r="Q21" s="70"/>
      <c r="R21" s="67"/>
    </row>
    <row r="22" spans="1:18" s="29" customFormat="1">
      <c r="A22" s="1" t="s">
        <v>584</v>
      </c>
      <c r="B22" s="1" t="s">
        <v>618</v>
      </c>
      <c r="C22" s="69" t="s">
        <v>596</v>
      </c>
      <c r="D22" s="68">
        <v>670075</v>
      </c>
      <c r="E22" s="22">
        <v>58821</v>
      </c>
      <c r="F22" s="22">
        <v>52763</v>
      </c>
      <c r="G22" s="22">
        <v>56954</v>
      </c>
      <c r="H22" s="22">
        <v>57262</v>
      </c>
      <c r="I22" s="22">
        <v>59101</v>
      </c>
      <c r="J22" s="22">
        <v>0</v>
      </c>
      <c r="K22" s="22"/>
      <c r="L22" s="22"/>
      <c r="M22" s="22"/>
      <c r="N22" s="22"/>
      <c r="O22" s="22"/>
      <c r="P22" s="22"/>
      <c r="Q22" s="70"/>
      <c r="R22" s="67"/>
    </row>
    <row r="23" spans="1:18" s="29" customFormat="1">
      <c r="A23" s="1" t="s">
        <v>584</v>
      </c>
      <c r="B23" s="1" t="s">
        <v>620</v>
      </c>
      <c r="C23" s="69" t="s">
        <v>598</v>
      </c>
      <c r="D23" s="68">
        <v>750742</v>
      </c>
      <c r="E23" s="22">
        <v>104322</v>
      </c>
      <c r="F23" s="22">
        <v>84479</v>
      </c>
      <c r="G23" s="22">
        <v>65201</v>
      </c>
      <c r="H23" s="22">
        <v>49253</v>
      </c>
      <c r="I23" s="22">
        <v>35585</v>
      </c>
      <c r="J23" s="22">
        <v>34763</v>
      </c>
      <c r="K23" s="22"/>
      <c r="L23" s="22"/>
      <c r="M23" s="22"/>
      <c r="N23" s="22"/>
      <c r="O23" s="22"/>
      <c r="P23" s="22"/>
      <c r="Q23" s="70"/>
      <c r="R23" s="67"/>
    </row>
    <row r="24" spans="1:18" s="29" customFormat="1">
      <c r="A24" s="1" t="s">
        <v>629</v>
      </c>
      <c r="B24" s="1" t="s">
        <v>631</v>
      </c>
      <c r="C24" s="69" t="s">
        <v>630</v>
      </c>
      <c r="D24" s="44">
        <f>'2016 pax'!Q2</f>
        <v>2086569</v>
      </c>
      <c r="E24" s="22">
        <v>233367</v>
      </c>
      <c r="F24" s="22">
        <v>212436</v>
      </c>
      <c r="G24" s="22">
        <v>220360</v>
      </c>
      <c r="H24" s="22">
        <v>189305</v>
      </c>
      <c r="I24" s="22">
        <v>148405</v>
      </c>
      <c r="J24" s="22">
        <v>140559</v>
      </c>
      <c r="K24" s="22">
        <v>167100</v>
      </c>
      <c r="L24" s="22">
        <v>171320</v>
      </c>
      <c r="M24" s="22">
        <v>117051</v>
      </c>
      <c r="N24" s="22">
        <v>134074</v>
      </c>
      <c r="O24" s="22">
        <v>193587</v>
      </c>
      <c r="P24" s="22">
        <v>243076</v>
      </c>
      <c r="Q24" s="71">
        <f>SUM(E24:P24)</f>
        <v>2170640</v>
      </c>
      <c r="R24" s="43">
        <f>SUM(Q24/D24)-1</f>
        <v>4.0291502461696771E-2</v>
      </c>
    </row>
    <row r="25" spans="1:18">
      <c r="A25" s="1" t="s">
        <v>137</v>
      </c>
      <c r="B25" s="1" t="s">
        <v>138</v>
      </c>
      <c r="C25" s="1" t="s">
        <v>139</v>
      </c>
      <c r="D25" s="44">
        <f>'2016 pax'!Q3</f>
        <v>1224250</v>
      </c>
      <c r="E25" s="30">
        <v>128905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71"/>
      <c r="R25" s="43"/>
    </row>
    <row r="26" spans="1:18">
      <c r="A26" s="1" t="s">
        <v>137</v>
      </c>
      <c r="B26" s="1" t="s">
        <v>172</v>
      </c>
      <c r="C26" s="1" t="s">
        <v>173</v>
      </c>
      <c r="D26" s="44">
        <f>'2016 pax'!Q4</f>
        <v>3276718</v>
      </c>
      <c r="E26" s="30">
        <v>342943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71"/>
      <c r="R26" s="43"/>
    </row>
    <row r="27" spans="1:18">
      <c r="A27" s="1" t="s">
        <v>137</v>
      </c>
      <c r="B27" s="1" t="s">
        <v>184</v>
      </c>
      <c r="C27" s="1" t="s">
        <v>185</v>
      </c>
      <c r="D27" s="44">
        <f>'2016 pax'!Q5</f>
        <v>268653</v>
      </c>
      <c r="E27" s="30">
        <v>28380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71"/>
      <c r="R27" s="43"/>
    </row>
    <row r="28" spans="1:18">
      <c r="A28" s="1" t="s">
        <v>137</v>
      </c>
      <c r="B28" s="1" t="s">
        <v>146</v>
      </c>
      <c r="C28" s="1" t="s">
        <v>147</v>
      </c>
      <c r="D28" s="44">
        <f>'2016 pax'!Q6</f>
        <v>17947153</v>
      </c>
      <c r="E28" s="30">
        <v>1522184</v>
      </c>
      <c r="F28" s="30">
        <v>1231596</v>
      </c>
      <c r="G28" s="30">
        <v>1363912</v>
      </c>
      <c r="H28" s="30">
        <v>1257662</v>
      </c>
      <c r="I28" s="30">
        <v>1341441</v>
      </c>
      <c r="J28" s="30">
        <v>1307110</v>
      </c>
      <c r="K28" s="30">
        <v>1537319</v>
      </c>
      <c r="L28" s="30">
        <v>1462146</v>
      </c>
      <c r="M28" s="30">
        <v>1414723</v>
      </c>
      <c r="N28" s="30">
        <v>1482816</v>
      </c>
      <c r="O28" s="30">
        <v>1447560</v>
      </c>
      <c r="P28" s="30">
        <v>1544211</v>
      </c>
      <c r="Q28" s="71">
        <f>SUM(E28:P28)</f>
        <v>16912680</v>
      </c>
      <c r="R28" s="43">
        <f>SUM(Q28/D28)-1</f>
        <v>-5.7639949912947186E-2</v>
      </c>
    </row>
    <row r="29" spans="1:18">
      <c r="A29" s="1" t="s">
        <v>137</v>
      </c>
      <c r="B29" s="1" t="s">
        <v>162</v>
      </c>
      <c r="C29" s="1" t="s">
        <v>163</v>
      </c>
      <c r="D29" s="44">
        <f>'2016 pax'!Q7</f>
        <v>128149</v>
      </c>
      <c r="E29" s="30">
        <v>13537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71"/>
      <c r="R29" s="43"/>
    </row>
    <row r="30" spans="1:18">
      <c r="A30" s="1" t="s">
        <v>137</v>
      </c>
      <c r="B30" s="3" t="s">
        <v>214</v>
      </c>
      <c r="C30" s="3" t="s">
        <v>215</v>
      </c>
      <c r="D30" s="44">
        <f>'2016 pax'!Q8</f>
        <v>9325252</v>
      </c>
      <c r="E30" s="30">
        <v>903490</v>
      </c>
      <c r="F30" s="30">
        <v>717602</v>
      </c>
      <c r="G30" s="30">
        <v>816562</v>
      </c>
      <c r="H30" s="30">
        <v>749273</v>
      </c>
      <c r="I30" s="30">
        <v>780848</v>
      </c>
      <c r="J30" s="30">
        <v>734910</v>
      </c>
      <c r="K30" s="30">
        <v>816522</v>
      </c>
      <c r="L30" s="30">
        <v>777061</v>
      </c>
      <c r="M30" s="30">
        <v>761423</v>
      </c>
      <c r="N30" s="30">
        <v>769503</v>
      </c>
      <c r="O30" s="30">
        <v>727782</v>
      </c>
      <c r="P30" s="30">
        <v>777655</v>
      </c>
      <c r="Q30" s="71">
        <f>SUM(E30:P30)</f>
        <v>9332631</v>
      </c>
      <c r="R30" s="43">
        <f>SUM(Q30/D30)-1</f>
        <v>7.9129228893770609E-4</v>
      </c>
    </row>
    <row r="31" spans="1:18">
      <c r="A31" s="1" t="s">
        <v>137</v>
      </c>
      <c r="B31" s="3" t="s">
        <v>216</v>
      </c>
      <c r="C31" s="3" t="s">
        <v>217</v>
      </c>
      <c r="D31" s="44">
        <f>'2016 pax'!Q9</f>
        <v>125330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71"/>
      <c r="R31" s="43"/>
    </row>
    <row r="32" spans="1:18">
      <c r="A32" s="1" t="s">
        <v>137</v>
      </c>
      <c r="B32" s="1" t="s">
        <v>148</v>
      </c>
      <c r="C32" s="1" t="s">
        <v>149</v>
      </c>
      <c r="D32" s="44">
        <f>'2016 pax'!Q10</f>
        <v>1456880</v>
      </c>
      <c r="E32" s="30">
        <v>126722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71"/>
      <c r="R32" s="43"/>
    </row>
    <row r="33" spans="1:18">
      <c r="A33" s="1" t="s">
        <v>137</v>
      </c>
      <c r="B33" s="7" t="s">
        <v>204</v>
      </c>
      <c r="C33" s="7" t="s">
        <v>205</v>
      </c>
      <c r="D33" s="44">
        <f>'2016 pax'!Q11</f>
        <v>9637960</v>
      </c>
      <c r="E33" s="30">
        <v>953341</v>
      </c>
      <c r="F33" s="30">
        <v>692045</v>
      </c>
      <c r="G33" s="30">
        <v>803900</v>
      </c>
      <c r="H33" s="30">
        <v>791141</v>
      </c>
      <c r="I33" s="30">
        <v>804827</v>
      </c>
      <c r="J33" s="30">
        <v>778323</v>
      </c>
      <c r="K33" s="30">
        <v>928300</v>
      </c>
      <c r="L33" s="30">
        <v>854422</v>
      </c>
      <c r="M33" s="30">
        <v>862939</v>
      </c>
      <c r="N33" s="30">
        <v>906710</v>
      </c>
      <c r="O33" s="30">
        <v>847273</v>
      </c>
      <c r="P33" s="30">
        <v>940856</v>
      </c>
      <c r="Q33" s="71">
        <f>SUM(E33:P33)</f>
        <v>10164077</v>
      </c>
      <c r="R33" s="43">
        <f>SUM(Q33/D33)-1</f>
        <v>5.4588004100452725E-2</v>
      </c>
    </row>
    <row r="34" spans="1:18">
      <c r="A34" s="1" t="s">
        <v>137</v>
      </c>
      <c r="B34" s="3" t="s">
        <v>220</v>
      </c>
      <c r="C34" s="3" t="s">
        <v>221</v>
      </c>
      <c r="D34" s="44">
        <f>'2016 pax'!Q12</f>
        <v>20773209</v>
      </c>
      <c r="E34" s="30">
        <v>1927310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71"/>
      <c r="R34" s="43"/>
    </row>
    <row r="35" spans="1:18">
      <c r="A35" s="1" t="s">
        <v>137</v>
      </c>
      <c r="B35" s="1" t="s">
        <v>186</v>
      </c>
      <c r="C35" s="1" t="s">
        <v>187</v>
      </c>
      <c r="D35" s="44">
        <f>'2016 pax'!Q13</f>
        <v>80081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71"/>
      <c r="R35" s="43"/>
    </row>
    <row r="36" spans="1:18">
      <c r="A36" s="1" t="s">
        <v>137</v>
      </c>
      <c r="B36" s="1" t="s">
        <v>150</v>
      </c>
      <c r="C36" s="1" t="s">
        <v>151</v>
      </c>
      <c r="D36" s="44">
        <f>'2016 pax'!Q14</f>
        <v>2838669</v>
      </c>
      <c r="E36" s="30">
        <v>254988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71"/>
      <c r="R36" s="43"/>
    </row>
    <row r="37" spans="1:18">
      <c r="A37" s="1" t="s">
        <v>137</v>
      </c>
      <c r="B37" s="3" t="s">
        <v>222</v>
      </c>
      <c r="C37" s="3" t="s">
        <v>223</v>
      </c>
      <c r="D37" s="44">
        <f>'2016 pax'!Q15</f>
        <v>6385348</v>
      </c>
      <c r="E37" s="30">
        <v>572780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71"/>
      <c r="R37" s="43"/>
    </row>
    <row r="38" spans="1:18">
      <c r="A38" s="1" t="s">
        <v>137</v>
      </c>
      <c r="B38" s="3" t="s">
        <v>226</v>
      </c>
      <c r="C38" s="3" t="s">
        <v>227</v>
      </c>
      <c r="D38" s="44">
        <f>'2016 pax'!Q16</f>
        <v>3532032</v>
      </c>
      <c r="E38" s="30">
        <v>403746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71"/>
      <c r="R38" s="43"/>
    </row>
    <row r="39" spans="1:18">
      <c r="A39" s="1" t="s">
        <v>137</v>
      </c>
      <c r="B39" s="1" t="s">
        <v>156</v>
      </c>
      <c r="C39" s="1" t="s">
        <v>157</v>
      </c>
      <c r="D39" s="44">
        <f>'2016 pax'!Q17</f>
        <v>5695506</v>
      </c>
      <c r="E39" s="30">
        <v>629322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71"/>
      <c r="R39" s="43"/>
    </row>
    <row r="40" spans="1:18">
      <c r="A40" s="1" t="s">
        <v>137</v>
      </c>
      <c r="B40" s="3" t="s">
        <v>224</v>
      </c>
      <c r="C40" s="3" t="s">
        <v>225</v>
      </c>
      <c r="D40" s="44">
        <f>'2016 pax'!Q18</f>
        <v>1851333</v>
      </c>
      <c r="E40" s="30">
        <v>229393</v>
      </c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71"/>
      <c r="R40" s="43"/>
    </row>
    <row r="41" spans="1:18">
      <c r="A41" s="1" t="s">
        <v>137</v>
      </c>
      <c r="B41" s="7" t="s">
        <v>560</v>
      </c>
      <c r="C41" s="7" t="s">
        <v>195</v>
      </c>
      <c r="D41" s="44">
        <f>'2016 pax'!Q19</f>
        <v>16103617</v>
      </c>
      <c r="E41" s="30">
        <v>1575857</v>
      </c>
      <c r="F41" s="30">
        <v>1262406</v>
      </c>
      <c r="G41" s="30">
        <v>1311551</v>
      </c>
      <c r="H41" s="30">
        <v>1223852</v>
      </c>
      <c r="I41" s="30">
        <v>1214211</v>
      </c>
      <c r="J41" s="30">
        <v>1212877</v>
      </c>
      <c r="K41" s="30">
        <v>1449497</v>
      </c>
      <c r="L41" s="30">
        <v>1330936</v>
      </c>
      <c r="M41" s="30">
        <v>1374539</v>
      </c>
      <c r="N41" s="30">
        <v>1402929</v>
      </c>
      <c r="O41" s="30">
        <v>1365283</v>
      </c>
      <c r="P41" s="30"/>
      <c r="Q41" s="71"/>
      <c r="R41" s="43"/>
    </row>
    <row r="42" spans="1:18">
      <c r="A42" s="1" t="s">
        <v>137</v>
      </c>
      <c r="B42" s="7" t="s">
        <v>152</v>
      </c>
      <c r="C42" s="7" t="s">
        <v>153</v>
      </c>
      <c r="D42" s="44">
        <f>'2016 pax'!Q20</f>
        <v>3013126</v>
      </c>
      <c r="E42" s="30">
        <v>271183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71"/>
      <c r="R42" s="43"/>
    </row>
    <row r="43" spans="1:18">
      <c r="A43" s="1" t="s">
        <v>137</v>
      </c>
      <c r="B43" s="3" t="s">
        <v>212</v>
      </c>
      <c r="C43" s="3" t="s">
        <v>213</v>
      </c>
      <c r="D43" s="44">
        <f>'2016 pax'!Q21</f>
        <v>36596326</v>
      </c>
      <c r="E43" s="30">
        <v>3498000</v>
      </c>
      <c r="F43" s="30">
        <v>2790000</v>
      </c>
      <c r="G43" s="30">
        <v>3038000</v>
      </c>
      <c r="H43" s="30">
        <v>2845000</v>
      </c>
      <c r="I43" s="30">
        <v>2921000</v>
      </c>
      <c r="J43" s="30">
        <v>2903000</v>
      </c>
      <c r="K43" s="30">
        <v>3499000</v>
      </c>
      <c r="L43" s="30">
        <v>3221000</v>
      </c>
      <c r="M43" s="30">
        <v>3081000</v>
      </c>
      <c r="N43" s="30">
        <v>3278261</v>
      </c>
      <c r="O43" s="30">
        <v>3151656</v>
      </c>
      <c r="P43" s="30"/>
      <c r="Q43" s="71"/>
      <c r="R43" s="43"/>
    </row>
    <row r="44" spans="1:18">
      <c r="A44" s="1" t="s">
        <v>137</v>
      </c>
      <c r="B44" s="1" t="s">
        <v>140</v>
      </c>
      <c r="C44" s="1" t="s">
        <v>141</v>
      </c>
      <c r="D44" s="44">
        <f>'2016 pax'!Q22</f>
        <v>576718</v>
      </c>
      <c r="E44" s="30">
        <v>73229</v>
      </c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71"/>
      <c r="R44" s="43"/>
    </row>
    <row r="45" spans="1:18">
      <c r="A45" s="1" t="s">
        <v>137</v>
      </c>
      <c r="B45" s="1" t="s">
        <v>174</v>
      </c>
      <c r="C45" s="1" t="s">
        <v>175</v>
      </c>
      <c r="D45" s="44">
        <f>'2016 pax'!Q23</f>
        <v>283866</v>
      </c>
      <c r="E45" s="30">
        <v>24794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71"/>
      <c r="R45" s="43"/>
    </row>
    <row r="46" spans="1:18">
      <c r="A46" s="1" t="s">
        <v>137</v>
      </c>
      <c r="B46" s="7" t="s">
        <v>196</v>
      </c>
      <c r="C46" s="7" t="s">
        <v>197</v>
      </c>
      <c r="D46" s="44">
        <f>'2016 pax'!Q24</f>
        <v>189308</v>
      </c>
      <c r="E46" s="30">
        <v>20665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71"/>
      <c r="R46" s="43"/>
    </row>
    <row r="47" spans="1:18">
      <c r="A47" s="1" t="s">
        <v>137</v>
      </c>
      <c r="B47" s="1" t="s">
        <v>158</v>
      </c>
      <c r="C47" s="1" t="s">
        <v>159</v>
      </c>
      <c r="D47" s="44">
        <f>'2016 pax'!Q25</f>
        <v>1340303</v>
      </c>
      <c r="E47" s="30">
        <v>150284</v>
      </c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71"/>
      <c r="R47" s="43"/>
    </row>
    <row r="48" spans="1:18">
      <c r="A48" s="1" t="s">
        <v>137</v>
      </c>
      <c r="B48" s="3" t="s">
        <v>228</v>
      </c>
      <c r="C48" s="3" t="s">
        <v>229</v>
      </c>
      <c r="D48" s="44">
        <f>'2016 pax'!Q26</f>
        <v>514720</v>
      </c>
      <c r="E48" s="30">
        <v>39268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71"/>
      <c r="R48" s="43"/>
    </row>
    <row r="49" spans="1:18">
      <c r="A49" s="1" t="s">
        <v>137</v>
      </c>
      <c r="B49" s="1" t="s">
        <v>160</v>
      </c>
      <c r="C49" s="1" t="s">
        <v>161</v>
      </c>
      <c r="D49" s="44">
        <f>'2016 pax'!Q27</f>
        <v>534713</v>
      </c>
      <c r="E49" s="30">
        <v>57792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71"/>
      <c r="R49" s="43"/>
    </row>
    <row r="50" spans="1:18">
      <c r="A50" s="1" t="s">
        <v>137</v>
      </c>
      <c r="B50" s="3" t="s">
        <v>230</v>
      </c>
      <c r="C50" s="3" t="s">
        <v>231</v>
      </c>
      <c r="D50" s="44">
        <f>'2016 pax'!Q28</f>
        <v>918946</v>
      </c>
      <c r="E50" s="30">
        <v>75712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71"/>
      <c r="R50" s="43"/>
    </row>
    <row r="51" spans="1:18">
      <c r="A51" s="1" t="s">
        <v>137</v>
      </c>
      <c r="B51" s="1" t="s">
        <v>198</v>
      </c>
      <c r="C51" s="1" t="s">
        <v>199</v>
      </c>
      <c r="D51" s="44">
        <f>'2016 pax'!Q29</f>
        <v>318877</v>
      </c>
      <c r="E51" s="30">
        <v>14411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71"/>
      <c r="R51" s="43"/>
    </row>
    <row r="52" spans="1:18">
      <c r="A52" s="1" t="s">
        <v>137</v>
      </c>
      <c r="B52" s="1" t="s">
        <v>178</v>
      </c>
      <c r="C52" s="1" t="s">
        <v>179</v>
      </c>
      <c r="D52" s="44">
        <f>'2016 pax'!Q30</f>
        <v>567826</v>
      </c>
      <c r="E52" s="30">
        <v>58366</v>
      </c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71"/>
      <c r="R52" s="43"/>
    </row>
    <row r="53" spans="1:18">
      <c r="A53" s="1" t="s">
        <v>137</v>
      </c>
      <c r="B53" s="1" t="s">
        <v>142</v>
      </c>
      <c r="C53" s="1" t="s">
        <v>143</v>
      </c>
      <c r="D53" s="44">
        <f>'2016 pax'!Q31</f>
        <v>1988883</v>
      </c>
      <c r="E53" s="30">
        <v>236067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71"/>
      <c r="R53" s="43"/>
    </row>
    <row r="54" spans="1:18">
      <c r="A54" s="1" t="s">
        <v>137</v>
      </c>
      <c r="B54" s="1" t="s">
        <v>188</v>
      </c>
      <c r="C54" s="1" t="s">
        <v>189</v>
      </c>
      <c r="D54" s="44">
        <f>'2016 pax'!Q32</f>
        <v>2646400</v>
      </c>
      <c r="E54" s="30">
        <v>249419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71"/>
      <c r="R54" s="43"/>
    </row>
    <row r="55" spans="1:18">
      <c r="A55" s="1" t="s">
        <v>137</v>
      </c>
      <c r="B55" s="1" t="s">
        <v>176</v>
      </c>
      <c r="C55" s="1" t="s">
        <v>177</v>
      </c>
      <c r="D55" s="44">
        <f>'2016 pax'!Q33</f>
        <v>317425</v>
      </c>
      <c r="E55" s="30">
        <v>27990</v>
      </c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71"/>
      <c r="R55" s="43"/>
    </row>
    <row r="56" spans="1:18">
      <c r="A56" s="1" t="s">
        <v>137</v>
      </c>
      <c r="B56" s="3" t="s">
        <v>206</v>
      </c>
      <c r="C56" s="3" t="s">
        <v>207</v>
      </c>
      <c r="D56" s="44">
        <f>'2016 pax'!Q34</f>
        <v>282008</v>
      </c>
      <c r="E56" s="30">
        <v>26616</v>
      </c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71"/>
      <c r="R56" s="43"/>
    </row>
    <row r="57" spans="1:18">
      <c r="A57" s="1" t="s">
        <v>137</v>
      </c>
      <c r="B57" s="1" t="s">
        <v>164</v>
      </c>
      <c r="C57" s="1" t="s">
        <v>165</v>
      </c>
      <c r="D57" s="44">
        <f>'2016 pax'!Q35</f>
        <v>2316349</v>
      </c>
      <c r="E57" s="30">
        <v>300764</v>
      </c>
      <c r="F57" s="30">
        <v>197242</v>
      </c>
      <c r="G57" s="30">
        <v>209147</v>
      </c>
      <c r="H57" s="30">
        <v>178531</v>
      </c>
      <c r="I57" s="30">
        <v>168841</v>
      </c>
      <c r="J57" s="30">
        <v>163431</v>
      </c>
      <c r="K57" s="30">
        <v>234458</v>
      </c>
      <c r="L57" s="30">
        <v>189576</v>
      </c>
      <c r="M57" s="30">
        <v>163484</v>
      </c>
      <c r="N57" s="30">
        <v>180439</v>
      </c>
      <c r="O57" s="30">
        <v>185989</v>
      </c>
      <c r="P57" s="30">
        <v>231233</v>
      </c>
      <c r="Q57" s="71">
        <f>SUM(E57:P57)</f>
        <v>2403135</v>
      </c>
      <c r="R57" s="43">
        <f>SUM(Q57/D57)-1</f>
        <v>3.7466720256748909E-2</v>
      </c>
    </row>
    <row r="58" spans="1:18">
      <c r="A58" s="1" t="s">
        <v>137</v>
      </c>
      <c r="B58" s="3" t="s">
        <v>232</v>
      </c>
      <c r="C58" s="3" t="s">
        <v>233</v>
      </c>
      <c r="D58" s="44">
        <f>'2016 pax'!Q36</f>
        <v>1468563</v>
      </c>
      <c r="E58" s="30">
        <v>134324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70"/>
      <c r="R58" s="30"/>
    </row>
    <row r="59" spans="1:18">
      <c r="A59" s="1" t="s">
        <v>137</v>
      </c>
      <c r="B59" s="1" t="s">
        <v>154</v>
      </c>
      <c r="C59" s="1" t="s">
        <v>155</v>
      </c>
      <c r="D59" s="44">
        <f>'2016 pax'!Q37</f>
        <v>617207</v>
      </c>
      <c r="E59" s="30">
        <v>53282</v>
      </c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70"/>
      <c r="R59" s="30"/>
    </row>
    <row r="60" spans="1:18">
      <c r="A60" s="1" t="s">
        <v>137</v>
      </c>
      <c r="B60" s="7" t="s">
        <v>202</v>
      </c>
      <c r="C60" s="7" t="s">
        <v>203</v>
      </c>
      <c r="D60" s="44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70"/>
      <c r="R60" s="30"/>
    </row>
    <row r="61" spans="1:18">
      <c r="A61" s="1" t="s">
        <v>137</v>
      </c>
      <c r="B61" s="1" t="s">
        <v>166</v>
      </c>
      <c r="C61" s="1" t="s">
        <v>167</v>
      </c>
      <c r="D61" s="44">
        <f>'2016 pax'!Q39</f>
        <v>447539</v>
      </c>
      <c r="E61" s="30">
        <v>49460</v>
      </c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70"/>
      <c r="R61" s="30"/>
    </row>
    <row r="62" spans="1:18">
      <c r="A62" s="1" t="s">
        <v>137</v>
      </c>
      <c r="B62" s="3" t="s">
        <v>234</v>
      </c>
      <c r="C62" s="3" t="s">
        <v>235</v>
      </c>
      <c r="D62" s="44">
        <f>'2016 pax'!Q40</f>
        <v>7643865</v>
      </c>
      <c r="E62" s="30">
        <v>663274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70"/>
      <c r="R62" s="30"/>
    </row>
    <row r="63" spans="1:18">
      <c r="A63" s="1" t="s">
        <v>137</v>
      </c>
      <c r="B63" s="1" t="s">
        <v>190</v>
      </c>
      <c r="C63" s="1" t="s">
        <v>191</v>
      </c>
      <c r="D63" s="44">
        <f>'2016 pax'!Q41</f>
        <v>838338</v>
      </c>
      <c r="E63" s="30">
        <v>89588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70"/>
      <c r="R63" s="30"/>
    </row>
    <row r="64" spans="1:18">
      <c r="A64" s="1" t="s">
        <v>137</v>
      </c>
      <c r="B64" s="1" t="s">
        <v>168</v>
      </c>
      <c r="C64" s="1" t="s">
        <v>169</v>
      </c>
      <c r="D64" s="44">
        <f>'2016 pax'!Q42</f>
        <v>6809089</v>
      </c>
      <c r="E64" s="30">
        <v>715718</v>
      </c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70"/>
      <c r="R64" s="30"/>
    </row>
    <row r="65" spans="1:18">
      <c r="A65" s="1" t="s">
        <v>137</v>
      </c>
      <c r="B65" s="1" t="s">
        <v>192</v>
      </c>
      <c r="C65" s="1" t="s">
        <v>193</v>
      </c>
      <c r="D65" s="44">
        <f>'2016 pax'!Q43</f>
        <v>353506</v>
      </c>
      <c r="E65" s="30">
        <v>37709</v>
      </c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70"/>
      <c r="R65" s="30"/>
    </row>
    <row r="66" spans="1:18">
      <c r="A66" s="1" t="s">
        <v>137</v>
      </c>
      <c r="B66" s="1" t="s">
        <v>144</v>
      </c>
      <c r="C66" s="1" t="s">
        <v>145</v>
      </c>
      <c r="D66" s="44">
        <f>'2016 pax'!Q44</f>
        <v>7465079</v>
      </c>
      <c r="E66" s="30">
        <v>798399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70"/>
      <c r="R66" s="30"/>
    </row>
    <row r="67" spans="1:18">
      <c r="A67" s="1" t="s">
        <v>137</v>
      </c>
      <c r="B67" s="1" t="s">
        <v>182</v>
      </c>
      <c r="C67" s="1" t="s">
        <v>183</v>
      </c>
      <c r="D67" s="44">
        <f>'2016 pax'!Q45</f>
        <v>488554</v>
      </c>
      <c r="E67" s="30">
        <v>46570</v>
      </c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70"/>
      <c r="R67" s="30"/>
    </row>
    <row r="68" spans="1:18">
      <c r="A68" s="1" t="s">
        <v>137</v>
      </c>
      <c r="B68" s="7" t="s">
        <v>200</v>
      </c>
      <c r="C68" s="7" t="s">
        <v>201</v>
      </c>
      <c r="D68" s="44">
        <f>'2016 pax'!Q46</f>
        <v>9056087</v>
      </c>
      <c r="E68" s="30">
        <v>828046</v>
      </c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70"/>
      <c r="R68" s="30"/>
    </row>
    <row r="69" spans="1:18">
      <c r="A69" s="1" t="s">
        <v>137</v>
      </c>
      <c r="B69" s="3" t="s">
        <v>218</v>
      </c>
      <c r="C69" s="3" t="s">
        <v>219</v>
      </c>
      <c r="D69" s="44">
        <f>'2016 pax'!Q47</f>
        <v>56759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70"/>
      <c r="R69" s="30"/>
    </row>
    <row r="70" spans="1:18">
      <c r="A70" s="1" t="s">
        <v>137</v>
      </c>
      <c r="B70" s="1" t="s">
        <v>180</v>
      </c>
      <c r="C70" s="1" t="s">
        <v>181</v>
      </c>
      <c r="D70" s="44">
        <f>'2016 pax'!Q48</f>
        <v>1518578</v>
      </c>
      <c r="E70" s="30">
        <v>162621</v>
      </c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70"/>
      <c r="R70" s="30"/>
    </row>
    <row r="71" spans="1:18">
      <c r="A71" s="1" t="s">
        <v>137</v>
      </c>
      <c r="B71" s="1" t="s">
        <v>170</v>
      </c>
      <c r="C71" s="1" t="s">
        <v>171</v>
      </c>
      <c r="D71" s="44">
        <f>'2016 pax'!Q49</f>
        <v>1079082</v>
      </c>
      <c r="E71" s="30">
        <v>108061</v>
      </c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70"/>
      <c r="R71" s="30"/>
    </row>
    <row r="72" spans="1:18">
      <c r="A72" s="1" t="s">
        <v>137</v>
      </c>
      <c r="B72" s="1" t="s">
        <v>490</v>
      </c>
      <c r="C72" s="1" t="s">
        <v>491</v>
      </c>
      <c r="D72" s="44">
        <f>'2016 pax'!Q50</f>
        <v>103509</v>
      </c>
      <c r="E72" s="30">
        <v>6357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70"/>
      <c r="R72" s="30"/>
    </row>
    <row r="73" spans="1:18">
      <c r="A73" s="1" t="s">
        <v>137</v>
      </c>
      <c r="B73" s="3" t="s">
        <v>208</v>
      </c>
      <c r="C73" s="3" t="s">
        <v>209</v>
      </c>
      <c r="D73" s="44">
        <f>'2016 pax'!Q51</f>
        <v>1050379</v>
      </c>
      <c r="E73" s="30">
        <v>87976</v>
      </c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70"/>
      <c r="R73" s="30"/>
    </row>
    <row r="74" spans="1:18">
      <c r="A74" s="1" t="s">
        <v>137</v>
      </c>
      <c r="B74" s="3" t="s">
        <v>210</v>
      </c>
      <c r="C74" s="3" t="s">
        <v>211</v>
      </c>
      <c r="D74" s="44">
        <f>'2016 pax'!Q52</f>
        <v>3096237</v>
      </c>
      <c r="E74" s="30">
        <v>291567</v>
      </c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70"/>
      <c r="R74" s="30"/>
    </row>
    <row r="75" spans="1:18" ht="15.75">
      <c r="A75" s="1" t="s">
        <v>66</v>
      </c>
      <c r="B75" s="1" t="s">
        <v>362</v>
      </c>
      <c r="C75" s="7" t="s">
        <v>72</v>
      </c>
      <c r="D75" s="44">
        <f>'2016 pax'!Q53</f>
        <v>15680739</v>
      </c>
      <c r="E75" s="30">
        <v>1234319</v>
      </c>
      <c r="F75" s="30">
        <v>1192293</v>
      </c>
      <c r="G75" s="30">
        <v>1321379</v>
      </c>
      <c r="H75" s="30">
        <v>1296757</v>
      </c>
      <c r="I75" s="30">
        <v>1298509</v>
      </c>
      <c r="J75" s="30">
        <v>1375227</v>
      </c>
      <c r="K75" s="30">
        <v>1573541</v>
      </c>
      <c r="L75" s="30">
        <v>1645577</v>
      </c>
      <c r="M75" s="30">
        <v>1382805</v>
      </c>
      <c r="N75" s="30">
        <v>1351865</v>
      </c>
      <c r="O75" s="30">
        <v>1236786</v>
      </c>
      <c r="P75" s="30">
        <v>1366050</v>
      </c>
      <c r="Q75" s="44">
        <f t="shared" ref="Q75:Q85" si="0">SUM(E75:P75)</f>
        <v>16275108</v>
      </c>
      <c r="R75" s="43">
        <f t="shared" ref="R75:R85" si="1">SUM(Q75/D75)-1</f>
        <v>3.7904399786260035E-2</v>
      </c>
    </row>
    <row r="76" spans="1:18">
      <c r="A76" s="1" t="s">
        <v>66</v>
      </c>
      <c r="B76" s="1" t="s">
        <v>73</v>
      </c>
      <c r="C76" s="7" t="s">
        <v>74</v>
      </c>
      <c r="D76" s="44">
        <f>'2016 pax'!Q54</f>
        <v>7523864</v>
      </c>
      <c r="E76" s="30">
        <v>604359</v>
      </c>
      <c r="F76" s="30">
        <v>581301</v>
      </c>
      <c r="G76" s="30">
        <v>645138</v>
      </c>
      <c r="H76" s="30">
        <v>636592</v>
      </c>
      <c r="I76" s="30">
        <v>654855</v>
      </c>
      <c r="J76" s="30">
        <v>636284</v>
      </c>
      <c r="K76" s="30">
        <v>722555</v>
      </c>
      <c r="L76" s="30">
        <v>761152</v>
      </c>
      <c r="M76" s="30">
        <v>641818</v>
      </c>
      <c r="N76" s="30">
        <v>644194</v>
      </c>
      <c r="O76" s="30">
        <v>624344</v>
      </c>
      <c r="P76" s="30">
        <v>654785</v>
      </c>
      <c r="Q76" s="44">
        <f t="shared" si="0"/>
        <v>7807377</v>
      </c>
      <c r="R76" s="43">
        <f t="shared" si="1"/>
        <v>3.76818347593737E-2</v>
      </c>
    </row>
    <row r="77" spans="1:18">
      <c r="A77" s="1" t="s">
        <v>66</v>
      </c>
      <c r="B77" s="1" t="s">
        <v>79</v>
      </c>
      <c r="C77" s="7" t="s">
        <v>80</v>
      </c>
      <c r="D77" s="44">
        <f>'2016 pax'!Q55</f>
        <v>3908799</v>
      </c>
      <c r="E77" s="30">
        <v>238500</v>
      </c>
      <c r="F77" s="30">
        <v>238159</v>
      </c>
      <c r="G77" s="30">
        <v>335775</v>
      </c>
      <c r="H77" s="30">
        <v>369633</v>
      </c>
      <c r="I77" s="30">
        <v>359336</v>
      </c>
      <c r="J77" s="30">
        <v>356166</v>
      </c>
      <c r="K77" s="30">
        <v>427011</v>
      </c>
      <c r="L77" s="30">
        <v>452238</v>
      </c>
      <c r="M77" s="30">
        <v>374923</v>
      </c>
      <c r="N77" s="30">
        <v>351452</v>
      </c>
      <c r="O77" s="30">
        <v>281840</v>
      </c>
      <c r="P77" s="30">
        <v>298155</v>
      </c>
      <c r="Q77" s="44">
        <f t="shared" si="0"/>
        <v>4083188</v>
      </c>
      <c r="R77" s="43">
        <f t="shared" si="1"/>
        <v>4.4614471094574171E-2</v>
      </c>
    </row>
    <row r="78" spans="1:18">
      <c r="A78" s="1" t="s">
        <v>66</v>
      </c>
      <c r="B78" s="1" t="s">
        <v>83</v>
      </c>
      <c r="C78" s="7" t="s">
        <v>84</v>
      </c>
      <c r="D78" s="44">
        <f>'2016 pax'!Q56</f>
        <v>1732113</v>
      </c>
      <c r="E78" s="45">
        <v>163319</v>
      </c>
      <c r="F78" s="45">
        <v>161626</v>
      </c>
      <c r="G78" s="45">
        <v>173504</v>
      </c>
      <c r="H78" s="45">
        <v>146331</v>
      </c>
      <c r="I78" s="45">
        <v>143061</v>
      </c>
      <c r="J78" s="45">
        <v>143008</v>
      </c>
      <c r="K78" s="45">
        <v>163751</v>
      </c>
      <c r="L78" s="45">
        <v>179153</v>
      </c>
      <c r="M78" s="30">
        <v>148289</v>
      </c>
      <c r="N78" s="30">
        <v>150947</v>
      </c>
      <c r="O78" s="30">
        <v>143346</v>
      </c>
      <c r="P78" s="30">
        <v>177131</v>
      </c>
      <c r="Q78" s="44">
        <f t="shared" si="0"/>
        <v>1893466</v>
      </c>
      <c r="R78" s="43">
        <f t="shared" si="1"/>
        <v>9.3153853126210606E-2</v>
      </c>
    </row>
    <row r="79" spans="1:18" ht="15.75">
      <c r="A79" s="1" t="s">
        <v>66</v>
      </c>
      <c r="B79" s="1" t="s">
        <v>363</v>
      </c>
      <c r="C79" s="7" t="s">
        <v>71</v>
      </c>
      <c r="D79" s="44">
        <f>'2016 pax'!Q57</f>
        <v>16583625</v>
      </c>
      <c r="E79" s="30">
        <v>1347885</v>
      </c>
      <c r="F79" s="30">
        <v>1262251</v>
      </c>
      <c r="G79" s="30">
        <v>1490017</v>
      </c>
      <c r="H79" s="30">
        <v>1449425</v>
      </c>
      <c r="I79" s="30">
        <v>1410416</v>
      </c>
      <c r="J79" s="30">
        <v>1601821</v>
      </c>
      <c r="K79" s="30">
        <v>1912224</v>
      </c>
      <c r="L79" s="30">
        <v>1970201</v>
      </c>
      <c r="M79" s="30">
        <v>1591722</v>
      </c>
      <c r="N79" s="30">
        <v>1490418</v>
      </c>
      <c r="O79" s="30">
        <v>1236559</v>
      </c>
      <c r="P79" s="30">
        <v>1402214</v>
      </c>
      <c r="Q79" s="44">
        <f t="shared" si="0"/>
        <v>18165153</v>
      </c>
      <c r="R79" s="43">
        <f t="shared" si="1"/>
        <v>9.5366845306740888E-2</v>
      </c>
    </row>
    <row r="80" spans="1:18">
      <c r="A80" s="1" t="s">
        <v>66</v>
      </c>
      <c r="B80" s="1" t="s">
        <v>75</v>
      </c>
      <c r="C80" s="7" t="s">
        <v>76</v>
      </c>
      <c r="D80" s="44">
        <f>'2016 pax'!Q58</f>
        <v>4743091</v>
      </c>
      <c r="E80" s="30">
        <v>381772</v>
      </c>
      <c r="F80" s="30">
        <v>382001</v>
      </c>
      <c r="G80" s="30">
        <v>421554</v>
      </c>
      <c r="H80" s="30">
        <v>388334</v>
      </c>
      <c r="I80" s="30">
        <v>396958</v>
      </c>
      <c r="J80" s="30">
        <v>406427</v>
      </c>
      <c r="K80" s="30">
        <v>410329</v>
      </c>
      <c r="L80" s="30">
        <v>438503</v>
      </c>
      <c r="M80" s="30">
        <v>398007</v>
      </c>
      <c r="N80" s="30">
        <v>414312</v>
      </c>
      <c r="O80" s="30">
        <v>388578</v>
      </c>
      <c r="P80" s="30">
        <v>412902</v>
      </c>
      <c r="Q80" s="44">
        <f t="shared" si="0"/>
        <v>4839677</v>
      </c>
      <c r="R80" s="43">
        <f t="shared" si="1"/>
        <v>2.0363514003842731E-2</v>
      </c>
    </row>
    <row r="81" spans="1:18">
      <c r="A81" s="1" t="s">
        <v>66</v>
      </c>
      <c r="B81" s="1" t="s">
        <v>533</v>
      </c>
      <c r="C81" s="7" t="s">
        <v>534</v>
      </c>
      <c r="D81" s="44">
        <f>'2016 pax'!Q59</f>
        <v>1581337.0959999999</v>
      </c>
      <c r="E81" s="30">
        <v>151040.41</v>
      </c>
      <c r="F81" s="30">
        <v>143473.95199999999</v>
      </c>
      <c r="G81" s="30">
        <v>158073.78399999999</v>
      </c>
      <c r="H81" s="30">
        <v>145948.38</v>
      </c>
      <c r="I81" s="30">
        <v>112610.376</v>
      </c>
      <c r="J81" s="30">
        <v>121140.31795200001</v>
      </c>
      <c r="K81" s="30">
        <v>142186.72</v>
      </c>
      <c r="L81" s="30"/>
      <c r="M81" s="30"/>
      <c r="N81" s="30"/>
      <c r="O81" s="30"/>
      <c r="P81" s="30"/>
      <c r="Q81" s="44"/>
      <c r="R81" s="43"/>
    </row>
    <row r="82" spans="1:18">
      <c r="A82" s="1" t="s">
        <v>66</v>
      </c>
      <c r="B82" s="1" t="s">
        <v>566</v>
      </c>
      <c r="C82" s="7" t="s">
        <v>68</v>
      </c>
      <c r="D82" s="44">
        <f>'2016 pax'!Q60</f>
        <v>44335614</v>
      </c>
      <c r="E82" s="30">
        <v>3540600</v>
      </c>
      <c r="F82" s="30">
        <v>3266343</v>
      </c>
      <c r="G82" s="30">
        <v>3849659</v>
      </c>
      <c r="H82" s="30">
        <v>3801536</v>
      </c>
      <c r="I82" s="30">
        <v>3828289</v>
      </c>
      <c r="J82" s="30">
        <v>4117051</v>
      </c>
      <c r="K82" s="30">
        <v>4687763</v>
      </c>
      <c r="L82" s="30">
        <v>4883787</v>
      </c>
      <c r="M82" s="30">
        <v>4035277</v>
      </c>
      <c r="N82" s="30">
        <v>3912822</v>
      </c>
      <c r="O82" s="30">
        <v>3424590</v>
      </c>
      <c r="P82" s="30">
        <v>3782691</v>
      </c>
      <c r="Q82" s="44">
        <f t="shared" si="0"/>
        <v>47130408</v>
      </c>
      <c r="R82" s="43">
        <f t="shared" si="1"/>
        <v>6.3037223303143985E-2</v>
      </c>
    </row>
    <row r="83" spans="1:18">
      <c r="A83" s="1" t="s">
        <v>66</v>
      </c>
      <c r="B83" s="1" t="s">
        <v>69</v>
      </c>
      <c r="C83" s="7" t="s">
        <v>70</v>
      </c>
      <c r="D83" s="44">
        <f>'2016 pax'!Q61</f>
        <v>22628944</v>
      </c>
      <c r="E83" s="30">
        <v>1791047</v>
      </c>
      <c r="F83" s="30">
        <v>1648480</v>
      </c>
      <c r="G83" s="30">
        <v>1912268</v>
      </c>
      <c r="H83" s="30">
        <v>1855197</v>
      </c>
      <c r="I83" s="30">
        <v>1955750</v>
      </c>
      <c r="J83" s="30">
        <v>2151864</v>
      </c>
      <c r="K83" s="30">
        <v>2435856</v>
      </c>
      <c r="L83" s="30">
        <v>2566952</v>
      </c>
      <c r="M83" s="30">
        <v>2109095</v>
      </c>
      <c r="N83" s="30">
        <v>1952992</v>
      </c>
      <c r="O83" s="30">
        <v>1749169</v>
      </c>
      <c r="P83" s="30">
        <v>2007482</v>
      </c>
      <c r="Q83" s="44">
        <f t="shared" si="0"/>
        <v>24136152</v>
      </c>
      <c r="R83" s="43">
        <f t="shared" si="1"/>
        <v>6.6605317508408701E-2</v>
      </c>
    </row>
    <row r="84" spans="1:18">
      <c r="A84" s="1" t="s">
        <v>66</v>
      </c>
      <c r="B84" s="1" t="s">
        <v>81</v>
      </c>
      <c r="C84" s="1" t="s">
        <v>82</v>
      </c>
      <c r="D84" s="44">
        <f>'2016 pax'!Q62</f>
        <v>1856421</v>
      </c>
      <c r="E84" s="30">
        <v>135051</v>
      </c>
      <c r="F84" s="30">
        <v>128716</v>
      </c>
      <c r="G84" s="30">
        <v>158065</v>
      </c>
      <c r="H84" s="30">
        <v>158897</v>
      </c>
      <c r="I84" s="30">
        <v>163479</v>
      </c>
      <c r="J84" s="30">
        <v>169063</v>
      </c>
      <c r="K84" s="30">
        <v>179800</v>
      </c>
      <c r="L84" s="30">
        <v>201008</v>
      </c>
      <c r="M84" s="30">
        <v>167757</v>
      </c>
      <c r="N84" s="30">
        <v>166709</v>
      </c>
      <c r="O84" s="30">
        <v>145328</v>
      </c>
      <c r="P84" s="30">
        <v>160998</v>
      </c>
      <c r="Q84" s="44">
        <f t="shared" si="0"/>
        <v>1934871</v>
      </c>
      <c r="R84" s="43">
        <f t="shared" si="1"/>
        <v>4.2258733336888454E-2</v>
      </c>
    </row>
    <row r="85" spans="1:18">
      <c r="A85" s="1" t="s">
        <v>66</v>
      </c>
      <c r="B85" s="1" t="s">
        <v>77</v>
      </c>
      <c r="C85" s="7" t="s">
        <v>78</v>
      </c>
      <c r="D85" s="44">
        <f>'2016 pax'!Q63</f>
        <v>4015200</v>
      </c>
      <c r="E85" s="30">
        <v>336486</v>
      </c>
      <c r="F85" s="30">
        <v>324460</v>
      </c>
      <c r="G85" s="30">
        <v>350710</v>
      </c>
      <c r="H85" s="30">
        <v>321876</v>
      </c>
      <c r="I85" s="30">
        <v>349237</v>
      </c>
      <c r="J85" s="30">
        <v>380233</v>
      </c>
      <c r="K85" s="30">
        <v>416560</v>
      </c>
      <c r="L85" s="30">
        <v>447382</v>
      </c>
      <c r="M85" s="30">
        <v>347460</v>
      </c>
      <c r="N85" s="30">
        <v>366574</v>
      </c>
      <c r="O85" s="30">
        <v>321423</v>
      </c>
      <c r="P85" s="30">
        <v>343343</v>
      </c>
      <c r="Q85" s="44">
        <f t="shared" si="0"/>
        <v>4305744</v>
      </c>
      <c r="R85" s="43">
        <f t="shared" si="1"/>
        <v>7.2361028093245627E-2</v>
      </c>
    </row>
    <row r="86" spans="1:18" s="42" customFormat="1">
      <c r="A86" s="1" t="s">
        <v>637</v>
      </c>
      <c r="B86" s="1" t="s">
        <v>639</v>
      </c>
      <c r="C86" s="7" t="s">
        <v>638</v>
      </c>
      <c r="D86" s="44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44"/>
      <c r="R86" s="43"/>
    </row>
    <row r="87" spans="1:18">
      <c r="A87" s="1" t="s">
        <v>236</v>
      </c>
      <c r="B87" s="1" t="s">
        <v>457</v>
      </c>
      <c r="C87" s="1" t="s">
        <v>458</v>
      </c>
      <c r="D87" s="44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44"/>
      <c r="R87" s="43"/>
    </row>
    <row r="88" spans="1:18">
      <c r="A88" s="1" t="s">
        <v>236</v>
      </c>
      <c r="B88" s="1" t="s">
        <v>459</v>
      </c>
      <c r="C88" s="1" t="s">
        <v>460</v>
      </c>
      <c r="D88" s="44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44"/>
      <c r="R88" s="43"/>
    </row>
    <row r="89" spans="1:18">
      <c r="A89" s="1" t="s">
        <v>236</v>
      </c>
      <c r="B89" s="1" t="s">
        <v>461</v>
      </c>
      <c r="C89" s="1" t="s">
        <v>462</v>
      </c>
      <c r="D89" s="44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44"/>
      <c r="R89" s="43"/>
    </row>
    <row r="90" spans="1:18">
      <c r="A90" s="1" t="s">
        <v>236</v>
      </c>
      <c r="B90" s="1" t="s">
        <v>463</v>
      </c>
      <c r="C90" s="1" t="s">
        <v>464</v>
      </c>
      <c r="D90" s="44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44"/>
      <c r="R90" s="43"/>
    </row>
    <row r="91" spans="1:18">
      <c r="A91" s="1" t="s">
        <v>236</v>
      </c>
      <c r="B91" s="1" t="s">
        <v>465</v>
      </c>
      <c r="C91" s="1" t="s">
        <v>466</v>
      </c>
      <c r="D91" s="44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44"/>
      <c r="R91" s="43"/>
    </row>
    <row r="92" spans="1:18">
      <c r="A92" s="1" t="s">
        <v>236</v>
      </c>
      <c r="B92" s="1" t="s">
        <v>467</v>
      </c>
      <c r="C92" s="1" t="s">
        <v>468</v>
      </c>
      <c r="D92" s="44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44"/>
      <c r="R92" s="43"/>
    </row>
    <row r="93" spans="1:18">
      <c r="A93" s="1" t="s">
        <v>236</v>
      </c>
      <c r="B93" s="1" t="s">
        <v>469</v>
      </c>
      <c r="C93" s="1" t="s">
        <v>470</v>
      </c>
      <c r="D93" s="44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44"/>
      <c r="R93" s="43"/>
    </row>
    <row r="94" spans="1:18">
      <c r="A94" s="1" t="s">
        <v>236</v>
      </c>
      <c r="B94" s="1" t="s">
        <v>471</v>
      </c>
      <c r="C94" s="1" t="s">
        <v>472</v>
      </c>
      <c r="D94" s="44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44"/>
      <c r="R94" s="43"/>
    </row>
    <row r="95" spans="1:18">
      <c r="A95" s="1" t="s">
        <v>236</v>
      </c>
      <c r="B95" s="1" t="s">
        <v>473</v>
      </c>
      <c r="C95" s="1" t="s">
        <v>474</v>
      </c>
      <c r="D95" s="44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44"/>
      <c r="R95" s="43"/>
    </row>
    <row r="96" spans="1:18">
      <c r="A96" s="1" t="s">
        <v>236</v>
      </c>
      <c r="B96" s="1" t="s">
        <v>475</v>
      </c>
      <c r="C96" s="1" t="s">
        <v>476</v>
      </c>
      <c r="D96" s="44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44"/>
      <c r="R96" s="43"/>
    </row>
    <row r="97" spans="1:18">
      <c r="A97" s="1" t="s">
        <v>236</v>
      </c>
      <c r="B97" s="1" t="s">
        <v>477</v>
      </c>
      <c r="C97" s="1" t="s">
        <v>478</v>
      </c>
      <c r="D97" s="44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44"/>
      <c r="R97" s="43"/>
    </row>
    <row r="98" spans="1:18">
      <c r="A98" s="1" t="s">
        <v>236</v>
      </c>
      <c r="B98" s="1" t="s">
        <v>479</v>
      </c>
      <c r="C98" s="1" t="s">
        <v>480</v>
      </c>
      <c r="D98" s="44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44"/>
      <c r="R98" s="43"/>
    </row>
    <row r="99" spans="1:18">
      <c r="A99" s="1" t="s">
        <v>236</v>
      </c>
      <c r="B99" s="1" t="s">
        <v>481</v>
      </c>
      <c r="C99" s="1" t="s">
        <v>237</v>
      </c>
      <c r="D99" s="44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44"/>
      <c r="R99" s="43"/>
    </row>
    <row r="100" spans="1:18">
      <c r="A100" s="1" t="s">
        <v>236</v>
      </c>
      <c r="B100" s="1" t="s">
        <v>482</v>
      </c>
      <c r="C100" s="1" t="s">
        <v>483</v>
      </c>
      <c r="D100" s="44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44"/>
      <c r="R100" s="43"/>
    </row>
    <row r="101" spans="1:18">
      <c r="A101" s="1" t="s">
        <v>236</v>
      </c>
      <c r="B101" s="1" t="s">
        <v>484</v>
      </c>
      <c r="C101" s="1" t="s">
        <v>485</v>
      </c>
      <c r="D101" s="44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44"/>
      <c r="R101" s="43"/>
    </row>
    <row r="102" spans="1:18">
      <c r="A102" s="1" t="s">
        <v>238</v>
      </c>
      <c r="B102" s="7" t="s">
        <v>264</v>
      </c>
      <c r="C102" s="7" t="s">
        <v>265</v>
      </c>
      <c r="D102" s="44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44"/>
      <c r="R102" s="43"/>
    </row>
    <row r="103" spans="1:18">
      <c r="A103" s="1" t="s">
        <v>238</v>
      </c>
      <c r="B103" s="7" t="s">
        <v>290</v>
      </c>
      <c r="C103" s="7" t="s">
        <v>291</v>
      </c>
      <c r="D103" s="44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44"/>
      <c r="R103" s="43"/>
    </row>
    <row r="104" spans="1:18">
      <c r="A104" s="1" t="s">
        <v>238</v>
      </c>
      <c r="B104" s="7" t="s">
        <v>260</v>
      </c>
      <c r="C104" s="7" t="s">
        <v>261</v>
      </c>
      <c r="D104" s="44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44"/>
      <c r="R104" s="43"/>
    </row>
    <row r="105" spans="1:18">
      <c r="A105" s="1" t="s">
        <v>238</v>
      </c>
      <c r="B105" s="3" t="s">
        <v>239</v>
      </c>
      <c r="C105" s="3" t="s">
        <v>240</v>
      </c>
      <c r="D105" s="44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44"/>
      <c r="R105" s="43"/>
    </row>
    <row r="106" spans="1:18">
      <c r="A106" s="1" t="s">
        <v>238</v>
      </c>
      <c r="B106" s="7" t="s">
        <v>298</v>
      </c>
      <c r="C106" s="7" t="s">
        <v>299</v>
      </c>
      <c r="D106" s="44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44"/>
      <c r="R106" s="43"/>
    </row>
    <row r="107" spans="1:18">
      <c r="A107" s="1" t="s">
        <v>238</v>
      </c>
      <c r="B107" s="7" t="s">
        <v>272</v>
      </c>
      <c r="C107" s="7" t="s">
        <v>273</v>
      </c>
      <c r="D107" s="44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44"/>
      <c r="R107" s="43"/>
    </row>
    <row r="108" spans="1:18">
      <c r="A108" s="1" t="s">
        <v>238</v>
      </c>
      <c r="B108" s="7" t="s">
        <v>254</v>
      </c>
      <c r="C108" s="7" t="s">
        <v>255</v>
      </c>
      <c r="D108" s="44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44"/>
      <c r="R108" s="43"/>
    </row>
    <row r="109" spans="1:18">
      <c r="A109" s="1" t="s">
        <v>238</v>
      </c>
      <c r="B109" s="7" t="s">
        <v>262</v>
      </c>
      <c r="C109" s="7" t="s">
        <v>263</v>
      </c>
      <c r="D109" s="44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44"/>
      <c r="R109" s="43"/>
    </row>
    <row r="110" spans="1:18">
      <c r="A110" s="1" t="s">
        <v>238</v>
      </c>
      <c r="B110" s="7" t="s">
        <v>282</v>
      </c>
      <c r="C110" s="7" t="s">
        <v>283</v>
      </c>
      <c r="D110" s="44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44"/>
      <c r="R110" s="43"/>
    </row>
    <row r="111" spans="1:18">
      <c r="A111" s="1" t="s">
        <v>238</v>
      </c>
      <c r="B111" s="7" t="s">
        <v>296</v>
      </c>
      <c r="C111" s="7" t="s">
        <v>297</v>
      </c>
      <c r="D111" s="44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44"/>
      <c r="R111" s="43"/>
    </row>
    <row r="112" spans="1:18">
      <c r="A112" s="1" t="s">
        <v>238</v>
      </c>
      <c r="B112" s="7" t="s">
        <v>292</v>
      </c>
      <c r="C112" s="7" t="s">
        <v>293</v>
      </c>
      <c r="D112" s="44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44"/>
      <c r="R112" s="43"/>
    </row>
    <row r="113" spans="1:18">
      <c r="A113" s="1" t="s">
        <v>238</v>
      </c>
      <c r="B113" s="7" t="s">
        <v>270</v>
      </c>
      <c r="C113" s="7" t="s">
        <v>271</v>
      </c>
      <c r="D113" s="44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44"/>
      <c r="R113" s="43"/>
    </row>
    <row r="114" spans="1:18">
      <c r="A114" s="1" t="s">
        <v>238</v>
      </c>
      <c r="B114" s="7" t="s">
        <v>294</v>
      </c>
      <c r="C114" s="7" t="s">
        <v>295</v>
      </c>
      <c r="D114" s="44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44"/>
      <c r="R114" s="43"/>
    </row>
    <row r="115" spans="1:18">
      <c r="A115" s="1" t="s">
        <v>238</v>
      </c>
      <c r="B115" s="7" t="s">
        <v>256</v>
      </c>
      <c r="C115" s="7" t="s">
        <v>257</v>
      </c>
      <c r="D115" s="44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44"/>
      <c r="R115" s="43"/>
    </row>
    <row r="116" spans="1:18">
      <c r="A116" s="1" t="s">
        <v>238</v>
      </c>
      <c r="B116" s="7" t="s">
        <v>288</v>
      </c>
      <c r="C116" s="7" t="s">
        <v>289</v>
      </c>
      <c r="D116" s="44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44"/>
      <c r="R116" s="43"/>
    </row>
    <row r="117" spans="1:18">
      <c r="A117" s="1" t="s">
        <v>238</v>
      </c>
      <c r="B117" s="7" t="s">
        <v>274</v>
      </c>
      <c r="C117" s="7" t="s">
        <v>275</v>
      </c>
      <c r="D117" s="44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44"/>
      <c r="R117" s="43"/>
    </row>
    <row r="118" spans="1:18">
      <c r="A118" s="1" t="s">
        <v>238</v>
      </c>
      <c r="B118" s="7" t="s">
        <v>562</v>
      </c>
      <c r="C118" s="7" t="s">
        <v>267</v>
      </c>
      <c r="D118" s="44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44"/>
      <c r="R118" s="43"/>
    </row>
    <row r="119" spans="1:18">
      <c r="A119" s="1" t="s">
        <v>238</v>
      </c>
      <c r="B119" s="7" t="s">
        <v>280</v>
      </c>
      <c r="C119" s="7" t="s">
        <v>281</v>
      </c>
      <c r="D119" s="44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44"/>
      <c r="R119" s="43"/>
    </row>
    <row r="120" spans="1:18">
      <c r="A120" s="1" t="s">
        <v>238</v>
      </c>
      <c r="B120" s="7" t="s">
        <v>286</v>
      </c>
      <c r="C120" s="7" t="s">
        <v>287</v>
      </c>
      <c r="D120" s="44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44"/>
      <c r="R120" s="43"/>
    </row>
    <row r="121" spans="1:18">
      <c r="A121" s="1" t="s">
        <v>238</v>
      </c>
      <c r="B121" s="7" t="s">
        <v>525</v>
      </c>
      <c r="C121" s="7" t="s">
        <v>259</v>
      </c>
      <c r="D121" s="44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44"/>
      <c r="R121" s="43"/>
    </row>
    <row r="122" spans="1:18">
      <c r="A122" s="1" t="s">
        <v>238</v>
      </c>
      <c r="B122" s="7" t="s">
        <v>268</v>
      </c>
      <c r="C122" s="7" t="s">
        <v>269</v>
      </c>
      <c r="D122" s="44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44"/>
      <c r="R122" s="43"/>
    </row>
    <row r="123" spans="1:18">
      <c r="A123" s="1" t="s">
        <v>238</v>
      </c>
      <c r="B123" s="7" t="s">
        <v>276</v>
      </c>
      <c r="C123" s="7" t="s">
        <v>277</v>
      </c>
      <c r="D123" s="44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44"/>
      <c r="R123" s="43"/>
    </row>
    <row r="124" spans="1:18">
      <c r="A124" s="1" t="s">
        <v>238</v>
      </c>
      <c r="B124" s="7" t="s">
        <v>284</v>
      </c>
      <c r="C124" s="7" t="s">
        <v>285</v>
      </c>
      <c r="D124" s="44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44"/>
      <c r="R124" s="43"/>
    </row>
    <row r="125" spans="1:18">
      <c r="A125" s="1" t="s">
        <v>238</v>
      </c>
      <c r="B125" s="7" t="s">
        <v>278</v>
      </c>
      <c r="C125" s="7" t="s">
        <v>279</v>
      </c>
      <c r="D125" s="44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44"/>
      <c r="R125" s="43"/>
    </row>
    <row r="126" spans="1:18" s="42" customFormat="1">
      <c r="A126" s="1" t="s">
        <v>579</v>
      </c>
      <c r="B126" s="7" t="s">
        <v>493</v>
      </c>
      <c r="C126" s="7" t="s">
        <v>580</v>
      </c>
      <c r="D126" s="44">
        <f>'2016 pax'!Q104</f>
        <v>4593407</v>
      </c>
      <c r="E126" s="30">
        <v>511072</v>
      </c>
      <c r="F126" s="30">
        <v>428660</v>
      </c>
      <c r="G126" s="30">
        <v>474280</v>
      </c>
      <c r="H126" s="30">
        <v>459452</v>
      </c>
      <c r="I126" s="30">
        <v>357514</v>
      </c>
      <c r="J126" s="30">
        <v>385334</v>
      </c>
      <c r="K126" s="30"/>
      <c r="L126" s="30"/>
      <c r="M126" s="30"/>
      <c r="N126" s="30"/>
      <c r="O126" s="30"/>
      <c r="P126" s="30"/>
      <c r="Q126" s="44"/>
      <c r="R126" s="43"/>
    </row>
    <row r="127" spans="1:18">
      <c r="A127" s="1" t="s">
        <v>241</v>
      </c>
      <c r="B127" s="3" t="s">
        <v>529</v>
      </c>
      <c r="C127" s="3" t="s">
        <v>250</v>
      </c>
      <c r="D127" s="44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44"/>
      <c r="R127" s="43"/>
    </row>
    <row r="128" spans="1:18">
      <c r="A128" s="1" t="s">
        <v>241</v>
      </c>
      <c r="B128" s="3" t="s">
        <v>245</v>
      </c>
      <c r="C128" s="3" t="s">
        <v>246</v>
      </c>
      <c r="D128" s="44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44"/>
      <c r="R128" s="43"/>
    </row>
    <row r="129" spans="1:18">
      <c r="A129" s="1" t="s">
        <v>241</v>
      </c>
      <c r="B129" s="3" t="s">
        <v>530</v>
      </c>
      <c r="C129" s="3" t="s">
        <v>247</v>
      </c>
      <c r="D129" s="44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44"/>
      <c r="R129" s="43"/>
    </row>
    <row r="130" spans="1:18">
      <c r="A130" s="1" t="s">
        <v>241</v>
      </c>
      <c r="B130" s="3" t="s">
        <v>248</v>
      </c>
      <c r="C130" s="3" t="s">
        <v>249</v>
      </c>
      <c r="D130" s="44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44"/>
      <c r="R130" s="43"/>
    </row>
    <row r="131" spans="1:18">
      <c r="A131" s="1" t="s">
        <v>241</v>
      </c>
      <c r="B131" s="3" t="s">
        <v>531</v>
      </c>
      <c r="C131" s="3" t="s">
        <v>242</v>
      </c>
      <c r="D131" s="44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44"/>
      <c r="R131" s="43"/>
    </row>
    <row r="132" spans="1:18">
      <c r="A132" s="1" t="s">
        <v>241</v>
      </c>
      <c r="B132" s="3" t="s">
        <v>243</v>
      </c>
      <c r="C132" s="3" t="s">
        <v>244</v>
      </c>
      <c r="D132" s="44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44"/>
      <c r="R132" s="43"/>
    </row>
    <row r="133" spans="1:18">
      <c r="A133" s="3" t="s">
        <v>341</v>
      </c>
      <c r="B133" s="3" t="s">
        <v>342</v>
      </c>
      <c r="C133" s="3" t="s">
        <v>343</v>
      </c>
      <c r="D133" s="44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44"/>
      <c r="R133" s="43"/>
    </row>
    <row r="134" spans="1:18">
      <c r="A134" s="1" t="s">
        <v>251</v>
      </c>
      <c r="B134" s="3" t="s">
        <v>361</v>
      </c>
      <c r="C134" s="3" t="s">
        <v>252</v>
      </c>
      <c r="D134" s="44">
        <f>'2016 pax'!Q112</f>
        <v>2970555</v>
      </c>
      <c r="E134" s="30">
        <v>252867</v>
      </c>
      <c r="F134" s="30">
        <v>221121</v>
      </c>
      <c r="G134" s="30">
        <v>251911</v>
      </c>
      <c r="H134" s="30">
        <v>264744</v>
      </c>
      <c r="I134" s="30">
        <v>251008</v>
      </c>
      <c r="J134" s="30">
        <v>265625</v>
      </c>
      <c r="K134" s="30"/>
      <c r="L134" s="30"/>
      <c r="M134" s="30"/>
      <c r="N134" s="30"/>
      <c r="O134" s="30"/>
      <c r="P134" s="30"/>
      <c r="Q134" s="44"/>
      <c r="R134" s="43"/>
    </row>
    <row r="135" spans="1:18">
      <c r="A135" s="1" t="s">
        <v>334</v>
      </c>
      <c r="B135" s="7" t="s">
        <v>335</v>
      </c>
      <c r="C135" s="7" t="s">
        <v>336</v>
      </c>
      <c r="D135" s="44">
        <f>'2016 pax'!Q113</f>
        <v>2251216</v>
      </c>
      <c r="E135" s="30">
        <v>223868</v>
      </c>
      <c r="F135" s="30">
        <v>225261</v>
      </c>
      <c r="G135" s="30">
        <v>237737</v>
      </c>
      <c r="H135" s="30">
        <v>218267</v>
      </c>
      <c r="I135" s="30">
        <v>160445</v>
      </c>
      <c r="J135" s="30">
        <v>163584</v>
      </c>
      <c r="K135" s="30">
        <v>226555</v>
      </c>
      <c r="L135" s="30"/>
      <c r="M135" s="30"/>
      <c r="N135" s="30"/>
      <c r="O135" s="30"/>
      <c r="P135" s="30"/>
      <c r="Q135" s="44"/>
      <c r="R135" s="43"/>
    </row>
    <row r="136" spans="1:18">
      <c r="A136" s="1" t="s">
        <v>546</v>
      </c>
      <c r="B136" s="7" t="s">
        <v>547</v>
      </c>
      <c r="C136" s="7" t="s">
        <v>548</v>
      </c>
      <c r="D136" s="44">
        <f>'2016 pax'!Q114</f>
        <v>2579123</v>
      </c>
      <c r="E136" s="30">
        <v>234479</v>
      </c>
      <c r="F136" s="30">
        <v>195406</v>
      </c>
      <c r="G136" s="30">
        <v>229631</v>
      </c>
      <c r="H136" s="30">
        <v>244711</v>
      </c>
      <c r="I136" s="30">
        <v>210846</v>
      </c>
      <c r="J136" s="30"/>
      <c r="K136" s="30"/>
      <c r="L136" s="30"/>
      <c r="M136" s="30"/>
      <c r="N136" s="30"/>
      <c r="O136" s="30"/>
      <c r="P136" s="30"/>
      <c r="Q136" s="44"/>
      <c r="R136" s="43"/>
    </row>
    <row r="137" spans="1:18" s="42" customFormat="1">
      <c r="A137" s="1" t="s">
        <v>581</v>
      </c>
      <c r="B137" s="7" t="s">
        <v>582</v>
      </c>
      <c r="C137" s="7" t="s">
        <v>583</v>
      </c>
      <c r="D137" s="44">
        <f>'2016 pax'!Q115</f>
        <v>3952273</v>
      </c>
      <c r="E137" s="30">
        <v>390723</v>
      </c>
      <c r="F137" s="30">
        <v>351410</v>
      </c>
      <c r="G137" s="30">
        <v>395382</v>
      </c>
      <c r="H137" s="30">
        <v>380393</v>
      </c>
      <c r="I137" s="30">
        <v>324741</v>
      </c>
      <c r="J137" s="30">
        <v>352470</v>
      </c>
      <c r="K137" s="30">
        <v>421506</v>
      </c>
      <c r="L137" s="30">
        <v>376478</v>
      </c>
      <c r="M137" s="30">
        <v>248989</v>
      </c>
      <c r="N137" s="30">
        <v>274209</v>
      </c>
      <c r="O137" s="30">
        <v>344929</v>
      </c>
      <c r="P137" s="30">
        <v>423328</v>
      </c>
      <c r="Q137" s="44">
        <f>SUM(E137:P137)</f>
        <v>4284558</v>
      </c>
      <c r="R137" s="43">
        <f>SUM(Q137/D137)-1</f>
        <v>8.4074404779224565E-2</v>
      </c>
    </row>
    <row r="138" spans="1:18">
      <c r="A138" s="1" t="s">
        <v>331</v>
      </c>
      <c r="B138" s="7" t="s">
        <v>332</v>
      </c>
      <c r="C138" s="7" t="s">
        <v>333</v>
      </c>
      <c r="D138" s="44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44"/>
      <c r="R138" s="43"/>
    </row>
    <row r="139" spans="1:18" ht="15.75">
      <c r="A139" s="1" t="s">
        <v>85</v>
      </c>
      <c r="B139" s="1" t="s">
        <v>364</v>
      </c>
      <c r="C139" s="1" t="s">
        <v>126</v>
      </c>
      <c r="D139" s="44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44"/>
      <c r="R139" s="43"/>
    </row>
    <row r="140" spans="1:18">
      <c r="A140" s="1" t="s">
        <v>85</v>
      </c>
      <c r="B140" s="1" t="s">
        <v>377</v>
      </c>
      <c r="C140" s="1" t="s">
        <v>121</v>
      </c>
      <c r="D140" s="44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44"/>
      <c r="R140" s="43"/>
    </row>
    <row r="141" spans="1:18">
      <c r="A141" s="1" t="s">
        <v>85</v>
      </c>
      <c r="B141" s="1" t="s">
        <v>88</v>
      </c>
      <c r="C141" s="1" t="s">
        <v>89</v>
      </c>
      <c r="D141" s="44">
        <f>'2016 pax'!Q119</f>
        <v>21415795</v>
      </c>
      <c r="E141" s="30">
        <v>2070752</v>
      </c>
      <c r="F141" s="30">
        <v>1811601</v>
      </c>
      <c r="G141" s="30">
        <v>2087986</v>
      </c>
      <c r="H141" s="30">
        <v>2131611</v>
      </c>
      <c r="I141" s="30">
        <v>1951473</v>
      </c>
      <c r="J141" s="30">
        <v>2033668</v>
      </c>
      <c r="K141" s="30">
        <v>2334729</v>
      </c>
      <c r="L141" s="30">
        <v>2082541</v>
      </c>
      <c r="M141" s="30">
        <v>1491745</v>
      </c>
      <c r="N141" s="30"/>
      <c r="O141" s="30"/>
      <c r="P141" s="30"/>
      <c r="Q141" s="44"/>
      <c r="R141" s="43"/>
    </row>
    <row r="142" spans="1:18" ht="15.75">
      <c r="A142" s="1" t="s">
        <v>85</v>
      </c>
      <c r="B142" s="1" t="s">
        <v>365</v>
      </c>
      <c r="C142" s="1" t="s">
        <v>129</v>
      </c>
      <c r="D142" s="44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44"/>
      <c r="R142" s="43"/>
    </row>
    <row r="143" spans="1:18" ht="15.75">
      <c r="A143" s="1" t="s">
        <v>85</v>
      </c>
      <c r="B143" s="1" t="s">
        <v>366</v>
      </c>
      <c r="C143" s="1" t="s">
        <v>127</v>
      </c>
      <c r="D143" s="44"/>
      <c r="E143" s="30"/>
      <c r="F143" s="30"/>
      <c r="G143" s="30"/>
      <c r="H143" s="30"/>
      <c r="I143" s="30"/>
      <c r="J143" s="30"/>
      <c r="K143" s="30"/>
      <c r="L143" s="42"/>
      <c r="M143" s="30"/>
      <c r="N143" s="30"/>
      <c r="O143" s="30"/>
      <c r="P143" s="30"/>
      <c r="Q143" s="44"/>
      <c r="R143" s="43"/>
    </row>
    <row r="144" spans="1:18">
      <c r="A144" s="1" t="s">
        <v>85</v>
      </c>
      <c r="B144" s="1" t="s">
        <v>97</v>
      </c>
      <c r="C144" s="1" t="s">
        <v>98</v>
      </c>
      <c r="D144" s="44">
        <f>'2016 pax'!Q122</f>
        <v>538092</v>
      </c>
      <c r="E144" s="30">
        <v>52324</v>
      </c>
      <c r="F144" s="30">
        <v>52735</v>
      </c>
      <c r="G144" s="30">
        <v>65276</v>
      </c>
      <c r="H144" s="30">
        <v>49234</v>
      </c>
      <c r="I144" s="30">
        <v>37267</v>
      </c>
      <c r="J144" s="30">
        <v>46510</v>
      </c>
      <c r="K144" s="30">
        <v>60918</v>
      </c>
      <c r="L144" s="30">
        <v>41040</v>
      </c>
      <c r="M144" s="30">
        <v>22151</v>
      </c>
      <c r="N144" s="30"/>
      <c r="O144" s="30"/>
      <c r="P144" s="30"/>
      <c r="Q144" s="44"/>
      <c r="R144" s="43"/>
    </row>
    <row r="145" spans="1:18" ht="15.75">
      <c r="A145" s="1" t="s">
        <v>85</v>
      </c>
      <c r="B145" s="1" t="s">
        <v>367</v>
      </c>
      <c r="C145" s="1" t="s">
        <v>125</v>
      </c>
      <c r="D145" s="44"/>
      <c r="E145" s="30"/>
      <c r="F145" s="30"/>
      <c r="G145" s="30"/>
      <c r="H145" s="30"/>
      <c r="I145" s="30"/>
      <c r="J145" s="30"/>
      <c r="K145" s="30"/>
      <c r="L145" s="42"/>
      <c r="M145" s="30"/>
      <c r="N145" s="30"/>
      <c r="O145" s="30"/>
      <c r="P145" s="30"/>
      <c r="Q145" s="44"/>
      <c r="R145" s="43"/>
    </row>
    <row r="146" spans="1:18" ht="15.75">
      <c r="A146" s="1" t="s">
        <v>85</v>
      </c>
      <c r="B146" s="1" t="s">
        <v>368</v>
      </c>
      <c r="C146" s="1" t="s">
        <v>136</v>
      </c>
      <c r="D146" s="44"/>
      <c r="E146" s="30"/>
      <c r="F146" s="30"/>
      <c r="G146" s="30"/>
      <c r="H146" s="30"/>
      <c r="I146" s="30"/>
      <c r="J146" s="30"/>
      <c r="K146" s="30"/>
      <c r="L146" s="42"/>
      <c r="M146" s="30"/>
      <c r="N146" s="30"/>
      <c r="O146" s="30"/>
      <c r="P146" s="30"/>
      <c r="Q146" s="44"/>
      <c r="R146" s="43"/>
    </row>
    <row r="147" spans="1:18">
      <c r="A147" s="1" t="s">
        <v>85</v>
      </c>
      <c r="B147" s="1" t="s">
        <v>105</v>
      </c>
      <c r="C147" s="1" t="s">
        <v>106</v>
      </c>
      <c r="D147" s="44"/>
      <c r="E147" s="30"/>
      <c r="F147" s="42"/>
      <c r="G147" s="30"/>
      <c r="H147" s="30"/>
      <c r="I147" s="30"/>
      <c r="J147" s="30"/>
      <c r="K147" s="30"/>
      <c r="L147" s="42"/>
      <c r="M147" s="30"/>
      <c r="N147" s="30"/>
      <c r="O147" s="30"/>
      <c r="P147" s="30"/>
      <c r="Q147" s="44"/>
      <c r="R147" s="43"/>
    </row>
    <row r="148" spans="1:18">
      <c r="A148" s="1" t="s">
        <v>85</v>
      </c>
      <c r="B148" s="1" t="s">
        <v>113</v>
      </c>
      <c r="C148" s="1" t="s">
        <v>114</v>
      </c>
      <c r="D148" s="44"/>
      <c r="E148" s="30"/>
      <c r="F148" s="42"/>
      <c r="G148" s="30"/>
      <c r="H148" s="30"/>
      <c r="I148" s="30"/>
      <c r="J148" s="30"/>
      <c r="K148" s="30"/>
      <c r="L148" s="42"/>
      <c r="M148" s="30"/>
      <c r="N148" s="30"/>
      <c r="O148" s="30"/>
      <c r="P148" s="30"/>
      <c r="Q148" s="44"/>
      <c r="R148" s="43"/>
    </row>
    <row r="149" spans="1:18">
      <c r="A149" s="1" t="s">
        <v>85</v>
      </c>
      <c r="B149" s="1" t="s">
        <v>99</v>
      </c>
      <c r="C149" s="1" t="s">
        <v>100</v>
      </c>
      <c r="D149" s="44">
        <f>'2016 pax'!Q127</f>
        <v>662780</v>
      </c>
      <c r="E149" s="30">
        <v>80255</v>
      </c>
      <c r="F149" s="30">
        <v>67397</v>
      </c>
      <c r="G149" s="30">
        <v>71332</v>
      </c>
      <c r="H149" s="30">
        <v>70873</v>
      </c>
      <c r="I149" s="30">
        <v>60743</v>
      </c>
      <c r="J149" s="30">
        <v>57268</v>
      </c>
      <c r="K149" s="30">
        <v>69712</v>
      </c>
      <c r="L149" s="30">
        <v>62447</v>
      </c>
      <c r="M149" s="30">
        <v>44266</v>
      </c>
      <c r="N149" s="30"/>
      <c r="O149" s="30"/>
      <c r="P149" s="30"/>
      <c r="Q149" s="44"/>
      <c r="R149" s="43"/>
    </row>
    <row r="150" spans="1:18">
      <c r="A150" s="1" t="s">
        <v>85</v>
      </c>
      <c r="B150" s="1" t="s">
        <v>381</v>
      </c>
      <c r="C150" s="1" t="s">
        <v>120</v>
      </c>
      <c r="D150" s="44"/>
      <c r="E150" s="30"/>
      <c r="F150" s="42"/>
      <c r="G150" s="30"/>
      <c r="H150" s="30"/>
      <c r="I150" s="30"/>
      <c r="J150" s="30"/>
      <c r="K150" s="30"/>
      <c r="L150" s="42"/>
      <c r="M150" s="30"/>
      <c r="N150" s="30"/>
      <c r="O150" s="30"/>
      <c r="P150" s="30"/>
      <c r="Q150" s="44"/>
      <c r="R150" s="43"/>
    </row>
    <row r="151" spans="1:18">
      <c r="A151" s="1" t="s">
        <v>85</v>
      </c>
      <c r="B151" s="1" t="s">
        <v>380</v>
      </c>
      <c r="C151" s="1" t="s">
        <v>115</v>
      </c>
      <c r="D151" s="44"/>
      <c r="E151" s="30"/>
      <c r="F151" s="42"/>
      <c r="G151" s="30"/>
      <c r="H151" s="30"/>
      <c r="I151" s="30"/>
      <c r="J151" s="30"/>
      <c r="K151" s="30"/>
      <c r="L151" s="42"/>
      <c r="M151" s="30"/>
      <c r="N151" s="30"/>
      <c r="O151" s="30"/>
      <c r="P151" s="30"/>
      <c r="Q151" s="44"/>
      <c r="R151" s="43"/>
    </row>
    <row r="152" spans="1:18">
      <c r="A152" s="1" t="s">
        <v>85</v>
      </c>
      <c r="B152" s="1" t="s">
        <v>379</v>
      </c>
      <c r="C152" s="1" t="s">
        <v>123</v>
      </c>
      <c r="D152" s="44"/>
      <c r="E152" s="30"/>
      <c r="F152" s="42"/>
      <c r="G152" s="30"/>
      <c r="H152" s="30"/>
      <c r="I152" s="30"/>
      <c r="J152" s="30"/>
      <c r="K152" s="30"/>
      <c r="L152" s="42"/>
      <c r="M152" s="30"/>
      <c r="N152" s="30"/>
      <c r="O152" s="30"/>
      <c r="P152" s="30"/>
      <c r="Q152" s="44"/>
      <c r="R152" s="43"/>
    </row>
    <row r="153" spans="1:18">
      <c r="A153" s="1" t="s">
        <v>85</v>
      </c>
      <c r="B153" s="1" t="s">
        <v>378</v>
      </c>
      <c r="C153" s="1" t="s">
        <v>122</v>
      </c>
      <c r="D153" s="44"/>
      <c r="E153" s="30"/>
      <c r="F153" s="42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44"/>
      <c r="R153" s="43"/>
    </row>
    <row r="154" spans="1:18" ht="15.75">
      <c r="A154" s="1" t="s">
        <v>85</v>
      </c>
      <c r="B154" s="1" t="s">
        <v>369</v>
      </c>
      <c r="C154" s="1" t="s">
        <v>128</v>
      </c>
      <c r="D154" s="44"/>
      <c r="E154" s="30"/>
      <c r="F154" s="30"/>
      <c r="G154" s="30"/>
      <c r="H154" s="30"/>
      <c r="I154" s="30"/>
      <c r="J154" s="30"/>
      <c r="K154" s="30"/>
      <c r="L154" s="42"/>
      <c r="M154" s="30"/>
      <c r="N154" s="30"/>
      <c r="O154" s="30"/>
      <c r="P154" s="30"/>
      <c r="Q154" s="44"/>
      <c r="R154" s="43"/>
    </row>
    <row r="155" spans="1:18">
      <c r="A155" s="1" t="s">
        <v>85</v>
      </c>
      <c r="B155" s="1" t="s">
        <v>488</v>
      </c>
      <c r="C155" s="1" t="s">
        <v>90</v>
      </c>
      <c r="D155" s="44">
        <f>'2016 pax'!Q133</f>
        <v>1944782</v>
      </c>
      <c r="E155" s="30">
        <v>174601</v>
      </c>
      <c r="F155" s="30">
        <v>155763</v>
      </c>
      <c r="G155" s="30">
        <v>177465</v>
      </c>
      <c r="H155" s="30">
        <v>178270</v>
      </c>
      <c r="I155" s="30">
        <v>170163</v>
      </c>
      <c r="J155" s="30">
        <v>172730</v>
      </c>
      <c r="K155" s="30">
        <v>193007</v>
      </c>
      <c r="L155" s="30">
        <v>184390</v>
      </c>
      <c r="M155" s="30">
        <v>157470</v>
      </c>
      <c r="N155" s="30"/>
      <c r="O155" s="30"/>
      <c r="P155" s="30"/>
      <c r="Q155" s="44"/>
      <c r="R155" s="43"/>
    </row>
    <row r="156" spans="1:18">
      <c r="A156" s="1" t="s">
        <v>85</v>
      </c>
      <c r="B156" s="1" t="s">
        <v>116</v>
      </c>
      <c r="C156" s="1" t="s">
        <v>117</v>
      </c>
      <c r="D156" s="44"/>
      <c r="E156" s="30"/>
      <c r="F156" s="42"/>
      <c r="G156" s="42"/>
      <c r="H156" s="30"/>
      <c r="I156" s="30"/>
      <c r="J156" s="30"/>
      <c r="K156" s="30"/>
      <c r="L156" s="42"/>
      <c r="M156" s="30"/>
      <c r="N156" s="30"/>
      <c r="O156" s="30"/>
      <c r="P156" s="30"/>
      <c r="Q156" s="44"/>
      <c r="R156" s="43"/>
    </row>
    <row r="157" spans="1:18">
      <c r="A157" s="1" t="s">
        <v>85</v>
      </c>
      <c r="B157" s="1" t="s">
        <v>86</v>
      </c>
      <c r="C157" s="1" t="s">
        <v>87</v>
      </c>
      <c r="D157" s="44"/>
      <c r="E157" s="30"/>
      <c r="F157" s="30"/>
      <c r="G157" s="30"/>
      <c r="H157" s="30"/>
      <c r="I157" s="30"/>
      <c r="J157" s="30"/>
      <c r="K157" s="30"/>
      <c r="L157" s="42"/>
      <c r="M157" s="30"/>
      <c r="N157" s="30"/>
      <c r="O157" s="30"/>
      <c r="P157" s="30"/>
      <c r="Q157" s="44"/>
      <c r="R157" s="43"/>
    </row>
    <row r="158" spans="1:18">
      <c r="A158" s="1" t="s">
        <v>85</v>
      </c>
      <c r="B158" s="1" t="s">
        <v>103</v>
      </c>
      <c r="C158" s="1" t="s">
        <v>104</v>
      </c>
      <c r="D158" s="44">
        <f>'2016 pax'!Q136</f>
        <v>233242</v>
      </c>
      <c r="E158" s="30">
        <v>16821</v>
      </c>
      <c r="F158" s="30">
        <v>16297</v>
      </c>
      <c r="G158" s="30">
        <v>17495</v>
      </c>
      <c r="H158" s="30">
        <v>17116</v>
      </c>
      <c r="I158" s="30">
        <v>18550</v>
      </c>
      <c r="J158" s="30">
        <v>17506</v>
      </c>
      <c r="K158" s="30">
        <v>18306</v>
      </c>
      <c r="L158" s="30">
        <v>18449</v>
      </c>
      <c r="M158" s="30">
        <v>15220</v>
      </c>
      <c r="N158" s="30"/>
      <c r="O158" s="30"/>
      <c r="P158" s="30"/>
      <c r="Q158" s="44"/>
      <c r="R158" s="43"/>
    </row>
    <row r="159" spans="1:18" ht="15.75">
      <c r="A159" s="1" t="s">
        <v>85</v>
      </c>
      <c r="B159" s="1" t="s">
        <v>370</v>
      </c>
      <c r="C159" s="1" t="s">
        <v>124</v>
      </c>
      <c r="D159" s="44"/>
      <c r="E159" s="30"/>
      <c r="F159" s="30"/>
      <c r="G159" s="30"/>
      <c r="H159" s="30"/>
      <c r="I159" s="30"/>
      <c r="J159" s="30"/>
      <c r="K159" s="30"/>
      <c r="L159" s="42"/>
      <c r="M159" s="30"/>
      <c r="N159" s="30"/>
      <c r="O159" s="30"/>
      <c r="P159" s="30"/>
      <c r="Q159" s="44"/>
      <c r="R159" s="43"/>
    </row>
    <row r="160" spans="1:18">
      <c r="A160" s="1" t="s">
        <v>85</v>
      </c>
      <c r="B160" s="1" t="s">
        <v>118</v>
      </c>
      <c r="C160" s="1" t="s">
        <v>119</v>
      </c>
      <c r="D160" s="44"/>
      <c r="E160" s="30"/>
      <c r="F160" s="30"/>
      <c r="G160" s="42"/>
      <c r="H160" s="30"/>
      <c r="I160" s="30"/>
      <c r="J160" s="30"/>
      <c r="K160" s="30"/>
      <c r="L160" s="42"/>
      <c r="M160" s="30"/>
      <c r="N160" s="30"/>
      <c r="O160" s="30"/>
      <c r="P160" s="30"/>
      <c r="Q160" s="44"/>
      <c r="R160" s="43"/>
    </row>
    <row r="161" spans="1:18">
      <c r="A161" s="1" t="s">
        <v>85</v>
      </c>
      <c r="B161" s="1" t="s">
        <v>95</v>
      </c>
      <c r="C161" s="1" t="s">
        <v>96</v>
      </c>
      <c r="D161" s="44">
        <f>'2016 pax'!Q139</f>
        <v>746910</v>
      </c>
      <c r="E161" s="30">
        <v>69088</v>
      </c>
      <c r="F161" s="30">
        <v>57532</v>
      </c>
      <c r="G161" s="30">
        <v>62828</v>
      </c>
      <c r="H161" s="30">
        <v>65218</v>
      </c>
      <c r="I161" s="30">
        <v>64425</v>
      </c>
      <c r="J161" s="30">
        <v>66326</v>
      </c>
      <c r="K161" s="30">
        <v>89837</v>
      </c>
      <c r="L161" s="30">
        <v>83646</v>
      </c>
      <c r="M161" s="30">
        <v>64443</v>
      </c>
      <c r="N161" s="30"/>
      <c r="O161" s="30"/>
      <c r="P161" s="30"/>
      <c r="Q161" s="44"/>
      <c r="R161" s="43"/>
    </row>
    <row r="162" spans="1:18">
      <c r="A162" s="1" t="s">
        <v>85</v>
      </c>
      <c r="B162" s="1" t="s">
        <v>109</v>
      </c>
      <c r="C162" s="1" t="s">
        <v>110</v>
      </c>
      <c r="D162" s="44"/>
      <c r="E162" s="30"/>
      <c r="F162" s="42"/>
      <c r="G162" s="42"/>
      <c r="H162" s="30"/>
      <c r="I162" s="30"/>
      <c r="J162" s="30"/>
      <c r="K162" s="30"/>
      <c r="L162" s="42"/>
      <c r="M162" s="30"/>
      <c r="N162" s="30"/>
      <c r="O162" s="30"/>
      <c r="P162" s="30"/>
      <c r="Q162" s="44"/>
      <c r="R162" s="43"/>
    </row>
    <row r="163" spans="1:18" ht="15.75">
      <c r="A163" s="1" t="s">
        <v>85</v>
      </c>
      <c r="B163" s="1" t="s">
        <v>371</v>
      </c>
      <c r="C163" s="1" t="s">
        <v>135</v>
      </c>
      <c r="D163" s="44"/>
      <c r="E163" s="30"/>
      <c r="F163" s="30"/>
      <c r="G163" s="30"/>
      <c r="H163" s="30"/>
      <c r="I163" s="30"/>
      <c r="J163" s="30"/>
      <c r="K163" s="30"/>
      <c r="L163" s="42"/>
      <c r="M163" s="30"/>
      <c r="N163" s="30"/>
      <c r="O163" s="30"/>
      <c r="P163" s="30"/>
      <c r="Q163" s="44"/>
      <c r="R163" s="43"/>
    </row>
    <row r="164" spans="1:18">
      <c r="A164" s="1" t="s">
        <v>85</v>
      </c>
      <c r="B164" s="1" t="s">
        <v>111</v>
      </c>
      <c r="C164" s="1" t="s">
        <v>112</v>
      </c>
      <c r="D164" s="44"/>
      <c r="E164" s="30"/>
      <c r="F164" s="42"/>
      <c r="G164" s="30"/>
      <c r="H164" s="30"/>
      <c r="I164" s="30"/>
      <c r="J164" s="30"/>
      <c r="K164" s="30"/>
      <c r="L164" s="42"/>
      <c r="M164" s="30"/>
      <c r="N164" s="30"/>
      <c r="O164" s="30"/>
      <c r="P164" s="30"/>
      <c r="Q164" s="44"/>
      <c r="R164" s="43"/>
    </row>
    <row r="165" spans="1:18" ht="15.75">
      <c r="A165" s="1" t="s">
        <v>85</v>
      </c>
      <c r="B165" s="1" t="s">
        <v>372</v>
      </c>
      <c r="C165" s="1" t="s">
        <v>134</v>
      </c>
      <c r="D165" s="44"/>
      <c r="E165" s="30"/>
      <c r="F165" s="30"/>
      <c r="G165" s="30"/>
      <c r="H165" s="30"/>
      <c r="I165" s="30"/>
      <c r="J165" s="30"/>
      <c r="K165" s="30"/>
      <c r="L165" s="42"/>
      <c r="M165" s="30"/>
      <c r="N165" s="30"/>
      <c r="O165" s="30"/>
      <c r="P165" s="30"/>
      <c r="Q165" s="44"/>
      <c r="R165" s="43"/>
    </row>
    <row r="166" spans="1:18" ht="15.75">
      <c r="A166" s="1" t="s">
        <v>85</v>
      </c>
      <c r="B166" s="1" t="s">
        <v>373</v>
      </c>
      <c r="C166" s="1" t="s">
        <v>131</v>
      </c>
      <c r="D166" s="44"/>
      <c r="E166" s="30"/>
      <c r="F166" s="30"/>
      <c r="G166" s="30"/>
      <c r="H166" s="30"/>
      <c r="I166" s="30"/>
      <c r="J166" s="30"/>
      <c r="K166" s="30"/>
      <c r="L166" s="42"/>
      <c r="M166" s="30"/>
      <c r="N166" s="30"/>
      <c r="O166" s="30"/>
      <c r="P166" s="30"/>
      <c r="Q166" s="44"/>
      <c r="R166" s="43"/>
    </row>
    <row r="167" spans="1:18">
      <c r="A167" s="1" t="s">
        <v>85</v>
      </c>
      <c r="B167" s="1" t="s">
        <v>101</v>
      </c>
      <c r="C167" s="1" t="s">
        <v>102</v>
      </c>
      <c r="D167" s="44">
        <f>'2016 pax'!Q145</f>
        <v>308788</v>
      </c>
      <c r="E167" s="30">
        <v>29183</v>
      </c>
      <c r="F167" s="30">
        <v>22474</v>
      </c>
      <c r="G167" s="30">
        <v>25180</v>
      </c>
      <c r="H167" s="30">
        <v>24646</v>
      </c>
      <c r="I167" s="30">
        <v>24626</v>
      </c>
      <c r="J167" s="30">
        <v>23394</v>
      </c>
      <c r="K167" s="30">
        <v>24452</v>
      </c>
      <c r="L167" s="30">
        <v>22567</v>
      </c>
      <c r="M167" s="30">
        <v>20213</v>
      </c>
      <c r="N167" s="30"/>
      <c r="O167" s="30"/>
      <c r="P167" s="30"/>
      <c r="Q167" s="44"/>
      <c r="R167" s="43"/>
    </row>
    <row r="168" spans="1:18">
      <c r="A168" s="1" t="s">
        <v>85</v>
      </c>
      <c r="B168" s="1" t="s">
        <v>107</v>
      </c>
      <c r="C168" s="1" t="s">
        <v>108</v>
      </c>
      <c r="D168" s="44"/>
      <c r="E168" s="30"/>
      <c r="F168" s="30"/>
      <c r="G168" s="42"/>
      <c r="H168" s="30"/>
      <c r="I168" s="30"/>
      <c r="J168" s="42"/>
      <c r="K168" s="30"/>
      <c r="L168" s="42"/>
      <c r="M168" s="30"/>
      <c r="N168" s="30"/>
      <c r="O168" s="30"/>
      <c r="P168" s="30"/>
      <c r="Q168" s="44"/>
      <c r="R168" s="43"/>
    </row>
    <row r="169" spans="1:18" ht="15.75">
      <c r="A169" s="1" t="s">
        <v>85</v>
      </c>
      <c r="B169" s="1" t="s">
        <v>374</v>
      </c>
      <c r="C169" s="1" t="s">
        <v>132</v>
      </c>
      <c r="D169" s="44"/>
      <c r="E169" s="30"/>
      <c r="F169" s="30"/>
      <c r="G169" s="30"/>
      <c r="H169" s="30"/>
      <c r="I169" s="30"/>
      <c r="J169" s="30"/>
      <c r="K169" s="30"/>
      <c r="L169" s="42"/>
      <c r="M169" s="30"/>
      <c r="N169" s="30"/>
      <c r="O169" s="30"/>
      <c r="P169" s="30"/>
      <c r="Q169" s="44"/>
      <c r="R169" s="43"/>
    </row>
    <row r="170" spans="1:18">
      <c r="A170" s="1" t="s">
        <v>85</v>
      </c>
      <c r="B170" s="1" t="s">
        <v>91</v>
      </c>
      <c r="C170" s="1" t="s">
        <v>92</v>
      </c>
      <c r="D170" s="44">
        <f>'2016 pax'!Q148</f>
        <v>1315867</v>
      </c>
      <c r="E170" s="30">
        <v>107509</v>
      </c>
      <c r="F170" s="30">
        <v>93075</v>
      </c>
      <c r="G170" s="30">
        <v>104127</v>
      </c>
      <c r="H170" s="30">
        <v>112643</v>
      </c>
      <c r="I170" s="30">
        <v>115738</v>
      </c>
      <c r="J170" s="30">
        <v>116272</v>
      </c>
      <c r="K170" s="30">
        <v>136398</v>
      </c>
      <c r="L170" s="30">
        <v>127354</v>
      </c>
      <c r="M170" s="30">
        <v>102301</v>
      </c>
      <c r="N170" s="30"/>
      <c r="O170" s="30"/>
      <c r="P170" s="30"/>
      <c r="Q170" s="44"/>
      <c r="R170" s="43"/>
    </row>
    <row r="171" spans="1:18">
      <c r="A171" s="1" t="s">
        <v>85</v>
      </c>
      <c r="B171" s="1" t="s">
        <v>93</v>
      </c>
      <c r="C171" s="1" t="s">
        <v>94</v>
      </c>
      <c r="D171" s="44">
        <f>'2016 pax'!Q149</f>
        <v>1240795</v>
      </c>
      <c r="E171" s="30">
        <v>108346</v>
      </c>
      <c r="F171" s="30">
        <v>94535</v>
      </c>
      <c r="G171" s="30">
        <v>105818</v>
      </c>
      <c r="H171" s="30">
        <v>109012</v>
      </c>
      <c r="I171" s="30">
        <v>109142</v>
      </c>
      <c r="J171" s="30">
        <v>105243</v>
      </c>
      <c r="K171" s="30">
        <v>113940</v>
      </c>
      <c r="L171" s="30">
        <v>110505</v>
      </c>
      <c r="M171" s="30">
        <v>91010</v>
      </c>
      <c r="N171" s="30"/>
      <c r="O171" s="30"/>
      <c r="P171" s="30"/>
      <c r="Q171" s="44"/>
      <c r="R171" s="43"/>
    </row>
    <row r="172" spans="1:18" ht="15.75">
      <c r="A172" s="1" t="s">
        <v>85</v>
      </c>
      <c r="B172" s="1" t="s">
        <v>375</v>
      </c>
      <c r="C172" s="1" t="s">
        <v>133</v>
      </c>
      <c r="D172" s="44"/>
      <c r="E172" s="30"/>
      <c r="F172" s="30"/>
      <c r="G172" s="30"/>
      <c r="H172" s="30"/>
      <c r="I172" s="30"/>
      <c r="J172" s="30"/>
      <c r="K172" s="30"/>
      <c r="L172" s="42"/>
      <c r="M172" s="30"/>
      <c r="N172" s="30"/>
      <c r="O172" s="30"/>
      <c r="P172" s="30"/>
      <c r="Q172" s="44"/>
      <c r="R172" s="43"/>
    </row>
    <row r="173" spans="1:18" ht="15.75">
      <c r="A173" s="1" t="s">
        <v>85</v>
      </c>
      <c r="B173" s="1" t="s">
        <v>376</v>
      </c>
      <c r="C173" s="1" t="s">
        <v>130</v>
      </c>
      <c r="D173" s="44"/>
      <c r="E173" s="30"/>
      <c r="F173" s="30"/>
      <c r="G173" s="30"/>
      <c r="H173" s="30"/>
      <c r="I173" s="30"/>
      <c r="J173" s="30"/>
      <c r="K173" s="30"/>
      <c r="L173" s="42"/>
      <c r="M173" s="30"/>
      <c r="N173" s="30"/>
      <c r="O173" s="30"/>
      <c r="P173" s="30"/>
      <c r="Q173" s="44"/>
      <c r="R173" s="43"/>
    </row>
    <row r="174" spans="1:18">
      <c r="A174" s="1" t="s">
        <v>512</v>
      </c>
      <c r="B174" s="1" t="s">
        <v>513</v>
      </c>
      <c r="C174" s="1" t="s">
        <v>514</v>
      </c>
      <c r="D174" s="44">
        <f>'2016 pax'!Q152</f>
        <v>14741937</v>
      </c>
      <c r="E174" s="30">
        <v>1384999</v>
      </c>
      <c r="F174" s="30">
        <v>1160173</v>
      </c>
      <c r="G174" s="30">
        <v>1238165</v>
      </c>
      <c r="H174" s="30">
        <v>1231828</v>
      </c>
      <c r="I174" s="30">
        <v>1237592</v>
      </c>
      <c r="J174" s="30">
        <v>1293752</v>
      </c>
      <c r="K174" s="30">
        <v>1458204</v>
      </c>
      <c r="L174" s="30">
        <v>1415032</v>
      </c>
      <c r="M174" s="30">
        <v>1244025</v>
      </c>
      <c r="N174" s="30">
        <v>1303717</v>
      </c>
      <c r="O174" s="30">
        <v>1271410</v>
      </c>
      <c r="P174" s="30">
        <v>1377168</v>
      </c>
      <c r="Q174" s="44">
        <f>SUM(E174:P174)</f>
        <v>15616065</v>
      </c>
      <c r="R174" s="43">
        <f>SUM(Q174/D174)-1</f>
        <v>5.9295328693915961E-2</v>
      </c>
    </row>
    <row r="175" spans="1:18">
      <c r="A175" s="1" t="s">
        <v>414</v>
      </c>
      <c r="B175" s="1" t="s">
        <v>415</v>
      </c>
      <c r="C175" s="1" t="s">
        <v>416</v>
      </c>
      <c r="D175" s="44">
        <f>'2016 pax'!Q153</f>
        <v>1033178</v>
      </c>
      <c r="E175" s="30">
        <v>108568</v>
      </c>
      <c r="F175" s="30">
        <v>94151</v>
      </c>
      <c r="G175" s="30">
        <v>90984</v>
      </c>
      <c r="H175" s="30">
        <v>89508</v>
      </c>
      <c r="I175" s="30">
        <v>89671</v>
      </c>
      <c r="J175" s="30">
        <v>85128</v>
      </c>
      <c r="K175" s="30">
        <v>117479</v>
      </c>
      <c r="L175" s="30">
        <v>102151</v>
      </c>
      <c r="M175" s="30"/>
      <c r="N175" s="30"/>
      <c r="O175" s="30"/>
      <c r="P175" s="30"/>
      <c r="Q175" s="44"/>
      <c r="R175" s="43"/>
    </row>
    <row r="176" spans="1:18">
      <c r="A176" s="1" t="s">
        <v>414</v>
      </c>
      <c r="B176" s="1" t="s">
        <v>508</v>
      </c>
      <c r="C176" s="1" t="s">
        <v>509</v>
      </c>
      <c r="D176" s="44">
        <f>'2016 pax'!Q154</f>
        <v>43622</v>
      </c>
      <c r="E176" s="30">
        <v>2459</v>
      </c>
      <c r="F176" s="30">
        <v>2902</v>
      </c>
      <c r="G176" s="30">
        <v>3586</v>
      </c>
      <c r="H176" s="30">
        <v>3099</v>
      </c>
      <c r="I176" s="30">
        <v>3209</v>
      </c>
      <c r="J176" s="30">
        <v>3511</v>
      </c>
      <c r="K176" s="30">
        <v>4083</v>
      </c>
      <c r="L176" s="30">
        <v>3694</v>
      </c>
      <c r="M176" s="30"/>
      <c r="N176" s="30"/>
      <c r="O176" s="30"/>
      <c r="P176" s="30"/>
      <c r="Q176" s="44"/>
      <c r="R176" s="43"/>
    </row>
    <row r="177" spans="1:18">
      <c r="A177" s="1" t="s">
        <v>253</v>
      </c>
      <c r="B177" s="7" t="s">
        <v>304</v>
      </c>
      <c r="C177" s="7" t="s">
        <v>305</v>
      </c>
      <c r="D177" s="44">
        <f>'2016 pax'!Q155</f>
        <v>1633938</v>
      </c>
      <c r="E177" s="30">
        <v>118595</v>
      </c>
      <c r="F177" s="30">
        <v>120475</v>
      </c>
      <c r="G177" s="30">
        <v>108645</v>
      </c>
      <c r="H177" s="30">
        <v>116667</v>
      </c>
      <c r="I177" s="30">
        <v>137850</v>
      </c>
      <c r="J177" s="30">
        <v>130011</v>
      </c>
      <c r="K177" s="30">
        <v>161165</v>
      </c>
      <c r="L177" s="30">
        <v>171261</v>
      </c>
      <c r="M177" s="30">
        <v>152756</v>
      </c>
      <c r="N177" s="30">
        <v>168197</v>
      </c>
      <c r="O177" s="30">
        <v>148821</v>
      </c>
      <c r="P177" s="30">
        <v>154561</v>
      </c>
      <c r="Q177" s="44">
        <f t="shared" ref="Q177:Q183" si="2">SUM(E177:P177)</f>
        <v>1689004</v>
      </c>
      <c r="R177" s="43">
        <f t="shared" ref="R177:R183" si="3">SUM(Q177/D177)-1</f>
        <v>3.3701401154756283E-2</v>
      </c>
    </row>
    <row r="178" spans="1:18">
      <c r="A178" s="1" t="s">
        <v>253</v>
      </c>
      <c r="B178" s="7" t="s">
        <v>554</v>
      </c>
      <c r="C178" s="7" t="s">
        <v>555</v>
      </c>
      <c r="D178" s="44">
        <f>'2016 pax'!Q156</f>
        <v>194485</v>
      </c>
      <c r="E178" s="30">
        <v>16979</v>
      </c>
      <c r="F178" s="30">
        <v>19024</v>
      </c>
      <c r="G178" s="30">
        <v>20629</v>
      </c>
      <c r="H178" s="30">
        <v>19540</v>
      </c>
      <c r="I178" s="30">
        <v>19020</v>
      </c>
      <c r="J178" s="30">
        <v>19756</v>
      </c>
      <c r="K178" s="30">
        <v>20392</v>
      </c>
      <c r="L178" s="30">
        <v>21858</v>
      </c>
      <c r="M178" s="30">
        <v>20076</v>
      </c>
      <c r="N178" s="30">
        <v>19403</v>
      </c>
      <c r="O178" s="30">
        <v>18555</v>
      </c>
      <c r="P178" s="30">
        <v>20870</v>
      </c>
      <c r="Q178" s="44">
        <f t="shared" si="2"/>
        <v>236102</v>
      </c>
      <c r="R178" s="43">
        <f t="shared" si="3"/>
        <v>0.21398565442064932</v>
      </c>
    </row>
    <row r="179" spans="1:18">
      <c r="A179" s="1" t="s">
        <v>253</v>
      </c>
      <c r="B179" s="7" t="s">
        <v>324</v>
      </c>
      <c r="C179" s="7" t="s">
        <v>325</v>
      </c>
      <c r="D179" s="44">
        <f>'2016 pax'!Q157</f>
        <v>321403</v>
      </c>
      <c r="E179" s="30">
        <v>24196</v>
      </c>
      <c r="F179" s="30">
        <v>26090</v>
      </c>
      <c r="G179" s="30">
        <v>30040</v>
      </c>
      <c r="H179" s="30">
        <v>27290</v>
      </c>
      <c r="I179" s="30">
        <v>28423</v>
      </c>
      <c r="J179" s="30">
        <v>28220</v>
      </c>
      <c r="K179" s="30">
        <v>32850</v>
      </c>
      <c r="L179" s="30">
        <v>35645</v>
      </c>
      <c r="M179" s="30">
        <v>29847</v>
      </c>
      <c r="N179" s="30">
        <v>31577</v>
      </c>
      <c r="O179" s="30">
        <v>29502</v>
      </c>
      <c r="P179" s="30">
        <v>27442</v>
      </c>
      <c r="Q179" s="44">
        <f t="shared" si="2"/>
        <v>351122</v>
      </c>
      <c r="R179" s="43">
        <f t="shared" si="3"/>
        <v>9.2466467332289914E-2</v>
      </c>
    </row>
    <row r="180" spans="1:18">
      <c r="A180" s="1" t="s">
        <v>253</v>
      </c>
      <c r="B180" s="7" t="s">
        <v>320</v>
      </c>
      <c r="C180" s="7" t="s">
        <v>321</v>
      </c>
      <c r="D180" s="44">
        <f>'2016 pax'!Q158</f>
        <v>516589</v>
      </c>
      <c r="E180" s="30">
        <v>42684</v>
      </c>
      <c r="F180" s="30">
        <v>40604</v>
      </c>
      <c r="G180" s="30">
        <v>47054</v>
      </c>
      <c r="H180" s="30">
        <v>45836</v>
      </c>
      <c r="I180" s="30">
        <v>46247</v>
      </c>
      <c r="J180" s="30">
        <v>45831</v>
      </c>
      <c r="K180" s="30">
        <v>48282</v>
      </c>
      <c r="L180" s="30">
        <v>53368</v>
      </c>
      <c r="M180" s="30">
        <v>46783</v>
      </c>
      <c r="N180" s="30">
        <v>50811</v>
      </c>
      <c r="O180" s="30">
        <v>49213</v>
      </c>
      <c r="P180" s="30">
        <v>53672</v>
      </c>
      <c r="Q180" s="44">
        <f t="shared" si="2"/>
        <v>570385</v>
      </c>
      <c r="R180" s="43">
        <f t="shared" si="3"/>
        <v>0.10413694445681188</v>
      </c>
    </row>
    <row r="181" spans="1:18">
      <c r="A181" s="1" t="s">
        <v>253</v>
      </c>
      <c r="B181" s="7" t="s">
        <v>302</v>
      </c>
      <c r="C181" s="1" t="s">
        <v>303</v>
      </c>
      <c r="D181" s="44">
        <f>'2016 pax'!Q159</f>
        <v>3190886</v>
      </c>
      <c r="E181" s="30">
        <v>258898</v>
      </c>
      <c r="F181" s="30">
        <v>231957</v>
      </c>
      <c r="G181" s="30">
        <v>240253</v>
      </c>
      <c r="H181" s="30">
        <v>260697</v>
      </c>
      <c r="I181" s="30">
        <v>275231</v>
      </c>
      <c r="J181" s="30">
        <v>283504</v>
      </c>
      <c r="K181" s="30">
        <v>336479</v>
      </c>
      <c r="L181" s="30">
        <v>349147</v>
      </c>
      <c r="M181" s="30">
        <v>303949</v>
      </c>
      <c r="N181" s="30">
        <v>320840</v>
      </c>
      <c r="O181" s="30">
        <v>267740</v>
      </c>
      <c r="P181" s="30">
        <v>249399</v>
      </c>
      <c r="Q181" s="44">
        <f t="shared" si="2"/>
        <v>3378094</v>
      </c>
      <c r="R181" s="43">
        <f t="shared" si="3"/>
        <v>5.8669598349800012E-2</v>
      </c>
    </row>
    <row r="182" spans="1:18">
      <c r="A182" s="1" t="s">
        <v>253</v>
      </c>
      <c r="B182" s="7" t="s">
        <v>306</v>
      </c>
      <c r="C182" s="7" t="s">
        <v>307</v>
      </c>
      <c r="D182" s="44">
        <f>'2016 pax'!Q160</f>
        <v>934031</v>
      </c>
      <c r="E182" s="30">
        <v>85915</v>
      </c>
      <c r="F182" s="30">
        <v>82169</v>
      </c>
      <c r="G182" s="30">
        <v>75312</v>
      </c>
      <c r="H182" s="30">
        <v>68176</v>
      </c>
      <c r="I182" s="30">
        <v>72053</v>
      </c>
      <c r="J182" s="30">
        <v>73266</v>
      </c>
      <c r="K182" s="30">
        <v>88853</v>
      </c>
      <c r="L182" s="30">
        <v>90964</v>
      </c>
      <c r="M182" s="30">
        <v>80694</v>
      </c>
      <c r="N182" s="30">
        <v>84382</v>
      </c>
      <c r="O182" s="30">
        <v>78597</v>
      </c>
      <c r="P182" s="30">
        <v>91764</v>
      </c>
      <c r="Q182" s="44">
        <f t="shared" si="2"/>
        <v>972145</v>
      </c>
      <c r="R182" s="43">
        <f t="shared" si="3"/>
        <v>4.0805926141637805E-2</v>
      </c>
    </row>
    <row r="183" spans="1:18">
      <c r="A183" s="1" t="s">
        <v>253</v>
      </c>
      <c r="B183" s="7" t="s">
        <v>310</v>
      </c>
      <c r="C183" s="7" t="s">
        <v>311</v>
      </c>
      <c r="D183" s="44">
        <f>'2016 pax'!Q161</f>
        <v>462650</v>
      </c>
      <c r="E183" s="30">
        <v>34617</v>
      </c>
      <c r="F183" s="30">
        <v>37200</v>
      </c>
      <c r="G183" s="30">
        <v>34337</v>
      </c>
      <c r="H183" s="30">
        <v>33118</v>
      </c>
      <c r="I183" s="30">
        <v>36575</v>
      </c>
      <c r="J183" s="30">
        <v>35956</v>
      </c>
      <c r="K183" s="30">
        <v>38592</v>
      </c>
      <c r="L183" s="30">
        <v>40128</v>
      </c>
      <c r="M183" s="30">
        <v>38586</v>
      </c>
      <c r="N183" s="30">
        <v>39267</v>
      </c>
      <c r="O183" s="30">
        <v>35374</v>
      </c>
      <c r="P183" s="30">
        <v>35406</v>
      </c>
      <c r="Q183" s="44">
        <f t="shared" si="2"/>
        <v>439156</v>
      </c>
      <c r="R183" s="43">
        <f t="shared" si="3"/>
        <v>-5.078136820490653E-2</v>
      </c>
    </row>
    <row r="184" spans="1:18">
      <c r="A184" s="1" t="s">
        <v>253</v>
      </c>
      <c r="B184" s="7" t="s">
        <v>300</v>
      </c>
      <c r="C184" s="7" t="s">
        <v>301</v>
      </c>
      <c r="D184" s="44">
        <f>'2016 pax'!Q162</f>
        <v>19326781</v>
      </c>
      <c r="E184" s="30">
        <v>1669617</v>
      </c>
      <c r="F184" s="30">
        <v>1558629</v>
      </c>
      <c r="G184" s="30">
        <v>1597700</v>
      </c>
      <c r="H184" s="30">
        <v>1560105</v>
      </c>
      <c r="I184" s="30">
        <v>1667164</v>
      </c>
      <c r="J184" s="74">
        <v>1737837</v>
      </c>
      <c r="K184" s="30">
        <v>1897601</v>
      </c>
      <c r="L184" s="30">
        <v>2037408</v>
      </c>
      <c r="M184" s="30">
        <v>1846945</v>
      </c>
      <c r="N184" s="30">
        <v>1978493</v>
      </c>
      <c r="O184" s="30">
        <v>1821388</v>
      </c>
      <c r="P184" s="30">
        <v>1903203</v>
      </c>
      <c r="Q184" s="44">
        <f t="shared" ref="Q184:Q192" si="4">SUM(E184:P184)</f>
        <v>21276090</v>
      </c>
      <c r="R184" s="43">
        <f t="shared" ref="R184:R192" si="5">SUM(Q184/D184)-1</f>
        <v>0.10086051060443024</v>
      </c>
    </row>
    <row r="185" spans="1:18">
      <c r="A185" s="1" t="s">
        <v>253</v>
      </c>
      <c r="B185" s="7" t="s">
        <v>556</v>
      </c>
      <c r="C185" s="7" t="s">
        <v>557</v>
      </c>
      <c r="D185" s="44">
        <f>'2016 pax'!Q163</f>
        <v>171668</v>
      </c>
      <c r="E185" s="30">
        <v>12962</v>
      </c>
      <c r="F185" s="30">
        <v>10226</v>
      </c>
      <c r="G185" s="30">
        <v>9635</v>
      </c>
      <c r="H185" s="30">
        <v>14760</v>
      </c>
      <c r="I185" s="30">
        <v>14544</v>
      </c>
      <c r="J185" s="30">
        <v>12602</v>
      </c>
      <c r="K185" s="30">
        <v>18850</v>
      </c>
      <c r="L185" s="30">
        <v>21727</v>
      </c>
      <c r="M185" s="30">
        <v>16354</v>
      </c>
      <c r="N185" s="30">
        <v>17723</v>
      </c>
      <c r="O185" s="30">
        <v>13674</v>
      </c>
      <c r="P185" s="30">
        <v>11936</v>
      </c>
      <c r="Q185" s="44">
        <f t="shared" si="4"/>
        <v>174993</v>
      </c>
      <c r="R185" s="43">
        <f t="shared" si="5"/>
        <v>1.9368781601696305E-2</v>
      </c>
    </row>
    <row r="186" spans="1:18">
      <c r="A186" s="1" t="s">
        <v>253</v>
      </c>
      <c r="B186" s="7" t="s">
        <v>312</v>
      </c>
      <c r="C186" s="7" t="s">
        <v>313</v>
      </c>
      <c r="D186" s="44">
        <f>'2016 pax'!Q164</f>
        <v>849388</v>
      </c>
      <c r="E186" s="30">
        <v>72632</v>
      </c>
      <c r="F186" s="30">
        <v>66718</v>
      </c>
      <c r="G186" s="30">
        <v>68872</v>
      </c>
      <c r="H186" s="30">
        <v>54321</v>
      </c>
      <c r="I186" s="30">
        <v>65829</v>
      </c>
      <c r="J186" s="30">
        <v>69393</v>
      </c>
      <c r="K186" s="30">
        <v>81484</v>
      </c>
      <c r="L186" s="30">
        <v>81604</v>
      </c>
      <c r="M186" s="30">
        <v>77098</v>
      </c>
      <c r="N186" s="30">
        <v>86063</v>
      </c>
      <c r="O186" s="30">
        <v>83353</v>
      </c>
      <c r="P186" s="30">
        <v>84540</v>
      </c>
      <c r="Q186" s="44">
        <f t="shared" si="4"/>
        <v>891907</v>
      </c>
      <c r="R186" s="43">
        <f t="shared" si="5"/>
        <v>5.0058394985565968E-2</v>
      </c>
    </row>
    <row r="187" spans="1:18">
      <c r="A187" s="1" t="s">
        <v>253</v>
      </c>
      <c r="B187" s="7" t="s">
        <v>314</v>
      </c>
      <c r="C187" s="7" t="s">
        <v>315</v>
      </c>
      <c r="D187" s="44">
        <f>'2016 pax'!Q165</f>
        <v>499800</v>
      </c>
      <c r="E187" s="30">
        <v>52485</v>
      </c>
      <c r="F187" s="30">
        <v>50385</v>
      </c>
      <c r="G187" s="30">
        <v>50428</v>
      </c>
      <c r="H187" s="30">
        <v>44255</v>
      </c>
      <c r="I187" s="30">
        <v>44086</v>
      </c>
      <c r="J187" s="30">
        <v>45227</v>
      </c>
      <c r="K187" s="30">
        <v>52195</v>
      </c>
      <c r="L187" s="30">
        <v>53815</v>
      </c>
      <c r="M187" s="30">
        <v>46504</v>
      </c>
      <c r="N187" s="30">
        <v>51262</v>
      </c>
      <c r="O187" s="30">
        <v>48766</v>
      </c>
      <c r="P187" s="30">
        <v>55527</v>
      </c>
      <c r="Q187" s="44">
        <f t="shared" si="4"/>
        <v>594935</v>
      </c>
      <c r="R187" s="43">
        <f t="shared" si="5"/>
        <v>0.19034613845538217</v>
      </c>
    </row>
    <row r="188" spans="1:18">
      <c r="A188" s="1" t="s">
        <v>253</v>
      </c>
      <c r="B188" s="7" t="s">
        <v>308</v>
      </c>
      <c r="C188" s="7" t="s">
        <v>309</v>
      </c>
      <c r="D188" s="44">
        <f>'2016 pax'!Q166</f>
        <v>306356</v>
      </c>
      <c r="E188" s="30">
        <v>21899</v>
      </c>
      <c r="F188" s="30">
        <v>20624</v>
      </c>
      <c r="G188" s="30">
        <v>21867</v>
      </c>
      <c r="H188" s="30">
        <v>23850</v>
      </c>
      <c r="I188" s="30">
        <v>25943</v>
      </c>
      <c r="J188" s="30">
        <v>25491</v>
      </c>
      <c r="K188" s="30">
        <v>30647</v>
      </c>
      <c r="L188" s="30">
        <v>31926</v>
      </c>
      <c r="M188" s="30">
        <v>28116</v>
      </c>
      <c r="N188" s="30">
        <v>27739</v>
      </c>
      <c r="O188" s="30">
        <v>25653</v>
      </c>
      <c r="P188" s="30">
        <v>25713</v>
      </c>
      <c r="Q188" s="44">
        <f t="shared" si="4"/>
        <v>309468</v>
      </c>
      <c r="R188" s="43">
        <f t="shared" si="5"/>
        <v>1.0158116700831776E-2</v>
      </c>
    </row>
    <row r="189" spans="1:18">
      <c r="A189" s="1" t="s">
        <v>253</v>
      </c>
      <c r="B189" s="7" t="s">
        <v>322</v>
      </c>
      <c r="C189" s="7" t="s">
        <v>323</v>
      </c>
      <c r="D189" s="44">
        <f>'2016 pax'!Q167</f>
        <v>399471</v>
      </c>
      <c r="E189" s="30">
        <v>34901</v>
      </c>
      <c r="F189" s="30">
        <v>37216</v>
      </c>
      <c r="G189" s="30">
        <v>32293</v>
      </c>
      <c r="H189" s="30">
        <v>28505</v>
      </c>
      <c r="I189" s="30">
        <v>31850</v>
      </c>
      <c r="J189" s="30">
        <v>30354</v>
      </c>
      <c r="K189" s="30">
        <v>36203</v>
      </c>
      <c r="L189" s="30">
        <v>38429</v>
      </c>
      <c r="M189" s="30">
        <v>35107</v>
      </c>
      <c r="N189" s="30">
        <v>37712</v>
      </c>
      <c r="O189" s="30">
        <v>36359</v>
      </c>
      <c r="P189" s="30">
        <v>37354</v>
      </c>
      <c r="Q189" s="44">
        <f t="shared" si="4"/>
        <v>416283</v>
      </c>
      <c r="R189" s="43">
        <f t="shared" si="5"/>
        <v>4.2085658283079308E-2</v>
      </c>
    </row>
    <row r="190" spans="1:18">
      <c r="A190" s="1" t="s">
        <v>253</v>
      </c>
      <c r="B190" s="7" t="s">
        <v>318</v>
      </c>
      <c r="C190" s="7" t="s">
        <v>319</v>
      </c>
      <c r="D190" s="44">
        <f>'2016 pax'!Q168</f>
        <v>671576</v>
      </c>
      <c r="E190" s="30">
        <v>64745</v>
      </c>
      <c r="F190" s="30">
        <v>62747</v>
      </c>
      <c r="G190" s="30">
        <v>59603</v>
      </c>
      <c r="H190" s="30">
        <v>54745</v>
      </c>
      <c r="I190" s="30">
        <v>59229</v>
      </c>
      <c r="J190" s="30">
        <v>60183</v>
      </c>
      <c r="K190" s="30">
        <v>72590</v>
      </c>
      <c r="L190" s="30">
        <v>73980</v>
      </c>
      <c r="M190" s="30">
        <v>65471</v>
      </c>
      <c r="N190" s="30">
        <v>68834</v>
      </c>
      <c r="O190" s="30">
        <v>64868</v>
      </c>
      <c r="P190" s="30">
        <v>71287</v>
      </c>
      <c r="Q190" s="44">
        <f t="shared" si="4"/>
        <v>778282</v>
      </c>
      <c r="R190" s="43">
        <f t="shared" si="5"/>
        <v>0.1588889418323467</v>
      </c>
    </row>
    <row r="191" spans="1:18">
      <c r="A191" s="1" t="s">
        <v>253</v>
      </c>
      <c r="B191" s="7" t="s">
        <v>316</v>
      </c>
      <c r="C191" s="7" t="s">
        <v>317</v>
      </c>
      <c r="D191" s="44">
        <f>'2016 pax'!Q169</f>
        <v>560922</v>
      </c>
      <c r="E191" s="30">
        <v>48196</v>
      </c>
      <c r="F191" s="30">
        <v>45906</v>
      </c>
      <c r="G191" s="30">
        <v>52577</v>
      </c>
      <c r="H191" s="30">
        <v>52509</v>
      </c>
      <c r="I191" s="30">
        <v>51258</v>
      </c>
      <c r="J191" s="30">
        <v>50153</v>
      </c>
      <c r="K191" s="30">
        <v>53817</v>
      </c>
      <c r="L191" s="30">
        <v>57709</v>
      </c>
      <c r="M191" s="30">
        <v>50627</v>
      </c>
      <c r="N191" s="30">
        <v>53915</v>
      </c>
      <c r="O191" s="30">
        <v>53031</v>
      </c>
      <c r="P191" s="30">
        <v>49100</v>
      </c>
      <c r="Q191" s="44">
        <f t="shared" si="4"/>
        <v>618798</v>
      </c>
      <c r="R191" s="43">
        <f t="shared" si="5"/>
        <v>0.10318012130028764</v>
      </c>
    </row>
    <row r="192" spans="1:18">
      <c r="A192" s="1" t="s">
        <v>253</v>
      </c>
      <c r="B192" s="7" t="s">
        <v>553</v>
      </c>
      <c r="C192" s="7" t="s">
        <v>552</v>
      </c>
      <c r="D192" s="44">
        <f>'2016 pax'!Q170</f>
        <v>183745</v>
      </c>
      <c r="E192" s="30">
        <v>17869</v>
      </c>
      <c r="F192" s="30">
        <v>17012</v>
      </c>
      <c r="G192" s="30">
        <v>16243</v>
      </c>
      <c r="H192" s="30">
        <v>14144</v>
      </c>
      <c r="I192" s="30">
        <v>14290</v>
      </c>
      <c r="J192" s="30">
        <v>12261</v>
      </c>
      <c r="K192" s="30">
        <v>17064</v>
      </c>
      <c r="L192" s="30">
        <v>18932</v>
      </c>
      <c r="M192" s="30">
        <v>16524</v>
      </c>
      <c r="N192" s="30">
        <v>19440</v>
      </c>
      <c r="O192" s="30">
        <v>16135</v>
      </c>
      <c r="P192" s="30">
        <v>18474</v>
      </c>
      <c r="Q192" s="44">
        <f t="shared" si="4"/>
        <v>198388</v>
      </c>
      <c r="R192" s="43">
        <f t="shared" si="5"/>
        <v>7.9691964407194726E-2</v>
      </c>
    </row>
    <row r="193" spans="1:18" s="42" customFormat="1">
      <c r="A193" s="1" t="s">
        <v>632</v>
      </c>
      <c r="B193" s="7" t="s">
        <v>635</v>
      </c>
      <c r="C193" s="7" t="s">
        <v>636</v>
      </c>
      <c r="D193" s="44">
        <f>'2016 pax'!Q171</f>
        <v>195859</v>
      </c>
      <c r="E193" s="30">
        <v>16116</v>
      </c>
      <c r="F193" s="30">
        <v>14168</v>
      </c>
      <c r="G193" s="30">
        <v>16537</v>
      </c>
      <c r="H193" s="30">
        <v>17573</v>
      </c>
      <c r="I193" s="30">
        <v>16234</v>
      </c>
      <c r="J193" s="30">
        <v>15278</v>
      </c>
      <c r="K193" s="30">
        <v>19584</v>
      </c>
      <c r="L193" s="30">
        <v>20951</v>
      </c>
      <c r="M193" s="30">
        <v>12904</v>
      </c>
      <c r="N193" s="30"/>
      <c r="O193" s="30"/>
      <c r="P193" s="30"/>
      <c r="Q193" s="44"/>
      <c r="R193" s="43"/>
    </row>
    <row r="194" spans="1:18" s="42" customFormat="1">
      <c r="A194" s="1" t="s">
        <v>632</v>
      </c>
      <c r="B194" s="7" t="s">
        <v>634</v>
      </c>
      <c r="C194" s="7" t="s">
        <v>633</v>
      </c>
      <c r="D194" s="44">
        <f>'2016 pax'!Q172</f>
        <v>644837</v>
      </c>
      <c r="E194" s="30">
        <v>64818</v>
      </c>
      <c r="F194" s="30">
        <v>62424</v>
      </c>
      <c r="G194" s="30">
        <v>67205</v>
      </c>
      <c r="H194" s="30">
        <v>64964</v>
      </c>
      <c r="I194" s="30">
        <v>54103</v>
      </c>
      <c r="J194" s="30">
        <v>56254</v>
      </c>
      <c r="K194" s="30">
        <v>63365</v>
      </c>
      <c r="L194" s="30">
        <v>58958</v>
      </c>
      <c r="M194" s="30">
        <v>37280</v>
      </c>
      <c r="N194" s="30"/>
      <c r="O194" s="30"/>
      <c r="P194" s="30"/>
      <c r="Q194" s="44"/>
      <c r="R194" s="43"/>
    </row>
    <row r="195" spans="1:18">
      <c r="A195" s="1" t="s">
        <v>326</v>
      </c>
      <c r="B195" s="7" t="s">
        <v>327</v>
      </c>
      <c r="C195" s="7" t="s">
        <v>328</v>
      </c>
      <c r="D195" s="44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44"/>
      <c r="R195" s="43"/>
    </row>
    <row r="196" spans="1:18">
      <c r="A196" s="1" t="s">
        <v>326</v>
      </c>
      <c r="B196" s="7" t="s">
        <v>329</v>
      </c>
      <c r="C196" s="7" t="s">
        <v>330</v>
      </c>
      <c r="D196" s="44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44"/>
      <c r="R196" s="43"/>
    </row>
    <row r="197" spans="1:18" s="42" customFormat="1">
      <c r="A197" s="1" t="s">
        <v>16</v>
      </c>
      <c r="B197" s="7" t="s">
        <v>576</v>
      </c>
      <c r="C197" s="7" t="s">
        <v>575</v>
      </c>
      <c r="D197" s="44">
        <f>'2016 pax'!Q175</f>
        <v>1398615</v>
      </c>
      <c r="E197" s="30">
        <v>110888</v>
      </c>
      <c r="F197" s="30">
        <v>106463</v>
      </c>
      <c r="G197" s="30">
        <v>130348</v>
      </c>
      <c r="H197" s="30">
        <v>120724</v>
      </c>
      <c r="I197" s="30">
        <v>125714</v>
      </c>
      <c r="J197" s="30">
        <v>111737</v>
      </c>
      <c r="K197" s="30">
        <v>106302</v>
      </c>
      <c r="L197" s="30">
        <v>102839</v>
      </c>
      <c r="M197" s="30">
        <v>85938</v>
      </c>
      <c r="N197" s="30">
        <v>97456</v>
      </c>
      <c r="O197" s="30">
        <v>87609</v>
      </c>
      <c r="P197" s="30">
        <v>79826</v>
      </c>
      <c r="Q197" s="44">
        <f>SUM(E197:P197)</f>
        <v>1265844</v>
      </c>
      <c r="R197" s="43">
        <f t="shared" ref="R197:R207" si="6">SUM(Q197/D197)-1</f>
        <v>-9.4930341802425988E-2</v>
      </c>
    </row>
    <row r="198" spans="1:18">
      <c r="A198" s="1" t="s">
        <v>16</v>
      </c>
      <c r="B198" s="1" t="s">
        <v>353</v>
      </c>
      <c r="C198" s="1" t="s">
        <v>354</v>
      </c>
      <c r="D198" s="44">
        <f>'2016 pax'!Q176</f>
        <v>4775098</v>
      </c>
      <c r="E198" s="30">
        <v>313290</v>
      </c>
      <c r="F198" s="30">
        <v>307656</v>
      </c>
      <c r="G198" s="30">
        <v>384091</v>
      </c>
      <c r="H198" s="30">
        <v>377400</v>
      </c>
      <c r="I198" s="30">
        <v>429872</v>
      </c>
      <c r="J198" s="30">
        <v>457164</v>
      </c>
      <c r="K198" s="30">
        <v>461519</v>
      </c>
      <c r="L198" s="30">
        <v>447442</v>
      </c>
      <c r="M198" s="30">
        <v>425610</v>
      </c>
      <c r="N198" s="30">
        <v>485340</v>
      </c>
      <c r="O198" s="30">
        <v>424196</v>
      </c>
      <c r="P198" s="30">
        <v>434362</v>
      </c>
      <c r="Q198" s="44">
        <f>SUM(E198:P198)</f>
        <v>4947942</v>
      </c>
      <c r="R198" s="43">
        <f t="shared" si="6"/>
        <v>3.6196953444725066E-2</v>
      </c>
    </row>
    <row r="199" spans="1:18" s="42" customFormat="1">
      <c r="A199" s="1" t="s">
        <v>16</v>
      </c>
      <c r="B199" s="1" t="s">
        <v>641</v>
      </c>
      <c r="C199" s="1" t="s">
        <v>642</v>
      </c>
      <c r="D199" s="44">
        <v>5028775</v>
      </c>
      <c r="E199" s="30">
        <v>311760</v>
      </c>
      <c r="F199" s="30">
        <v>278124</v>
      </c>
      <c r="G199" s="30">
        <v>357405</v>
      </c>
      <c r="H199" s="30">
        <v>321089</v>
      </c>
      <c r="I199" s="30">
        <v>433460</v>
      </c>
      <c r="J199" s="30">
        <v>593750</v>
      </c>
      <c r="K199" s="30">
        <v>665562</v>
      </c>
      <c r="L199" s="30"/>
      <c r="M199" s="30"/>
      <c r="N199" s="30"/>
      <c r="O199" s="30"/>
      <c r="P199" s="30"/>
      <c r="Q199" s="44"/>
      <c r="R199" s="43"/>
    </row>
    <row r="200" spans="1:18">
      <c r="A200" s="1" t="s">
        <v>16</v>
      </c>
      <c r="B200" s="1" t="s">
        <v>549</v>
      </c>
      <c r="C200" s="1" t="s">
        <v>550</v>
      </c>
      <c r="D200" s="44">
        <f>'2016 pax'!Q178</f>
        <v>1207273</v>
      </c>
      <c r="E200" s="30">
        <v>92838</v>
      </c>
      <c r="F200" s="30"/>
      <c r="G200" s="30">
        <v>100645</v>
      </c>
      <c r="H200" s="30">
        <v>97823</v>
      </c>
      <c r="I200" s="30">
        <v>93836</v>
      </c>
      <c r="J200" s="30">
        <v>92118</v>
      </c>
      <c r="K200" s="30">
        <v>104151</v>
      </c>
      <c r="L200" s="30">
        <v>108435</v>
      </c>
      <c r="M200" s="30">
        <v>65479</v>
      </c>
      <c r="N200" s="30">
        <v>80013</v>
      </c>
      <c r="O200" s="30"/>
      <c r="P200" s="30"/>
      <c r="Q200" s="44"/>
      <c r="R200" s="43"/>
    </row>
    <row r="201" spans="1:18">
      <c r="A201" s="1" t="s">
        <v>16</v>
      </c>
      <c r="B201" s="1" t="s">
        <v>17</v>
      </c>
      <c r="C201" s="1" t="s">
        <v>18</v>
      </c>
      <c r="D201" s="44">
        <f>'2016 pax'!Q179</f>
        <v>104171678</v>
      </c>
      <c r="E201" s="30">
        <v>7771431</v>
      </c>
      <c r="F201" s="30">
        <v>7425622</v>
      </c>
      <c r="G201" s="30">
        <v>9065629</v>
      </c>
      <c r="H201" s="30">
        <v>8345822</v>
      </c>
      <c r="I201" s="30">
        <v>9351911</v>
      </c>
      <c r="J201" s="30">
        <v>9419928</v>
      </c>
      <c r="K201" s="30">
        <v>9556404</v>
      </c>
      <c r="L201" s="30">
        <v>9286535</v>
      </c>
      <c r="M201" s="30">
        <v>7874539</v>
      </c>
      <c r="N201" s="30">
        <v>9149199</v>
      </c>
      <c r="O201" s="30">
        <v>8605982</v>
      </c>
      <c r="P201" s="30">
        <v>8062075</v>
      </c>
      <c r="Q201" s="44">
        <f t="shared" ref="Q201:Q207" si="7">SUM(E201:P201)</f>
        <v>103915077</v>
      </c>
      <c r="R201" s="43">
        <f t="shared" si="6"/>
        <v>-2.4632510959456955E-3</v>
      </c>
    </row>
    <row r="202" spans="1:18" ht="15.75">
      <c r="A202" s="1" t="s">
        <v>16</v>
      </c>
      <c r="B202" s="1" t="s">
        <v>382</v>
      </c>
      <c r="C202" s="1" t="s">
        <v>348</v>
      </c>
      <c r="D202" s="44">
        <f>'2016 pax'!Q180</f>
        <v>12436849</v>
      </c>
      <c r="E202" s="30">
        <v>920946</v>
      </c>
      <c r="F202" s="30">
        <v>885325</v>
      </c>
      <c r="G202" s="30">
        <v>1156928</v>
      </c>
      <c r="H202" s="30">
        <v>1124625</v>
      </c>
      <c r="I202" s="30">
        <v>1217824</v>
      </c>
      <c r="J202" s="30">
        <v>1279204</v>
      </c>
      <c r="K202" s="30">
        <v>1310174</v>
      </c>
      <c r="L202" s="30">
        <v>1205341</v>
      </c>
      <c r="M202" s="30">
        <v>1099481</v>
      </c>
      <c r="N202" s="30">
        <v>1269153</v>
      </c>
      <c r="O202" s="30">
        <v>1229791</v>
      </c>
      <c r="P202" s="30">
        <v>1190513</v>
      </c>
      <c r="Q202" s="44">
        <f t="shared" si="7"/>
        <v>13889305</v>
      </c>
      <c r="R202" s="43">
        <f t="shared" si="6"/>
        <v>0.11678649471421587</v>
      </c>
    </row>
    <row r="203" spans="1:18" ht="15.75">
      <c r="A203" s="1" t="s">
        <v>16</v>
      </c>
      <c r="B203" s="1" t="s">
        <v>383</v>
      </c>
      <c r="C203" s="1" t="s">
        <v>53</v>
      </c>
      <c r="D203" s="44">
        <f>'2016 pax'!Q181</f>
        <v>25121587</v>
      </c>
      <c r="E203" s="30">
        <v>1821661</v>
      </c>
      <c r="F203" s="30">
        <v>1637020</v>
      </c>
      <c r="G203" s="30">
        <v>2103758</v>
      </c>
      <c r="H203" s="30">
        <v>2208348</v>
      </c>
      <c r="I203" s="30">
        <v>2347862</v>
      </c>
      <c r="J203" s="30">
        <v>2465094</v>
      </c>
      <c r="K203" s="30">
        <v>2533582</v>
      </c>
      <c r="L203" s="30">
        <v>2428279</v>
      </c>
      <c r="M203" s="30">
        <v>2041393</v>
      </c>
      <c r="N203" s="30">
        <v>2295139</v>
      </c>
      <c r="O203" s="30">
        <v>2289659</v>
      </c>
      <c r="P203" s="30">
        <v>2198549</v>
      </c>
      <c r="Q203" s="44">
        <f t="shared" si="7"/>
        <v>26370344</v>
      </c>
      <c r="R203" s="43">
        <f t="shared" si="6"/>
        <v>4.9708523589691911E-2</v>
      </c>
    </row>
    <row r="204" spans="1:18" ht="15.75">
      <c r="A204" s="1" t="s">
        <v>16</v>
      </c>
      <c r="B204" s="1" t="s">
        <v>489</v>
      </c>
      <c r="C204" s="1" t="s">
        <v>431</v>
      </c>
      <c r="D204" s="44">
        <f>'2016 pax'!Q182</f>
        <v>1338042</v>
      </c>
      <c r="E204" s="30">
        <v>100648</v>
      </c>
      <c r="F204" s="30">
        <v>99241</v>
      </c>
      <c r="G204" s="30">
        <v>120726</v>
      </c>
      <c r="H204" s="30">
        <v>108673</v>
      </c>
      <c r="I204" s="30">
        <v>133534</v>
      </c>
      <c r="J204" s="30">
        <v>139816</v>
      </c>
      <c r="K204" s="30">
        <v>123187</v>
      </c>
      <c r="L204" s="30">
        <v>123209</v>
      </c>
      <c r="M204" s="30">
        <v>117723</v>
      </c>
      <c r="N204" s="30">
        <v>136061</v>
      </c>
      <c r="O204" s="30">
        <v>123739</v>
      </c>
      <c r="P204" s="30">
        <v>112365</v>
      </c>
      <c r="Q204" s="44">
        <f t="shared" si="7"/>
        <v>1438922</v>
      </c>
      <c r="R204" s="43">
        <f t="shared" si="6"/>
        <v>7.5393746982531207E-2</v>
      </c>
    </row>
    <row r="205" spans="1:18" s="42" customFormat="1">
      <c r="A205" s="1" t="s">
        <v>16</v>
      </c>
      <c r="B205" s="1" t="s">
        <v>568</v>
      </c>
      <c r="C205" s="1" t="s">
        <v>569</v>
      </c>
      <c r="D205" s="44">
        <f>'2016 pax'!Q183</f>
        <v>2652233</v>
      </c>
      <c r="E205" s="30">
        <v>183994</v>
      </c>
      <c r="F205" s="30">
        <v>181161</v>
      </c>
      <c r="G205" s="30">
        <v>230924</v>
      </c>
      <c r="H205" s="30">
        <v>211976</v>
      </c>
      <c r="I205" s="30">
        <v>246836</v>
      </c>
      <c r="J205" s="30">
        <v>249333</v>
      </c>
      <c r="K205" s="30">
        <v>235589</v>
      </c>
      <c r="L205" s="30">
        <v>226114</v>
      </c>
      <c r="M205" s="30">
        <v>209300</v>
      </c>
      <c r="N205" s="30">
        <v>256347</v>
      </c>
      <c r="O205" s="30">
        <v>248344</v>
      </c>
      <c r="P205" s="30">
        <v>225096</v>
      </c>
      <c r="Q205" s="44">
        <f t="shared" si="7"/>
        <v>2705014</v>
      </c>
      <c r="R205" s="43">
        <f t="shared" si="6"/>
        <v>1.9900589427851889E-2</v>
      </c>
    </row>
    <row r="206" spans="1:18">
      <c r="A206" s="1" t="s">
        <v>16</v>
      </c>
      <c r="B206" s="1" t="s">
        <v>423</v>
      </c>
      <c r="C206" s="1" t="s">
        <v>424</v>
      </c>
      <c r="D206" s="44">
        <f>'2016 pax'!Q184</f>
        <v>3230878</v>
      </c>
      <c r="E206" s="30">
        <v>244257</v>
      </c>
      <c r="F206" s="30">
        <v>233912</v>
      </c>
      <c r="G206" s="30">
        <v>282671</v>
      </c>
      <c r="H206" s="30">
        <v>268573</v>
      </c>
      <c r="I206" s="30">
        <v>289605</v>
      </c>
      <c r="J206" s="30">
        <v>323466</v>
      </c>
      <c r="K206" s="30">
        <v>332988</v>
      </c>
      <c r="L206" s="30">
        <v>326280</v>
      </c>
      <c r="M206" s="30">
        <v>289539</v>
      </c>
      <c r="N206" s="30">
        <v>302544</v>
      </c>
      <c r="O206" s="30">
        <v>309317</v>
      </c>
      <c r="P206" s="30">
        <v>310225</v>
      </c>
      <c r="Q206" s="44">
        <f t="shared" si="7"/>
        <v>3513377</v>
      </c>
      <c r="R206" s="43">
        <f t="shared" si="6"/>
        <v>8.7437222946827431E-2</v>
      </c>
    </row>
    <row r="207" spans="1:18" ht="15.75">
      <c r="A207" s="1" t="s">
        <v>16</v>
      </c>
      <c r="B207" s="1" t="s">
        <v>452</v>
      </c>
      <c r="C207" s="1" t="s">
        <v>48</v>
      </c>
      <c r="D207" s="44">
        <f>'2016 pax'!Q185</f>
        <v>36288042</v>
      </c>
      <c r="E207" s="30">
        <v>2603998</v>
      </c>
      <c r="F207" s="30">
        <v>2369960</v>
      </c>
      <c r="G207" s="30">
        <v>3076023</v>
      </c>
      <c r="H207" s="30">
        <v>3273293</v>
      </c>
      <c r="I207" s="30">
        <v>3465345</v>
      </c>
      <c r="J207" s="30">
        <v>3552952</v>
      </c>
      <c r="K207" s="30">
        <v>3683573</v>
      </c>
      <c r="L207" s="30">
        <v>3757903</v>
      </c>
      <c r="M207" s="30">
        <v>3178011</v>
      </c>
      <c r="N207" s="30">
        <v>3431263</v>
      </c>
      <c r="O207" s="30">
        <v>3089200</v>
      </c>
      <c r="P207" s="30">
        <v>2930898</v>
      </c>
      <c r="Q207" s="44">
        <f t="shared" si="7"/>
        <v>38412419</v>
      </c>
      <c r="R207" s="43">
        <f t="shared" si="6"/>
        <v>5.8542067384071084E-2</v>
      </c>
    </row>
    <row r="208" spans="1:18">
      <c r="A208" s="1" t="s">
        <v>16</v>
      </c>
      <c r="B208" s="1" t="s">
        <v>535</v>
      </c>
      <c r="C208" s="1" t="s">
        <v>536</v>
      </c>
      <c r="D208" s="44">
        <f>'2016 pax'!Q186</f>
        <v>4606458</v>
      </c>
      <c r="E208" s="30">
        <v>311506</v>
      </c>
      <c r="F208" s="30">
        <v>302533</v>
      </c>
      <c r="G208" s="30">
        <v>385287</v>
      </c>
      <c r="H208" s="30">
        <v>403712</v>
      </c>
      <c r="I208" s="30">
        <v>422587</v>
      </c>
      <c r="J208" s="30">
        <v>413331</v>
      </c>
      <c r="K208" s="30">
        <v>440657</v>
      </c>
      <c r="L208" s="30"/>
      <c r="M208" s="30"/>
      <c r="N208" s="30"/>
      <c r="O208" s="30"/>
      <c r="P208" s="30"/>
      <c r="Q208" s="64"/>
      <c r="R208" s="43"/>
    </row>
    <row r="209" spans="1:19" ht="15.75">
      <c r="A209" s="1" t="s">
        <v>16</v>
      </c>
      <c r="B209" s="1" t="s">
        <v>417</v>
      </c>
      <c r="C209" s="1" t="s">
        <v>407</v>
      </c>
      <c r="D209" s="44">
        <f>'2016 pax'!Q187</f>
        <v>4142943</v>
      </c>
      <c r="E209" s="30">
        <v>327191</v>
      </c>
      <c r="F209" s="30">
        <v>302575</v>
      </c>
      <c r="G209" s="30">
        <v>382245</v>
      </c>
      <c r="H209" s="30">
        <v>392088</v>
      </c>
      <c r="I209" s="30">
        <v>403522</v>
      </c>
      <c r="J209" s="30">
        <v>408477</v>
      </c>
      <c r="K209" s="30">
        <v>400225</v>
      </c>
      <c r="L209" s="30">
        <v>419768</v>
      </c>
      <c r="M209" s="30">
        <v>394786</v>
      </c>
      <c r="N209" s="30">
        <v>435283</v>
      </c>
      <c r="O209" s="30">
        <v>444800</v>
      </c>
      <c r="P209" s="30">
        <v>427499</v>
      </c>
      <c r="Q209" s="44">
        <f>SUM(E209:P209)</f>
        <v>4738459</v>
      </c>
      <c r="R209" s="43">
        <f t="shared" ref="R209:R215" si="8">SUM(Q209/D209)-1</f>
        <v>0.14374226244483701</v>
      </c>
    </row>
    <row r="210" spans="1:19">
      <c r="A210" s="1" t="s">
        <v>16</v>
      </c>
      <c r="B210" s="1" t="s">
        <v>439</v>
      </c>
      <c r="C210" s="1" t="s">
        <v>440</v>
      </c>
      <c r="D210" s="44">
        <v>3708061</v>
      </c>
      <c r="E210" s="30">
        <v>247526</v>
      </c>
      <c r="F210" s="30">
        <v>237301</v>
      </c>
      <c r="G210" s="30">
        <v>324228</v>
      </c>
      <c r="H210" s="30">
        <v>360788</v>
      </c>
      <c r="I210" s="30">
        <v>383019</v>
      </c>
      <c r="J210" s="30">
        <v>373956</v>
      </c>
      <c r="K210" s="30">
        <v>375276</v>
      </c>
      <c r="L210" s="30">
        <v>365337</v>
      </c>
      <c r="M210" s="30">
        <v>291036</v>
      </c>
      <c r="N210" s="30">
        <v>362974</v>
      </c>
      <c r="O210" s="30">
        <v>342158</v>
      </c>
      <c r="P210" s="30">
        <v>327249</v>
      </c>
      <c r="Q210" s="44">
        <f>SUM(E210:P210)</f>
        <v>3990848</v>
      </c>
      <c r="R210" s="43">
        <f t="shared" si="8"/>
        <v>7.6262769139989972E-2</v>
      </c>
    </row>
    <row r="211" spans="1:19">
      <c r="A211" s="1" t="s">
        <v>16</v>
      </c>
      <c r="B211" s="1" t="s">
        <v>34</v>
      </c>
      <c r="C211" s="1" t="s">
        <v>35</v>
      </c>
      <c r="D211" s="44">
        <f>'2016 pax'!Q189</f>
        <v>44427074</v>
      </c>
      <c r="E211" s="30">
        <v>3384582</v>
      </c>
      <c r="F211" s="30">
        <v>3250453</v>
      </c>
      <c r="G211" s="30">
        <v>3980851</v>
      </c>
      <c r="H211" s="30">
        <v>3908899</v>
      </c>
      <c r="I211" s="30">
        <v>4116730</v>
      </c>
      <c r="J211" s="30">
        <v>4098700</v>
      </c>
      <c r="K211" s="30">
        <v>4095658</v>
      </c>
      <c r="L211" s="30">
        <v>4081229</v>
      </c>
      <c r="M211" s="30">
        <v>3467928</v>
      </c>
      <c r="N211" s="30">
        <v>4001805</v>
      </c>
      <c r="O211" s="30">
        <v>3734593</v>
      </c>
      <c r="P211" s="30">
        <v>3788311</v>
      </c>
      <c r="Q211" s="44">
        <f>SUM(E211:P211)</f>
        <v>45909739</v>
      </c>
      <c r="R211" s="43">
        <f t="shared" si="8"/>
        <v>3.3373005838736924E-2</v>
      </c>
    </row>
    <row r="212" spans="1:19" ht="15.75">
      <c r="A212" s="1" t="s">
        <v>16</v>
      </c>
      <c r="B212" s="1" t="s">
        <v>384</v>
      </c>
      <c r="C212" s="1" t="s">
        <v>57</v>
      </c>
      <c r="D212" s="44">
        <f>'2016 pax'!Q190</f>
        <v>22677589</v>
      </c>
      <c r="E212" s="30">
        <v>1454983</v>
      </c>
      <c r="F212" s="30">
        <v>1350052</v>
      </c>
      <c r="G212" s="30">
        <v>1857232</v>
      </c>
      <c r="H212" s="30">
        <v>1912612</v>
      </c>
      <c r="I212" s="30">
        <v>1998780</v>
      </c>
      <c r="J212" s="30">
        <v>2119525</v>
      </c>
      <c r="K212" s="30">
        <v>2184032</v>
      </c>
      <c r="L212" s="30">
        <v>2102708</v>
      </c>
      <c r="M212" s="30">
        <v>1837546</v>
      </c>
      <c r="N212" s="30">
        <v>1987423</v>
      </c>
      <c r="O212" s="30">
        <v>1863756</v>
      </c>
      <c r="P212" s="30">
        <v>1791587</v>
      </c>
      <c r="Q212" s="44">
        <f>SUM(E212:P212)</f>
        <v>22460236</v>
      </c>
      <c r="R212" s="43">
        <f t="shared" si="8"/>
        <v>-9.5844844881878277E-3</v>
      </c>
    </row>
    <row r="213" spans="1:19" ht="15.75">
      <c r="A213" s="1" t="s">
        <v>16</v>
      </c>
      <c r="B213" s="1" t="s">
        <v>385</v>
      </c>
      <c r="C213" s="1" t="s">
        <v>19</v>
      </c>
      <c r="D213" s="44">
        <f>'2016 pax'!Q191</f>
        <v>78279154</v>
      </c>
      <c r="E213" s="30">
        <v>5558320</v>
      </c>
      <c r="F213" s="30">
        <v>5110712</v>
      </c>
      <c r="G213" s="30">
        <v>6474726</v>
      </c>
      <c r="H213" s="30">
        <v>6303430</v>
      </c>
      <c r="I213" s="30">
        <v>6916052</v>
      </c>
      <c r="J213" s="30">
        <v>7381621</v>
      </c>
      <c r="K213" s="30">
        <v>7540988</v>
      </c>
      <c r="L213" s="30">
        <v>7651783</v>
      </c>
      <c r="M213" s="30">
        <v>6871162</v>
      </c>
      <c r="N213" s="30">
        <v>7188078</v>
      </c>
      <c r="O213" s="30">
        <v>6475532</v>
      </c>
      <c r="P213" s="30">
        <v>6357506</v>
      </c>
      <c r="Q213" s="44">
        <f>SUM(E213:P213)</f>
        <v>79829910</v>
      </c>
      <c r="R213" s="43">
        <f t="shared" si="8"/>
        <v>1.981058712003958E-2</v>
      </c>
    </row>
    <row r="214" spans="1:19">
      <c r="A214" s="1" t="s">
        <v>16</v>
      </c>
      <c r="B214" s="1" t="s">
        <v>349</v>
      </c>
      <c r="C214" s="1" t="s">
        <v>350</v>
      </c>
      <c r="D214" s="44">
        <f>'2016 pax'!Q192</f>
        <v>6774271</v>
      </c>
      <c r="E214" s="30">
        <v>487721</v>
      </c>
      <c r="F214" s="30">
        <v>482995</v>
      </c>
      <c r="G214" s="30">
        <v>639376</v>
      </c>
      <c r="H214" s="30">
        <v>611081</v>
      </c>
      <c r="I214" s="30">
        <v>674779</v>
      </c>
      <c r="J214" s="30">
        <v>775199</v>
      </c>
      <c r="K214" s="30">
        <v>781393</v>
      </c>
      <c r="L214" s="30">
        <v>736268</v>
      </c>
      <c r="M214" s="30">
        <v>652353</v>
      </c>
      <c r="N214" s="30">
        <v>718407</v>
      </c>
      <c r="O214" s="30">
        <v>646594</v>
      </c>
      <c r="P214" s="30">
        <v>637431</v>
      </c>
      <c r="Q214" s="44">
        <f t="shared" ref="Q214:Q227" si="9">SUM(E214:P214)</f>
        <v>7843597</v>
      </c>
      <c r="R214" s="43">
        <f t="shared" si="8"/>
        <v>0.15785108095026024</v>
      </c>
    </row>
    <row r="215" spans="1:19">
      <c r="A215" s="1" t="s">
        <v>16</v>
      </c>
      <c r="B215" s="1" t="s">
        <v>544</v>
      </c>
      <c r="C215" s="1" t="s">
        <v>543</v>
      </c>
      <c r="D215" s="44">
        <f>'2016 pax'!Q193</f>
        <v>8422676</v>
      </c>
      <c r="E215" s="30">
        <v>592095</v>
      </c>
      <c r="F215" s="30">
        <v>575064</v>
      </c>
      <c r="G215" s="30">
        <v>743248</v>
      </c>
      <c r="H215" s="30">
        <v>739563</v>
      </c>
      <c r="I215" s="30">
        <v>809802</v>
      </c>
      <c r="J215" s="30">
        <v>878630</v>
      </c>
      <c r="K215" s="30">
        <v>892398</v>
      </c>
      <c r="L215" s="30">
        <v>875506</v>
      </c>
      <c r="M215" s="30">
        <v>754663</v>
      </c>
      <c r="N215" s="30">
        <v>816768</v>
      </c>
      <c r="O215" s="30">
        <v>737407</v>
      </c>
      <c r="P215" s="30">
        <v>725174</v>
      </c>
      <c r="Q215" s="44">
        <f t="shared" si="9"/>
        <v>9140318</v>
      </c>
      <c r="R215" s="43">
        <f t="shared" si="8"/>
        <v>8.5203562383261655E-2</v>
      </c>
    </row>
    <row r="216" spans="1:19" ht="15.75">
      <c r="A216" s="1" t="s">
        <v>16</v>
      </c>
      <c r="B216" s="1" t="s">
        <v>451</v>
      </c>
      <c r="C216" s="1" t="s">
        <v>434</v>
      </c>
      <c r="D216" s="44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64"/>
      <c r="R216" s="43"/>
    </row>
    <row r="217" spans="1:19">
      <c r="A217" s="1" t="s">
        <v>16</v>
      </c>
      <c r="B217" s="1" t="s">
        <v>517</v>
      </c>
      <c r="C217" s="1" t="s">
        <v>518</v>
      </c>
      <c r="D217" s="44">
        <f>'2016 pax'!Q195</f>
        <v>1132329</v>
      </c>
      <c r="E217" s="30">
        <v>80220</v>
      </c>
      <c r="F217" s="30">
        <v>77410</v>
      </c>
      <c r="G217" s="30">
        <v>93946</v>
      </c>
      <c r="H217" s="30">
        <v>82905</v>
      </c>
      <c r="I217" s="30">
        <v>92892</v>
      </c>
      <c r="J217" s="30">
        <v>89533</v>
      </c>
      <c r="K217" s="30">
        <v>96902</v>
      </c>
      <c r="L217" s="30">
        <v>97701</v>
      </c>
      <c r="M217" s="30">
        <v>84799</v>
      </c>
      <c r="N217" s="30">
        <v>104000</v>
      </c>
      <c r="O217" s="30">
        <v>93983</v>
      </c>
      <c r="P217" s="30">
        <v>82897</v>
      </c>
      <c r="Q217" s="44">
        <f t="shared" si="9"/>
        <v>1077188</v>
      </c>
      <c r="R217" s="43">
        <f>SUM(Q217/D217)-1</f>
        <v>-4.8696977645189654E-2</v>
      </c>
    </row>
    <row r="218" spans="1:19">
      <c r="A218" s="1" t="s">
        <v>16</v>
      </c>
      <c r="B218" s="1" t="s">
        <v>403</v>
      </c>
      <c r="C218" s="1" t="s">
        <v>404</v>
      </c>
      <c r="D218" s="44">
        <f>'2016 pax'!Q196</f>
        <v>7288030</v>
      </c>
      <c r="E218" s="30">
        <v>517753</v>
      </c>
      <c r="F218" s="30">
        <v>499956</v>
      </c>
      <c r="G218" s="30">
        <v>666324</v>
      </c>
      <c r="H218" s="30">
        <v>625635</v>
      </c>
      <c r="I218" s="30">
        <v>670471</v>
      </c>
      <c r="J218" s="30">
        <v>694755</v>
      </c>
      <c r="K218" s="30">
        <v>693388</v>
      </c>
      <c r="L218" s="30">
        <v>642709</v>
      </c>
      <c r="M218" s="30">
        <v>601672</v>
      </c>
      <c r="N218" s="30">
        <v>672152</v>
      </c>
      <c r="O218" s="30">
        <v>651507</v>
      </c>
      <c r="P218" s="30">
        <v>611362</v>
      </c>
      <c r="Q218" s="44">
        <f t="shared" si="9"/>
        <v>7547684</v>
      </c>
      <c r="R218" s="43">
        <f>SUM(Q218/D218)-1</f>
        <v>3.5627460369949127E-2</v>
      </c>
    </row>
    <row r="219" spans="1:19">
      <c r="A219" s="1" t="s">
        <v>16</v>
      </c>
      <c r="B219" s="1" t="s">
        <v>22</v>
      </c>
      <c r="C219" s="1" t="s">
        <v>23</v>
      </c>
      <c r="D219" s="44">
        <f>'2016 pax'!Q197</f>
        <v>65213630</v>
      </c>
      <c r="E219" s="30">
        <v>5096437</v>
      </c>
      <c r="F219" s="30">
        <v>4734748</v>
      </c>
      <c r="G219" s="30">
        <v>5640286</v>
      </c>
      <c r="H219" s="30">
        <v>5263641</v>
      </c>
      <c r="I219" s="30">
        <v>5784245</v>
      </c>
      <c r="J219" s="30">
        <v>6034120</v>
      </c>
      <c r="K219" s="30">
        <v>6262259</v>
      </c>
      <c r="L219" s="30">
        <v>6005555</v>
      </c>
      <c r="M219" s="30">
        <v>5396806</v>
      </c>
      <c r="N219" s="30">
        <v>5848289</v>
      </c>
      <c r="O219" s="30">
        <v>5426630</v>
      </c>
      <c r="P219" s="30">
        <v>5599335</v>
      </c>
      <c r="Q219" s="44">
        <f t="shared" si="9"/>
        <v>67092351</v>
      </c>
      <c r="R219" s="43">
        <f>SUM(Q219/D219)-1</f>
        <v>2.8808716828061964E-2</v>
      </c>
    </row>
    <row r="220" spans="1:19" ht="15.75">
      <c r="A220" s="1" t="s">
        <v>16</v>
      </c>
      <c r="B220" s="1" t="s">
        <v>505</v>
      </c>
      <c r="C220" s="1" t="s">
        <v>495</v>
      </c>
      <c r="D220" s="44">
        <f>'2016 pax'!Q198</f>
        <v>15562738</v>
      </c>
      <c r="E220" s="30">
        <v>1182090</v>
      </c>
      <c r="F220" s="30">
        <v>1121713</v>
      </c>
      <c r="G220" s="30">
        <v>1341581</v>
      </c>
      <c r="H220" s="30">
        <v>1296210</v>
      </c>
      <c r="I220" s="30">
        <v>1371573</v>
      </c>
      <c r="J220" s="30">
        <v>1359879</v>
      </c>
      <c r="K220" s="30">
        <v>1351698</v>
      </c>
      <c r="L220" s="30">
        <v>1300248</v>
      </c>
      <c r="M220" s="30">
        <v>1251844</v>
      </c>
      <c r="N220" s="30">
        <v>1404965</v>
      </c>
      <c r="O220" s="30">
        <v>1399350</v>
      </c>
      <c r="P220" s="30">
        <v>1342476</v>
      </c>
      <c r="Q220" s="44">
        <f t="shared" si="9"/>
        <v>15723627</v>
      </c>
      <c r="R220" s="43">
        <f>SUM(Q220/D220)-1</f>
        <v>1.0338090893774687E-2</v>
      </c>
    </row>
    <row r="221" spans="1:19" s="42" customFormat="1">
      <c r="A221" s="1" t="s">
        <v>16</v>
      </c>
      <c r="B221" s="1" t="s">
        <v>570</v>
      </c>
      <c r="C221" s="1" t="s">
        <v>571</v>
      </c>
      <c r="D221" s="44">
        <f>'2016 pax'!Q199</f>
        <v>1035263</v>
      </c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64"/>
      <c r="R221" s="43"/>
    </row>
    <row r="222" spans="1:19" ht="15.75">
      <c r="A222" s="1" t="s">
        <v>16</v>
      </c>
      <c r="B222" s="1" t="s">
        <v>386</v>
      </c>
      <c r="C222" s="1" t="s">
        <v>24</v>
      </c>
      <c r="D222" s="44">
        <f>'2016 pax'!Q200</f>
        <v>58266515</v>
      </c>
      <c r="E222" s="30">
        <v>4434862</v>
      </c>
      <c r="F222" s="30">
        <v>4204744</v>
      </c>
      <c r="G222" s="30">
        <v>5193855</v>
      </c>
      <c r="H222" s="30">
        <v>4812910</v>
      </c>
      <c r="I222" s="30">
        <v>5271223</v>
      </c>
      <c r="J222" s="30">
        <v>5650682</v>
      </c>
      <c r="K222" s="30">
        <v>5839661</v>
      </c>
      <c r="L222" s="30">
        <v>5727326</v>
      </c>
      <c r="M222" s="30">
        <v>5097144</v>
      </c>
      <c r="N222" s="30">
        <v>5282947</v>
      </c>
      <c r="O222" s="30">
        <v>4913238</v>
      </c>
      <c r="P222" s="30">
        <v>4950804</v>
      </c>
      <c r="Q222" s="44">
        <f t="shared" si="9"/>
        <v>61379396</v>
      </c>
      <c r="R222" s="43">
        <f t="shared" ref="R222:R228" si="10">SUM(Q222/D222)-1</f>
        <v>5.3424870184873852E-2</v>
      </c>
      <c r="S222" s="48"/>
    </row>
    <row r="223" spans="1:19">
      <c r="A223" s="1" t="s">
        <v>16</v>
      </c>
      <c r="B223" s="1" t="s">
        <v>437</v>
      </c>
      <c r="C223" s="1" t="s">
        <v>438</v>
      </c>
      <c r="D223" s="44">
        <v>2483924</v>
      </c>
      <c r="E223" s="30">
        <v>195238</v>
      </c>
      <c r="F223" s="30">
        <v>196655</v>
      </c>
      <c r="G223" s="30">
        <v>226534</v>
      </c>
      <c r="H223" s="30">
        <v>201522</v>
      </c>
      <c r="I223" s="30">
        <v>229550</v>
      </c>
      <c r="J223" s="30">
        <v>237347</v>
      </c>
      <c r="K223" s="30">
        <v>222570</v>
      </c>
      <c r="L223" s="30">
        <v>223150</v>
      </c>
      <c r="M223" s="30">
        <v>204176</v>
      </c>
      <c r="N223" s="30">
        <v>225180</v>
      </c>
      <c r="O223" s="30">
        <v>214495</v>
      </c>
      <c r="P223" s="30">
        <v>201891</v>
      </c>
      <c r="Q223" s="44">
        <f t="shared" si="9"/>
        <v>2578308</v>
      </c>
      <c r="R223" s="43">
        <f t="shared" si="10"/>
        <v>3.7997941966018356E-2</v>
      </c>
      <c r="S223" s="48"/>
    </row>
    <row r="224" spans="1:19">
      <c r="A224" s="1" t="s">
        <v>16</v>
      </c>
      <c r="B224" s="1" t="s">
        <v>42</v>
      </c>
      <c r="C224" s="1" t="s">
        <v>43</v>
      </c>
      <c r="D224" s="44">
        <f>'2016 pax'!Q202</f>
        <v>34391830</v>
      </c>
      <c r="E224" s="30">
        <v>2466508</v>
      </c>
      <c r="F224" s="30">
        <v>2367699</v>
      </c>
      <c r="G224" s="30">
        <v>2994869</v>
      </c>
      <c r="H224" s="30">
        <v>2854176</v>
      </c>
      <c r="I224" s="30">
        <v>3072746</v>
      </c>
      <c r="J224" s="30">
        <v>3119367</v>
      </c>
      <c r="K224" s="30">
        <v>3167660</v>
      </c>
      <c r="L224" s="30">
        <v>3240001</v>
      </c>
      <c r="M224" s="30">
        <v>2835677</v>
      </c>
      <c r="N224" s="30">
        <v>3080383</v>
      </c>
      <c r="O224" s="30">
        <v>2802443</v>
      </c>
      <c r="P224" s="30">
        <v>2699565</v>
      </c>
      <c r="Q224" s="44">
        <f t="shared" si="9"/>
        <v>34701094</v>
      </c>
      <c r="R224" s="43">
        <f t="shared" si="10"/>
        <v>8.9923682455979037E-3</v>
      </c>
    </row>
    <row r="225" spans="1:21">
      <c r="A225" s="1" t="s">
        <v>16</v>
      </c>
      <c r="B225" s="1" t="s">
        <v>421</v>
      </c>
      <c r="C225" s="1" t="s">
        <v>422</v>
      </c>
      <c r="D225" s="44">
        <f>'2016 pax'!Q203</f>
        <v>2807734</v>
      </c>
      <c r="E225" s="30">
        <v>205741</v>
      </c>
      <c r="F225" s="30">
        <v>184883</v>
      </c>
      <c r="G225" s="30">
        <v>242699</v>
      </c>
      <c r="H225" s="30">
        <v>232382</v>
      </c>
      <c r="I225" s="30">
        <v>255355</v>
      </c>
      <c r="J225" s="30">
        <v>272739</v>
      </c>
      <c r="K225" s="30">
        <v>273075</v>
      </c>
      <c r="L225" s="30">
        <v>250085</v>
      </c>
      <c r="M225" s="30">
        <v>231912</v>
      </c>
      <c r="N225" s="30">
        <v>262776</v>
      </c>
      <c r="O225" s="30">
        <v>256322</v>
      </c>
      <c r="P225" s="30">
        <v>260190</v>
      </c>
      <c r="Q225" s="44">
        <f t="shared" si="9"/>
        <v>2928159</v>
      </c>
      <c r="R225" s="43">
        <f t="shared" si="10"/>
        <v>4.2890458996471814E-2</v>
      </c>
    </row>
    <row r="226" spans="1:21" s="42" customFormat="1">
      <c r="A226" s="1" t="s">
        <v>16</v>
      </c>
      <c r="B226" s="1" t="s">
        <v>644</v>
      </c>
      <c r="C226" s="1" t="s">
        <v>645</v>
      </c>
      <c r="D226" s="44">
        <f>'2016 pax'!Q204</f>
        <v>805022</v>
      </c>
      <c r="E226" s="30">
        <v>56373</v>
      </c>
      <c r="F226" s="30">
        <v>59338</v>
      </c>
      <c r="G226" s="30">
        <v>69477</v>
      </c>
      <c r="H226" s="30">
        <v>64421</v>
      </c>
      <c r="I226" s="30">
        <v>67788</v>
      </c>
      <c r="J226" s="60">
        <v>66063</v>
      </c>
      <c r="K226" s="30">
        <v>69855</v>
      </c>
      <c r="L226" s="30">
        <v>73262</v>
      </c>
      <c r="M226" s="30">
        <v>61038</v>
      </c>
      <c r="N226" s="30">
        <v>71582</v>
      </c>
      <c r="O226" s="30">
        <v>70238</v>
      </c>
      <c r="P226" s="30">
        <v>66506</v>
      </c>
      <c r="Q226" s="44">
        <f t="shared" si="9"/>
        <v>795941</v>
      </c>
      <c r="R226" s="43">
        <f t="shared" si="10"/>
        <v>-1.1280437056378601E-2</v>
      </c>
    </row>
    <row r="227" spans="1:21">
      <c r="A227" s="1" t="s">
        <v>16</v>
      </c>
      <c r="B227" s="1" t="s">
        <v>51</v>
      </c>
      <c r="C227" s="1" t="s">
        <v>52</v>
      </c>
      <c r="D227" s="44">
        <f>'2016 pax'!Q205</f>
        <v>29213789</v>
      </c>
      <c r="E227" s="30">
        <v>2803913</v>
      </c>
      <c r="F227" s="30">
        <v>2614564</v>
      </c>
      <c r="G227" s="30">
        <v>3141983</v>
      </c>
      <c r="H227" s="30">
        <v>2945163</v>
      </c>
      <c r="I227" s="30">
        <v>2629156</v>
      </c>
      <c r="J227" s="30">
        <v>2676537</v>
      </c>
      <c r="K227" s="30">
        <v>2944287</v>
      </c>
      <c r="L227" s="30">
        <v>2799165</v>
      </c>
      <c r="M227" s="30">
        <v>1782393</v>
      </c>
      <c r="N227" s="30">
        <v>2395526</v>
      </c>
      <c r="O227" s="30">
        <v>2736896</v>
      </c>
      <c r="P227" s="30">
        <v>3041470</v>
      </c>
      <c r="Q227" s="44">
        <f t="shared" si="9"/>
        <v>32511053</v>
      </c>
      <c r="R227" s="43">
        <f t="shared" si="10"/>
        <v>0.11286670140596966</v>
      </c>
      <c r="T227" s="48"/>
      <c r="U227" s="23"/>
    </row>
    <row r="228" spans="1:21">
      <c r="A228" s="1" t="s">
        <v>16</v>
      </c>
      <c r="B228" s="1" t="s">
        <v>398</v>
      </c>
      <c r="C228" s="1" t="s">
        <v>399</v>
      </c>
      <c r="D228" s="44">
        <f>'2016 pax'!Q206</f>
        <v>8604673</v>
      </c>
      <c r="E228" s="30">
        <v>892905</v>
      </c>
      <c r="F228" s="30">
        <v>946079</v>
      </c>
      <c r="G228" s="30">
        <v>1252124</v>
      </c>
      <c r="H228" s="30">
        <v>1032783</v>
      </c>
      <c r="I228" s="30">
        <v>629321</v>
      </c>
      <c r="J228" s="30">
        <v>528383</v>
      </c>
      <c r="K228" s="30">
        <v>530428</v>
      </c>
      <c r="L228" s="30">
        <v>481185</v>
      </c>
      <c r="M228" s="30">
        <v>327466</v>
      </c>
      <c r="N228" s="30">
        <v>581317</v>
      </c>
      <c r="O228" s="30">
        <v>767064</v>
      </c>
      <c r="P228" s="30">
        <v>873494</v>
      </c>
      <c r="Q228" s="44">
        <f>SUM(E228:P228)</f>
        <v>8842549</v>
      </c>
      <c r="R228" s="43">
        <f t="shared" si="10"/>
        <v>2.764497849017622E-2</v>
      </c>
      <c r="U228" s="48"/>
    </row>
    <row r="229" spans="1:21">
      <c r="A229" s="1" t="s">
        <v>16</v>
      </c>
      <c r="B229" s="1" t="s">
        <v>537</v>
      </c>
      <c r="C229" s="1" t="s">
        <v>538</v>
      </c>
      <c r="D229" s="44"/>
      <c r="E229" s="30">
        <v>115819</v>
      </c>
      <c r="F229" s="30">
        <v>101695</v>
      </c>
      <c r="G229" s="30">
        <v>119917</v>
      </c>
      <c r="H229" s="30">
        <v>128184</v>
      </c>
      <c r="I229" s="30">
        <v>131463</v>
      </c>
      <c r="J229" s="30"/>
      <c r="K229" s="30"/>
      <c r="L229" s="30"/>
      <c r="M229" s="30"/>
      <c r="N229" s="30"/>
      <c r="O229" s="30"/>
      <c r="P229" s="30"/>
      <c r="Q229" s="64"/>
      <c r="R229" s="43"/>
    </row>
    <row r="230" spans="1:21">
      <c r="A230" s="1" t="s">
        <v>16</v>
      </c>
      <c r="B230" s="1" t="s">
        <v>432</v>
      </c>
      <c r="C230" s="1" t="s">
        <v>433</v>
      </c>
      <c r="D230" s="44">
        <f>'2016 pax'!Q208</f>
        <v>2653630</v>
      </c>
      <c r="E230" s="30">
        <v>212015</v>
      </c>
      <c r="F230" s="30">
        <v>216383</v>
      </c>
      <c r="G230" s="30">
        <v>256880</v>
      </c>
      <c r="H230" s="30">
        <v>225391</v>
      </c>
      <c r="I230" s="30">
        <v>234300</v>
      </c>
      <c r="J230" s="30">
        <v>240761</v>
      </c>
      <c r="K230" s="30">
        <v>249268</v>
      </c>
      <c r="L230" s="30">
        <v>247986</v>
      </c>
      <c r="M230" s="30">
        <v>218671</v>
      </c>
      <c r="N230" s="30">
        <v>245319</v>
      </c>
      <c r="O230" s="30">
        <v>230946</v>
      </c>
      <c r="P230" s="30">
        <v>233702</v>
      </c>
      <c r="Q230" s="44">
        <f t="shared" ref="Q230:Q236" si="11">SUM(E230:P230)</f>
        <v>2811622</v>
      </c>
      <c r="R230" s="43">
        <f t="shared" ref="R230:R236" si="12">SUM(Q230/D230)-1</f>
        <v>5.9538066723695549E-2</v>
      </c>
    </row>
    <row r="231" spans="1:21">
      <c r="A231" s="1" t="s">
        <v>16</v>
      </c>
      <c r="B231" s="1" t="s">
        <v>447</v>
      </c>
      <c r="C231" s="1" t="s">
        <v>448</v>
      </c>
      <c r="D231" s="44">
        <f>'2016 pax'!Q209</f>
        <v>2018319</v>
      </c>
      <c r="E231" s="30">
        <v>144637</v>
      </c>
      <c r="F231" s="30">
        <v>134508</v>
      </c>
      <c r="G231" s="30">
        <v>166453</v>
      </c>
      <c r="H231" s="30">
        <v>168963</v>
      </c>
      <c r="I231" s="30">
        <v>189991</v>
      </c>
      <c r="J231" s="30">
        <v>189949</v>
      </c>
      <c r="K231" s="30">
        <v>187661</v>
      </c>
      <c r="L231" s="30">
        <v>185431</v>
      </c>
      <c r="M231" s="30">
        <v>175286</v>
      </c>
      <c r="N231" s="30">
        <v>215335</v>
      </c>
      <c r="O231" s="30">
        <v>194779</v>
      </c>
      <c r="P231" s="30">
        <v>177894</v>
      </c>
      <c r="Q231" s="44">
        <f t="shared" si="11"/>
        <v>2130887</v>
      </c>
      <c r="R231" s="43">
        <f t="shared" si="12"/>
        <v>5.5773145870400054E-2</v>
      </c>
    </row>
    <row r="232" spans="1:21">
      <c r="A232" s="1" t="s">
        <v>16</v>
      </c>
      <c r="B232" s="1" t="s">
        <v>496</v>
      </c>
      <c r="C232" s="1" t="s">
        <v>497</v>
      </c>
      <c r="D232" s="44">
        <f>'2016 pax'!Q210</f>
        <v>6012362</v>
      </c>
      <c r="E232" s="30">
        <v>461082</v>
      </c>
      <c r="F232" s="30">
        <v>437459</v>
      </c>
      <c r="G232" s="30">
        <v>529745</v>
      </c>
      <c r="H232" s="30">
        <v>553182</v>
      </c>
      <c r="I232" s="30">
        <v>571776</v>
      </c>
      <c r="J232" s="30">
        <v>565399</v>
      </c>
      <c r="K232" s="30">
        <v>591015</v>
      </c>
      <c r="L232" s="30">
        <v>597577</v>
      </c>
      <c r="M232" s="30">
        <v>484649</v>
      </c>
      <c r="N232" s="30">
        <v>572237</v>
      </c>
      <c r="O232" s="30">
        <v>545347</v>
      </c>
      <c r="P232" s="30">
        <v>526939</v>
      </c>
      <c r="Q232" s="44">
        <f t="shared" si="11"/>
        <v>6436407</v>
      </c>
      <c r="R232" s="43">
        <f t="shared" si="12"/>
        <v>7.0528853718388795E-2</v>
      </c>
    </row>
    <row r="233" spans="1:21">
      <c r="A233" s="1" t="s">
        <v>16</v>
      </c>
      <c r="B233" s="1" t="s">
        <v>559</v>
      </c>
      <c r="C233" s="1" t="s">
        <v>27</v>
      </c>
      <c r="D233" s="44">
        <f>'2016 pax'!Q211</f>
        <v>41570491</v>
      </c>
      <c r="E233" s="30">
        <v>3321381</v>
      </c>
      <c r="F233" s="30">
        <v>2935261</v>
      </c>
      <c r="G233" s="30">
        <v>3542621</v>
      </c>
      <c r="H233" s="30">
        <v>3271105</v>
      </c>
      <c r="I233" s="30">
        <v>3596322</v>
      </c>
      <c r="J233" s="30">
        <v>3807600</v>
      </c>
      <c r="K233" s="30">
        <v>3961173</v>
      </c>
      <c r="L233" s="30">
        <v>2978307</v>
      </c>
      <c r="M233" s="30">
        <v>2723811</v>
      </c>
      <c r="N233" s="30">
        <v>3376724</v>
      </c>
      <c r="O233" s="30">
        <v>3405087</v>
      </c>
      <c r="P233" s="30">
        <v>3662984</v>
      </c>
      <c r="Q233" s="44">
        <f t="shared" si="11"/>
        <v>40582376</v>
      </c>
      <c r="R233" s="43">
        <f t="shared" si="12"/>
        <v>-2.3769625429730934E-2</v>
      </c>
    </row>
    <row r="234" spans="1:21">
      <c r="A234" s="1" t="s">
        <v>16</v>
      </c>
      <c r="B234" s="7" t="s">
        <v>64</v>
      </c>
      <c r="C234" s="7" t="s">
        <v>65</v>
      </c>
      <c r="D234" s="44">
        <f>'2016 pax'!Q212</f>
        <v>12908977</v>
      </c>
      <c r="E234" s="30">
        <v>1011644</v>
      </c>
      <c r="F234" s="30">
        <v>955673</v>
      </c>
      <c r="G234" s="30">
        <v>1149896</v>
      </c>
      <c r="H234" s="30">
        <v>1113654</v>
      </c>
      <c r="I234" s="30">
        <v>1190100</v>
      </c>
      <c r="J234" s="30">
        <v>1261647</v>
      </c>
      <c r="K234" s="30">
        <v>1279059</v>
      </c>
      <c r="L234" s="30">
        <v>975578</v>
      </c>
      <c r="M234" s="30">
        <v>847478</v>
      </c>
      <c r="N234" s="30">
        <v>1182165</v>
      </c>
      <c r="O234" s="30">
        <v>1236467</v>
      </c>
      <c r="P234" s="30">
        <v>1232309</v>
      </c>
      <c r="Q234" s="44">
        <f t="shared" si="11"/>
        <v>13435670</v>
      </c>
      <c r="R234" s="43">
        <f t="shared" si="12"/>
        <v>4.0800521993338501E-2</v>
      </c>
    </row>
    <row r="235" spans="1:21">
      <c r="A235" s="1" t="s">
        <v>16</v>
      </c>
      <c r="B235" s="1" t="s">
        <v>351</v>
      </c>
      <c r="C235" s="1" t="s">
        <v>352</v>
      </c>
      <c r="D235" s="44">
        <f>'2016 pax'!Q213</f>
        <v>8507062</v>
      </c>
      <c r="E235" s="30">
        <v>609146</v>
      </c>
      <c r="F235" s="30">
        <v>588036</v>
      </c>
      <c r="G235" s="30">
        <v>785626</v>
      </c>
      <c r="H235" s="30">
        <v>719767</v>
      </c>
      <c r="I235" s="30">
        <v>754077</v>
      </c>
      <c r="J235" s="30">
        <v>822177</v>
      </c>
      <c r="K235" s="30">
        <v>807651</v>
      </c>
      <c r="L235" s="30">
        <v>713614</v>
      </c>
      <c r="M235" s="30">
        <v>667550</v>
      </c>
      <c r="N235" s="30">
        <v>806277</v>
      </c>
      <c r="O235" s="30">
        <v>749923</v>
      </c>
      <c r="P235" s="30">
        <v>715991</v>
      </c>
      <c r="Q235" s="44">
        <f t="shared" si="11"/>
        <v>8739835</v>
      </c>
      <c r="R235" s="43">
        <f t="shared" si="12"/>
        <v>2.7362325559635137E-2</v>
      </c>
    </row>
    <row r="236" spans="1:21">
      <c r="A236" s="1" t="s">
        <v>16</v>
      </c>
      <c r="B236" s="1" t="s">
        <v>449</v>
      </c>
      <c r="C236" s="1" t="s">
        <v>450</v>
      </c>
      <c r="D236" s="44">
        <f>'2016 pax'!Q214</f>
        <v>985450</v>
      </c>
      <c r="E236" s="30">
        <v>67972</v>
      </c>
      <c r="F236" s="30">
        <v>67822</v>
      </c>
      <c r="G236" s="30">
        <v>80395</v>
      </c>
      <c r="H236" s="30">
        <v>71223</v>
      </c>
      <c r="I236" s="30">
        <v>83453</v>
      </c>
      <c r="J236" s="30">
        <v>81451</v>
      </c>
      <c r="K236" s="30">
        <v>81410</v>
      </c>
      <c r="L236" s="30">
        <v>73616</v>
      </c>
      <c r="M236" s="30">
        <v>68502</v>
      </c>
      <c r="N236" s="30">
        <v>86808</v>
      </c>
      <c r="O236" s="30">
        <v>80436</v>
      </c>
      <c r="P236" s="30">
        <v>70461</v>
      </c>
      <c r="Q236" s="44">
        <f t="shared" si="11"/>
        <v>913549</v>
      </c>
      <c r="R236" s="43">
        <f t="shared" si="12"/>
        <v>-7.2962605916078949E-2</v>
      </c>
    </row>
    <row r="237" spans="1:21">
      <c r="A237" s="1" t="s">
        <v>16</v>
      </c>
      <c r="B237" s="1" t="s">
        <v>486</v>
      </c>
      <c r="C237" s="1" t="s">
        <v>487</v>
      </c>
      <c r="D237" s="44">
        <f>'2016 pax'!Q215</f>
        <v>5591886</v>
      </c>
      <c r="E237" s="30"/>
      <c r="F237" s="30"/>
      <c r="G237" s="30"/>
      <c r="H237" s="30"/>
      <c r="I237" s="30"/>
      <c r="J237" s="30">
        <v>492396</v>
      </c>
      <c r="K237" s="30">
        <v>489113</v>
      </c>
      <c r="L237" s="30">
        <v>465367</v>
      </c>
      <c r="M237" s="30"/>
      <c r="N237" s="30">
        <v>494705</v>
      </c>
      <c r="O237" s="30">
        <v>486122</v>
      </c>
      <c r="P237" s="30"/>
      <c r="Q237" s="64"/>
      <c r="R237" s="43"/>
    </row>
    <row r="238" spans="1:21" s="42" customFormat="1">
      <c r="A238" s="1" t="s">
        <v>16</v>
      </c>
      <c r="B238" s="1" t="s">
        <v>646</v>
      </c>
      <c r="C238" s="1" t="s">
        <v>647</v>
      </c>
      <c r="D238" s="44">
        <f>'2016 pax'!Q216</f>
        <v>315537</v>
      </c>
      <c r="E238" s="30">
        <v>22063</v>
      </c>
      <c r="F238" s="30">
        <v>22529</v>
      </c>
      <c r="G238" s="30">
        <v>27613</v>
      </c>
      <c r="H238" s="30">
        <v>22891</v>
      </c>
      <c r="I238" s="30">
        <v>26688</v>
      </c>
      <c r="J238" s="60">
        <v>26450</v>
      </c>
      <c r="K238" s="30">
        <v>24649</v>
      </c>
      <c r="L238" s="30">
        <v>26538</v>
      </c>
      <c r="M238" s="30">
        <v>23245</v>
      </c>
      <c r="N238" s="30">
        <v>27115</v>
      </c>
      <c r="O238" s="30">
        <v>25262</v>
      </c>
      <c r="P238" s="30">
        <v>19995</v>
      </c>
      <c r="Q238" s="44">
        <f t="shared" ref="Q238:Q249" si="13">SUM(E238:P238)</f>
        <v>295038</v>
      </c>
      <c r="R238" s="43">
        <f t="shared" ref="R238:R252" si="14">SUM(Q238/D238)-1</f>
        <v>-6.4965439869175357E-2</v>
      </c>
    </row>
    <row r="239" spans="1:21">
      <c r="A239" s="1" t="s">
        <v>16</v>
      </c>
      <c r="B239" s="1" t="s">
        <v>640</v>
      </c>
      <c r="C239" s="1" t="s">
        <v>506</v>
      </c>
      <c r="D239" s="44">
        <f>'2016 pax'!Q217</f>
        <v>11036167</v>
      </c>
      <c r="E239" s="30">
        <v>784454</v>
      </c>
      <c r="F239" s="30">
        <v>762154</v>
      </c>
      <c r="G239" s="30">
        <v>1002776</v>
      </c>
      <c r="H239" s="30">
        <v>924696</v>
      </c>
      <c r="I239" s="30">
        <v>1038206</v>
      </c>
      <c r="J239" s="30">
        <v>1075686</v>
      </c>
      <c r="K239" s="30">
        <v>1094498</v>
      </c>
      <c r="L239" s="30">
        <v>1012070</v>
      </c>
      <c r="M239" s="30">
        <v>915461</v>
      </c>
      <c r="N239" s="30">
        <v>1018377</v>
      </c>
      <c r="O239" s="30">
        <v>954232</v>
      </c>
      <c r="P239" s="30">
        <v>914509</v>
      </c>
      <c r="Q239" s="44">
        <f t="shared" si="13"/>
        <v>11497119</v>
      </c>
      <c r="R239" s="43">
        <f t="shared" si="14"/>
        <v>4.176739985902711E-2</v>
      </c>
    </row>
    <row r="240" spans="1:21">
      <c r="A240" s="1" t="s">
        <v>16</v>
      </c>
      <c r="B240" s="1" t="s">
        <v>445</v>
      </c>
      <c r="C240" s="1" t="s">
        <v>446</v>
      </c>
      <c r="D240" s="44">
        <f>'2016 pax'!Q218</f>
        <v>1828229</v>
      </c>
      <c r="E240" s="30">
        <v>130856</v>
      </c>
      <c r="F240" s="30">
        <v>123011</v>
      </c>
      <c r="G240" s="30">
        <v>149555</v>
      </c>
      <c r="H240" s="30">
        <v>146020</v>
      </c>
      <c r="I240" s="30">
        <v>178810</v>
      </c>
      <c r="J240" s="73">
        <v>191395</v>
      </c>
      <c r="K240" s="30">
        <v>189048</v>
      </c>
      <c r="L240" s="30">
        <v>177311</v>
      </c>
      <c r="M240" s="30">
        <v>160128</v>
      </c>
      <c r="N240" s="30">
        <v>199990</v>
      </c>
      <c r="O240" s="30">
        <v>177150</v>
      </c>
      <c r="P240" s="30">
        <v>163850</v>
      </c>
      <c r="Q240" s="44">
        <f t="shared" si="13"/>
        <v>1987124</v>
      </c>
      <c r="R240" s="43">
        <f t="shared" si="14"/>
        <v>8.6911978751020857E-2</v>
      </c>
    </row>
    <row r="241" spans="1:20">
      <c r="A241" s="1" t="s">
        <v>16</v>
      </c>
      <c r="B241" s="1" t="s">
        <v>28</v>
      </c>
      <c r="C241" s="1" t="s">
        <v>29</v>
      </c>
      <c r="D241" s="44">
        <f>'2016 pax'!Q219</f>
        <v>47435640</v>
      </c>
      <c r="E241" s="30">
        <v>3676329</v>
      </c>
      <c r="F241" s="30">
        <v>3432220</v>
      </c>
      <c r="G241" s="30">
        <v>4205586</v>
      </c>
      <c r="H241" s="30">
        <v>4062190</v>
      </c>
      <c r="I241" s="30">
        <v>4208019</v>
      </c>
      <c r="J241" s="30">
        <v>4192034</v>
      </c>
      <c r="K241" s="30">
        <v>4325676</v>
      </c>
      <c r="L241" s="30">
        <v>4244800</v>
      </c>
      <c r="M241" s="30">
        <v>4071128</v>
      </c>
      <c r="N241" s="30">
        <v>4339416</v>
      </c>
      <c r="O241" s="30">
        <v>3913935</v>
      </c>
      <c r="P241" s="30">
        <v>3828089</v>
      </c>
      <c r="Q241" s="44">
        <f t="shared" si="13"/>
        <v>48499422</v>
      </c>
      <c r="R241" s="43">
        <f t="shared" si="14"/>
        <v>2.2425796299997192E-2</v>
      </c>
    </row>
    <row r="242" spans="1:20">
      <c r="A242" s="1" t="s">
        <v>16</v>
      </c>
      <c r="B242" s="1" t="s">
        <v>429</v>
      </c>
      <c r="C242" s="1" t="s">
        <v>430</v>
      </c>
      <c r="D242" s="44">
        <f>'2016 pax'!Q220</f>
        <v>1991504</v>
      </c>
      <c r="E242" s="30">
        <v>140558</v>
      </c>
      <c r="F242" s="30">
        <v>132882</v>
      </c>
      <c r="G242" s="30">
        <v>170208</v>
      </c>
      <c r="H242" s="30">
        <v>162133</v>
      </c>
      <c r="I242" s="30">
        <v>189211</v>
      </c>
      <c r="J242" s="30">
        <v>196628</v>
      </c>
      <c r="K242" s="30">
        <v>191325</v>
      </c>
      <c r="L242" s="30">
        <v>170192</v>
      </c>
      <c r="M242" s="30">
        <v>158213</v>
      </c>
      <c r="N242" s="30">
        <v>182360</v>
      </c>
      <c r="O242" s="30">
        <v>172705</v>
      </c>
      <c r="P242" s="30">
        <v>162894</v>
      </c>
      <c r="Q242" s="44">
        <f t="shared" si="13"/>
        <v>2029309</v>
      </c>
      <c r="R242" s="43">
        <f t="shared" si="14"/>
        <v>1.8983140380335772E-2</v>
      </c>
    </row>
    <row r="243" spans="1:20">
      <c r="A243" s="1" t="s">
        <v>16</v>
      </c>
      <c r="B243" s="1" t="s">
        <v>427</v>
      </c>
      <c r="C243" s="1" t="s">
        <v>428</v>
      </c>
      <c r="D243" s="44">
        <f>'2016 pax'!Q221</f>
        <v>2846283</v>
      </c>
      <c r="E243" s="30">
        <v>300507</v>
      </c>
      <c r="F243" s="30">
        <v>275933</v>
      </c>
      <c r="G243" s="30">
        <v>276222</v>
      </c>
      <c r="H243" s="30">
        <v>317317</v>
      </c>
      <c r="I243" s="30">
        <v>320725</v>
      </c>
      <c r="J243" s="30">
        <v>313064</v>
      </c>
      <c r="K243" s="30">
        <v>325820</v>
      </c>
      <c r="L243" s="30">
        <v>316291</v>
      </c>
      <c r="M243" s="30">
        <v>300927</v>
      </c>
      <c r="N243" s="30">
        <v>330430</v>
      </c>
      <c r="O243" s="30">
        <v>321152</v>
      </c>
      <c r="P243" s="30">
        <v>339183</v>
      </c>
      <c r="Q243" s="44">
        <f t="shared" si="13"/>
        <v>3737571</v>
      </c>
      <c r="R243" s="43">
        <f t="shared" si="14"/>
        <v>0.31314103341094324</v>
      </c>
      <c r="S243" s="72"/>
    </row>
    <row r="244" spans="1:20">
      <c r="A244" s="1" t="s">
        <v>16</v>
      </c>
      <c r="B244" s="1" t="s">
        <v>20</v>
      </c>
      <c r="C244" s="1" t="s">
        <v>21</v>
      </c>
      <c r="D244" s="44">
        <f>'2016 pax'!Q222</f>
        <v>80887826</v>
      </c>
      <c r="E244" s="30">
        <v>6444489</v>
      </c>
      <c r="F244" s="30">
        <v>5604244</v>
      </c>
      <c r="G244" s="30">
        <v>6779400</v>
      </c>
      <c r="H244" s="30">
        <v>6874237</v>
      </c>
      <c r="I244" s="30">
        <v>7163724</v>
      </c>
      <c r="J244" s="30">
        <v>7726854</v>
      </c>
      <c r="K244" s="30">
        <v>8175815</v>
      </c>
      <c r="L244" s="30">
        <v>7930124</v>
      </c>
      <c r="M244" s="30">
        <v>6785089</v>
      </c>
      <c r="N244" s="30">
        <v>7186554</v>
      </c>
      <c r="O244" s="30">
        <v>6785973</v>
      </c>
      <c r="P244" s="30">
        <v>7097933</v>
      </c>
      <c r="Q244" s="44">
        <f t="shared" si="13"/>
        <v>84554436</v>
      </c>
      <c r="R244" s="43">
        <f t="shared" si="14"/>
        <v>4.5329565415690665E-2</v>
      </c>
    </row>
    <row r="245" spans="1:20">
      <c r="A245" s="34" t="s">
        <v>16</v>
      </c>
      <c r="B245" s="34" t="s">
        <v>507</v>
      </c>
      <c r="C245" s="34" t="s">
        <v>402</v>
      </c>
      <c r="D245" s="44">
        <f>'2016 pax'!Q223</f>
        <v>4251903</v>
      </c>
      <c r="E245" s="30">
        <v>339083</v>
      </c>
      <c r="F245" s="30">
        <v>321267</v>
      </c>
      <c r="G245" s="30">
        <v>379656</v>
      </c>
      <c r="H245" s="30">
        <v>369500</v>
      </c>
      <c r="I245" s="30">
        <v>390516</v>
      </c>
      <c r="J245" s="30">
        <v>381312</v>
      </c>
      <c r="K245" s="30">
        <v>383349</v>
      </c>
      <c r="L245" s="30">
        <v>387351</v>
      </c>
      <c r="M245" s="30">
        <v>369156</v>
      </c>
      <c r="N245" s="30">
        <v>410593</v>
      </c>
      <c r="O245" s="30">
        <v>410107</v>
      </c>
      <c r="P245" s="30">
        <v>410335</v>
      </c>
      <c r="Q245" s="44">
        <f t="shared" si="13"/>
        <v>4552225</v>
      </c>
      <c r="R245" s="43">
        <f t="shared" si="14"/>
        <v>7.0632373316136254E-2</v>
      </c>
    </row>
    <row r="246" spans="1:20">
      <c r="A246" s="1" t="s">
        <v>16</v>
      </c>
      <c r="B246" s="1" t="s">
        <v>500</v>
      </c>
      <c r="C246" s="1" t="s">
        <v>501</v>
      </c>
      <c r="D246" s="44">
        <f>'2016 pax'!Q224</f>
        <v>3346545</v>
      </c>
      <c r="E246" s="30">
        <v>233775</v>
      </c>
      <c r="F246" s="30">
        <v>226761</v>
      </c>
      <c r="G246" s="30">
        <v>278939</v>
      </c>
      <c r="H246" s="30">
        <v>269736</v>
      </c>
      <c r="I246" s="30">
        <v>321052</v>
      </c>
      <c r="J246" s="30">
        <v>332008</v>
      </c>
      <c r="K246" s="30">
        <v>321506</v>
      </c>
      <c r="L246" s="30">
        <v>291438</v>
      </c>
      <c r="M246" s="30">
        <v>284338</v>
      </c>
      <c r="N246" s="30">
        <v>341052</v>
      </c>
      <c r="O246" s="30">
        <v>299063</v>
      </c>
      <c r="P246" s="30">
        <v>272360</v>
      </c>
      <c r="Q246" s="44">
        <f t="shared" si="13"/>
        <v>3472028</v>
      </c>
      <c r="R246" s="43">
        <f t="shared" si="14"/>
        <v>3.749628348042533E-2</v>
      </c>
    </row>
    <row r="247" spans="1:20" s="42" customFormat="1">
      <c r="A247" s="1" t="s">
        <v>16</v>
      </c>
      <c r="B247" s="1" t="s">
        <v>572</v>
      </c>
      <c r="C247" s="1" t="s">
        <v>573</v>
      </c>
      <c r="D247" s="44">
        <f>'2016 pax'!Q225</f>
        <v>2021279</v>
      </c>
      <c r="E247" s="30">
        <v>128594</v>
      </c>
      <c r="F247" s="30">
        <v>126673</v>
      </c>
      <c r="G247" s="30">
        <v>157671</v>
      </c>
      <c r="H247" s="30">
        <v>168521</v>
      </c>
      <c r="I247" s="30">
        <v>176855</v>
      </c>
      <c r="J247" s="30">
        <v>175933</v>
      </c>
      <c r="K247" s="30">
        <v>187008</v>
      </c>
      <c r="L247" s="30">
        <v>187936</v>
      </c>
      <c r="M247" s="30">
        <v>165393</v>
      </c>
      <c r="N247" s="30">
        <v>187820</v>
      </c>
      <c r="O247" s="30">
        <v>162749</v>
      </c>
      <c r="P247" s="30">
        <v>145535</v>
      </c>
      <c r="Q247" s="44">
        <f t="shared" si="13"/>
        <v>1970688</v>
      </c>
      <c r="R247" s="43">
        <f t="shared" si="14"/>
        <v>-2.5029201807370449E-2</v>
      </c>
      <c r="S247" s="48"/>
      <c r="T247" s="48"/>
    </row>
    <row r="248" spans="1:20">
      <c r="A248" s="1" t="s">
        <v>16</v>
      </c>
      <c r="B248" s="1" t="s">
        <v>522</v>
      </c>
      <c r="C248" s="1" t="s">
        <v>523</v>
      </c>
      <c r="D248" s="44">
        <f>'2016 pax'!Q226</f>
        <v>4001017</v>
      </c>
      <c r="E248" s="30">
        <v>281982</v>
      </c>
      <c r="F248" s="30">
        <v>275576</v>
      </c>
      <c r="G248" s="30">
        <v>353833</v>
      </c>
      <c r="H248" s="30">
        <v>332467</v>
      </c>
      <c r="I248" s="30">
        <v>383774</v>
      </c>
      <c r="J248" s="30">
        <v>391850</v>
      </c>
      <c r="K248" s="30">
        <v>382283</v>
      </c>
      <c r="L248" s="30">
        <v>356056</v>
      </c>
      <c r="M248" s="30">
        <v>334201</v>
      </c>
      <c r="N248" s="30">
        <v>397311</v>
      </c>
      <c r="O248" s="30">
        <v>362767</v>
      </c>
      <c r="P248" s="30">
        <v>344164</v>
      </c>
      <c r="Q248" s="44">
        <f t="shared" si="13"/>
        <v>4196264</v>
      </c>
      <c r="R248" s="43">
        <f t="shared" si="14"/>
        <v>4.8799342767101406E-2</v>
      </c>
    </row>
    <row r="249" spans="1:20">
      <c r="A249" s="1" t="s">
        <v>16</v>
      </c>
      <c r="B249" s="1" t="s">
        <v>36</v>
      </c>
      <c r="C249" s="1" t="s">
        <v>37</v>
      </c>
      <c r="D249" s="44">
        <f>'2016 pax'!Q227</f>
        <v>44584603</v>
      </c>
      <c r="E249" s="30">
        <v>3931000</v>
      </c>
      <c r="F249" s="30">
        <v>3325899</v>
      </c>
      <c r="G249" s="30">
        <v>3876136</v>
      </c>
      <c r="H249" s="30">
        <v>3818652</v>
      </c>
      <c r="I249" s="30">
        <v>3737466</v>
      </c>
      <c r="J249" s="30">
        <v>3752084</v>
      </c>
      <c r="K249" s="30">
        <v>4089186</v>
      </c>
      <c r="L249" s="30">
        <v>3903469</v>
      </c>
      <c r="M249" s="30">
        <v>2473265</v>
      </c>
      <c r="N249" s="30">
        <v>3517238</v>
      </c>
      <c r="O249" s="30">
        <v>3649847</v>
      </c>
      <c r="P249" s="30">
        <v>3997071</v>
      </c>
      <c r="Q249" s="44">
        <f t="shared" si="13"/>
        <v>44071313</v>
      </c>
      <c r="R249" s="43">
        <f t="shared" si="14"/>
        <v>-1.1512718863953997E-2</v>
      </c>
    </row>
    <row r="250" spans="1:20">
      <c r="A250" s="1" t="s">
        <v>16</v>
      </c>
      <c r="B250" s="1" t="s">
        <v>346</v>
      </c>
      <c r="C250" s="1" t="s">
        <v>347</v>
      </c>
      <c r="D250" s="44">
        <f>'2016 pax'!Q228</f>
        <v>6757357</v>
      </c>
      <c r="E250" s="30">
        <v>494457</v>
      </c>
      <c r="F250" s="30">
        <v>493410</v>
      </c>
      <c r="G250" s="30">
        <v>657727</v>
      </c>
      <c r="H250" s="30">
        <v>615706</v>
      </c>
      <c r="I250" s="30">
        <v>577385</v>
      </c>
      <c r="J250" s="30">
        <v>630740</v>
      </c>
      <c r="K250" s="30">
        <v>628371</v>
      </c>
      <c r="L250" s="30">
        <v>629650</v>
      </c>
      <c r="M250" s="30">
        <v>514419</v>
      </c>
      <c r="N250" s="30">
        <v>564504</v>
      </c>
      <c r="O250" s="30">
        <v>559971</v>
      </c>
      <c r="P250" s="30">
        <v>538330</v>
      </c>
      <c r="Q250" s="44">
        <f>SUM(E250:P250)</f>
        <v>6904670</v>
      </c>
      <c r="R250" s="43">
        <f t="shared" si="14"/>
        <v>2.1800387340790151E-2</v>
      </c>
    </row>
    <row r="251" spans="1:20" ht="15.75">
      <c r="A251" s="1" t="s">
        <v>16</v>
      </c>
      <c r="B251" s="1" t="s">
        <v>387</v>
      </c>
      <c r="C251" s="1" t="s">
        <v>41</v>
      </c>
      <c r="D251" s="44">
        <f>'2016 pax'!Q229</f>
        <v>37517570</v>
      </c>
      <c r="E251" s="30">
        <v>2692426</v>
      </c>
      <c r="F251" s="30">
        <v>2610422</v>
      </c>
      <c r="G251" s="30">
        <v>3431681</v>
      </c>
      <c r="H251" s="30">
        <v>3095064</v>
      </c>
      <c r="I251" s="30">
        <v>3205678</v>
      </c>
      <c r="J251" s="30">
        <v>3495602</v>
      </c>
      <c r="K251" s="30">
        <v>3661570</v>
      </c>
      <c r="L251" s="30">
        <v>3668199</v>
      </c>
      <c r="M251" s="30">
        <v>3041410</v>
      </c>
      <c r="N251" s="30">
        <v>3250990</v>
      </c>
      <c r="O251" s="30">
        <v>2953509</v>
      </c>
      <c r="P251" s="30">
        <v>2927790</v>
      </c>
      <c r="Q251" s="44">
        <f>SUM(E251:P251)</f>
        <v>38034341</v>
      </c>
      <c r="R251" s="43">
        <f t="shared" si="14"/>
        <v>1.3774106372027806E-2</v>
      </c>
    </row>
    <row r="252" spans="1:20">
      <c r="A252" s="1" t="s">
        <v>16</v>
      </c>
      <c r="B252" s="1" t="s">
        <v>515</v>
      </c>
      <c r="C252" s="1" t="s">
        <v>516</v>
      </c>
      <c r="D252" s="44">
        <f>'2016 pax'!Q230</f>
        <v>1942927</v>
      </c>
      <c r="E252" s="30">
        <v>68066</v>
      </c>
      <c r="F252" s="30">
        <v>89180</v>
      </c>
      <c r="G252" s="30">
        <v>156809</v>
      </c>
      <c r="H252" s="30">
        <v>184771</v>
      </c>
      <c r="I252" s="30">
        <v>239756</v>
      </c>
      <c r="J252" s="30">
        <v>273729</v>
      </c>
      <c r="K252" s="30">
        <v>304250</v>
      </c>
      <c r="L252" s="30">
        <v>301886</v>
      </c>
      <c r="M252" s="30">
        <v>204520</v>
      </c>
      <c r="N252" s="30">
        <v>219594</v>
      </c>
      <c r="O252" s="30">
        <v>131031</v>
      </c>
      <c r="P252" s="30">
        <v>103452</v>
      </c>
      <c r="Q252" s="44">
        <f>SUM(E252:P252)</f>
        <v>2277044</v>
      </c>
      <c r="R252" s="43">
        <f t="shared" si="14"/>
        <v>0.1719658021119681</v>
      </c>
    </row>
    <row r="253" spans="1:20">
      <c r="A253" s="1" t="s">
        <v>16</v>
      </c>
      <c r="B253" s="1" t="s">
        <v>359</v>
      </c>
      <c r="C253" s="1" t="s">
        <v>360</v>
      </c>
      <c r="D253" s="44">
        <f>'2016 pax'!Q231</f>
        <v>12975982</v>
      </c>
      <c r="E253" s="30">
        <v>943851</v>
      </c>
      <c r="F253" s="30">
        <v>907937</v>
      </c>
      <c r="G253" s="30">
        <v>1173604</v>
      </c>
      <c r="H253" s="30">
        <v>1155256</v>
      </c>
      <c r="I253" s="30">
        <v>1248151</v>
      </c>
      <c r="J253" s="30">
        <v>1314069</v>
      </c>
      <c r="K253" s="30">
        <v>1301785</v>
      </c>
      <c r="L253" s="30">
        <v>1229809</v>
      </c>
      <c r="M253" s="30">
        <v>1146161</v>
      </c>
      <c r="N253" s="30">
        <v>1310008</v>
      </c>
      <c r="O253" s="30">
        <v>1233841</v>
      </c>
      <c r="P253" s="30">
        <v>1169441</v>
      </c>
      <c r="Q253" s="44">
        <f t="shared" ref="Q253:Q295" si="15">SUM(E253:P253)</f>
        <v>14133913</v>
      </c>
      <c r="R253" s="43">
        <f t="shared" ref="R253:R267" si="16">SUM(Q253/D253)-1</f>
        <v>8.9236483219535812E-2</v>
      </c>
    </row>
    <row r="254" spans="1:20">
      <c r="A254" s="1" t="s">
        <v>16</v>
      </c>
      <c r="B254" s="1" t="s">
        <v>405</v>
      </c>
      <c r="C254" s="1" t="s">
        <v>406</v>
      </c>
      <c r="D254" s="44">
        <f>'2016 pax'!Q232</f>
        <v>11139421</v>
      </c>
      <c r="E254" s="30">
        <v>859736</v>
      </c>
      <c r="F254" s="30">
        <v>849400</v>
      </c>
      <c r="G254" s="30">
        <v>1066067</v>
      </c>
      <c r="H254" s="30">
        <v>1036777</v>
      </c>
      <c r="I254" s="30">
        <v>1112240</v>
      </c>
      <c r="J254" s="30">
        <v>1045490</v>
      </c>
      <c r="K254" s="30">
        <v>1046103</v>
      </c>
      <c r="L254" s="30">
        <v>895624</v>
      </c>
      <c r="M254" s="30">
        <v>880412</v>
      </c>
      <c r="N254" s="30">
        <v>1082031</v>
      </c>
      <c r="O254" s="30">
        <v>1082622</v>
      </c>
      <c r="P254" s="30">
        <v>1037331</v>
      </c>
      <c r="Q254" s="44">
        <f t="shared" si="15"/>
        <v>11993833</v>
      </c>
      <c r="R254" s="43">
        <f t="shared" si="16"/>
        <v>7.6701652626290029E-2</v>
      </c>
    </row>
    <row r="255" spans="1:20" ht="15.75">
      <c r="A255" s="1" t="s">
        <v>16</v>
      </c>
      <c r="B255" s="1" t="s">
        <v>388</v>
      </c>
      <c r="C255" s="1" t="s">
        <v>25</v>
      </c>
      <c r="D255" s="44">
        <f>'2016 pax'!Q233</f>
        <v>58829111</v>
      </c>
      <c r="E255" s="30">
        <v>4445601</v>
      </c>
      <c r="F255" s="30">
        <v>3785353</v>
      </c>
      <c r="G255" s="30">
        <v>4663061</v>
      </c>
      <c r="H255" s="30">
        <v>5038142</v>
      </c>
      <c r="I255" s="30">
        <v>5142597</v>
      </c>
      <c r="J255" s="30">
        <v>5452312</v>
      </c>
      <c r="K255" s="30">
        <v>5850964</v>
      </c>
      <c r="L255" s="30">
        <v>5991324</v>
      </c>
      <c r="M255" s="30">
        <v>4899091</v>
      </c>
      <c r="N255" s="30">
        <v>4860939</v>
      </c>
      <c r="O255" s="30">
        <v>4476043</v>
      </c>
      <c r="P255" s="30">
        <v>4743659</v>
      </c>
      <c r="Q255" s="44">
        <f t="shared" si="15"/>
        <v>59349086</v>
      </c>
      <c r="R255" s="43">
        <f t="shared" si="16"/>
        <v>8.838736318826923E-3</v>
      </c>
    </row>
    <row r="256" spans="1:20" ht="15.75">
      <c r="A256" s="1" t="s">
        <v>16</v>
      </c>
      <c r="B256" s="1" t="s">
        <v>389</v>
      </c>
      <c r="C256" s="1" t="s">
        <v>49</v>
      </c>
      <c r="D256" s="44">
        <f>'2016 pax'!Q234</f>
        <v>29780802</v>
      </c>
      <c r="E256" s="30">
        <v>2004415</v>
      </c>
      <c r="F256" s="30">
        <v>1841181</v>
      </c>
      <c r="G256" s="30">
        <v>2421840</v>
      </c>
      <c r="H256" s="30">
        <v>2468171</v>
      </c>
      <c r="I256" s="30">
        <v>2636562</v>
      </c>
      <c r="J256" s="30">
        <v>2572846</v>
      </c>
      <c r="K256" s="30">
        <v>2624218</v>
      </c>
      <c r="L256" s="30">
        <v>2708634</v>
      </c>
      <c r="M256" s="30">
        <v>2305490</v>
      </c>
      <c r="N256" s="30">
        <v>2739008</v>
      </c>
      <c r="O256" s="30">
        <v>2547758</v>
      </c>
      <c r="P256" s="30">
        <v>2478300</v>
      </c>
      <c r="Q256" s="44">
        <f t="shared" si="15"/>
        <v>29348423</v>
      </c>
      <c r="R256" s="43">
        <f t="shared" si="16"/>
        <v>-1.4518715782066538E-2</v>
      </c>
    </row>
    <row r="257" spans="1:18" ht="15.75">
      <c r="A257" s="1" t="s">
        <v>16</v>
      </c>
      <c r="B257" s="1" t="s">
        <v>390</v>
      </c>
      <c r="C257" s="1" t="s">
        <v>40</v>
      </c>
      <c r="D257" s="44">
        <f>'2016 pax'!Q235</f>
        <v>40229829</v>
      </c>
      <c r="E257" s="30">
        <v>3200711</v>
      </c>
      <c r="F257" s="30">
        <v>3026314</v>
      </c>
      <c r="G257" s="30">
        <v>3520678</v>
      </c>
      <c r="H257" s="30">
        <v>3620159</v>
      </c>
      <c r="I257" s="30">
        <v>3738832</v>
      </c>
      <c r="J257" s="30">
        <v>3764488</v>
      </c>
      <c r="K257" s="30">
        <v>4238434</v>
      </c>
      <c r="L257" s="30">
        <v>3953049</v>
      </c>
      <c r="M257" s="30">
        <v>3387176</v>
      </c>
      <c r="N257" s="30">
        <v>3672485</v>
      </c>
      <c r="O257" s="30">
        <v>3402003</v>
      </c>
      <c r="P257" s="30">
        <v>3960169</v>
      </c>
      <c r="Q257" s="44">
        <f t="shared" si="15"/>
        <v>43484498</v>
      </c>
      <c r="R257" s="43">
        <f t="shared" si="16"/>
        <v>8.0901885016712249E-2</v>
      </c>
    </row>
    <row r="258" spans="1:18">
      <c r="A258" s="1" t="s">
        <v>16</v>
      </c>
      <c r="B258" s="1" t="s">
        <v>419</v>
      </c>
      <c r="C258" s="1" t="s">
        <v>420</v>
      </c>
      <c r="D258" s="44">
        <f>'2016 pax'!Q236</f>
        <v>3209185</v>
      </c>
      <c r="E258" s="30">
        <v>223015</v>
      </c>
      <c r="F258" s="30">
        <v>201807</v>
      </c>
      <c r="G258" s="30">
        <v>257459</v>
      </c>
      <c r="H258" s="30">
        <v>270966</v>
      </c>
      <c r="I258" s="30">
        <v>303133</v>
      </c>
      <c r="J258" s="30">
        <v>321740</v>
      </c>
      <c r="K258" s="30">
        <v>329121</v>
      </c>
      <c r="L258" s="30">
        <v>322455</v>
      </c>
      <c r="M258" s="30">
        <v>271540</v>
      </c>
      <c r="N258" s="30">
        <v>297876</v>
      </c>
      <c r="O258" s="30">
        <v>291037</v>
      </c>
      <c r="P258" s="30">
        <v>290753</v>
      </c>
      <c r="Q258" s="44">
        <f t="shared" si="15"/>
        <v>3380902</v>
      </c>
      <c r="R258" s="43">
        <f t="shared" si="16"/>
        <v>5.3507977882234936E-2</v>
      </c>
    </row>
    <row r="259" spans="1:18">
      <c r="A259" s="1" t="s">
        <v>16</v>
      </c>
      <c r="B259" s="1" t="s">
        <v>357</v>
      </c>
      <c r="C259" s="1" t="s">
        <v>358</v>
      </c>
      <c r="D259" s="44">
        <f>'2016 pax'!Q237</f>
        <v>12070967</v>
      </c>
      <c r="E259" s="30">
        <v>908898</v>
      </c>
      <c r="F259" s="30">
        <v>849866</v>
      </c>
      <c r="G259" s="30">
        <v>1008886</v>
      </c>
      <c r="H259" s="30">
        <v>1061616</v>
      </c>
      <c r="I259" s="30">
        <v>1140821</v>
      </c>
      <c r="J259" s="30">
        <v>1218265</v>
      </c>
      <c r="K259" s="30">
        <v>1235511</v>
      </c>
      <c r="L259" s="30">
        <v>1226648</v>
      </c>
      <c r="M259" s="30">
        <v>1083301</v>
      </c>
      <c r="N259" s="30">
        <v>1140921</v>
      </c>
      <c r="O259" s="30">
        <v>1111124</v>
      </c>
      <c r="P259" s="30">
        <v>1086388</v>
      </c>
      <c r="Q259" s="44">
        <f t="shared" si="15"/>
        <v>13072245</v>
      </c>
      <c r="R259" s="43">
        <f t="shared" si="16"/>
        <v>8.2949278214413225E-2</v>
      </c>
    </row>
    <row r="260" spans="1:18">
      <c r="A260" s="1" t="s">
        <v>16</v>
      </c>
      <c r="B260" s="1" t="s">
        <v>453</v>
      </c>
      <c r="C260" s="1" t="s">
        <v>454</v>
      </c>
      <c r="D260" s="44">
        <f>'2016 pax'!Q238</f>
        <v>3715374</v>
      </c>
      <c r="E260" s="30">
        <v>256092</v>
      </c>
      <c r="F260" s="30">
        <v>248780</v>
      </c>
      <c r="G260" s="30">
        <v>312752</v>
      </c>
      <c r="H260" s="30">
        <v>294115</v>
      </c>
      <c r="I260" s="30">
        <v>350533</v>
      </c>
      <c r="J260" s="30">
        <v>374200</v>
      </c>
      <c r="K260" s="30">
        <v>379137</v>
      </c>
      <c r="L260" s="30">
        <v>339955</v>
      </c>
      <c r="M260" s="30">
        <v>314177</v>
      </c>
      <c r="N260" s="30">
        <v>360066</v>
      </c>
      <c r="O260" s="30">
        <v>355670</v>
      </c>
      <c r="P260" s="30">
        <v>341858</v>
      </c>
      <c r="Q260" s="44">
        <f t="shared" si="15"/>
        <v>3927335</v>
      </c>
      <c r="R260" s="43">
        <f t="shared" si="16"/>
        <v>5.704970751262195E-2</v>
      </c>
    </row>
    <row r="261" spans="1:18">
      <c r="A261" s="1" t="s">
        <v>16</v>
      </c>
      <c r="B261" s="1" t="s">
        <v>412</v>
      </c>
      <c r="C261" s="1" t="s">
        <v>413</v>
      </c>
      <c r="D261" s="44">
        <f>'2016 pax'!Q239</f>
        <v>4349486</v>
      </c>
      <c r="E261" s="30">
        <v>313055</v>
      </c>
      <c r="F261" s="30">
        <v>312177</v>
      </c>
      <c r="G261" s="30">
        <v>405874</v>
      </c>
      <c r="H261" s="30">
        <v>358795</v>
      </c>
      <c r="I261" s="30">
        <v>411407</v>
      </c>
      <c r="J261" s="30">
        <v>445146</v>
      </c>
      <c r="K261" s="30">
        <v>425756</v>
      </c>
      <c r="L261" s="30">
        <v>404221</v>
      </c>
      <c r="M261" s="30">
        <v>368074</v>
      </c>
      <c r="N261" s="30">
        <v>414326</v>
      </c>
      <c r="O261" s="30">
        <v>381882</v>
      </c>
      <c r="P261" s="30">
        <v>371281</v>
      </c>
      <c r="Q261" s="44">
        <f t="shared" si="15"/>
        <v>4611994</v>
      </c>
      <c r="R261" s="43">
        <f t="shared" si="16"/>
        <v>6.0353798126951075E-2</v>
      </c>
    </row>
    <row r="262" spans="1:18">
      <c r="A262" s="1" t="s">
        <v>16</v>
      </c>
      <c r="B262" s="1" t="s">
        <v>38</v>
      </c>
      <c r="C262" s="1" t="s">
        <v>39</v>
      </c>
      <c r="D262" s="44">
        <f>'2016 pax'!Q240</f>
        <v>41923555</v>
      </c>
      <c r="E262" s="30">
        <v>3616303</v>
      </c>
      <c r="F262" s="30">
        <v>3384511</v>
      </c>
      <c r="G262" s="30">
        <v>4073242</v>
      </c>
      <c r="H262" s="30">
        <v>3967974</v>
      </c>
      <c r="I262" s="30">
        <v>3755929</v>
      </c>
      <c r="J262" s="30">
        <v>3763582</v>
      </c>
      <c r="K262" s="30">
        <v>4103646</v>
      </c>
      <c r="L262" s="30">
        <v>3831687</v>
      </c>
      <c r="M262" s="30">
        <v>2697889</v>
      </c>
      <c r="N262" s="30">
        <v>3655171</v>
      </c>
      <c r="O262" s="30">
        <v>3679160</v>
      </c>
      <c r="P262" s="30">
        <v>3982171</v>
      </c>
      <c r="Q262" s="44">
        <f t="shared" si="15"/>
        <v>44511265</v>
      </c>
      <c r="R262" s="43">
        <f t="shared" si="16"/>
        <v>6.1724488774866471E-2</v>
      </c>
    </row>
    <row r="263" spans="1:18">
      <c r="A263" s="1" t="s">
        <v>16</v>
      </c>
      <c r="B263" s="1" t="s">
        <v>441</v>
      </c>
      <c r="C263" s="1" t="s">
        <v>442</v>
      </c>
      <c r="D263" s="44">
        <f>'2016 pax'!Q241</f>
        <v>2752410</v>
      </c>
      <c r="E263" s="30">
        <v>211242</v>
      </c>
      <c r="F263" s="30">
        <v>205982</v>
      </c>
      <c r="G263" s="30">
        <v>274116</v>
      </c>
      <c r="H263" s="30">
        <v>250951</v>
      </c>
      <c r="I263" s="30">
        <v>255282</v>
      </c>
      <c r="J263" s="30">
        <v>296646</v>
      </c>
      <c r="K263" s="30">
        <v>320204</v>
      </c>
      <c r="L263" s="30">
        <v>233840</v>
      </c>
      <c r="M263" s="30">
        <v>140729</v>
      </c>
      <c r="N263" s="30">
        <v>243370</v>
      </c>
      <c r="O263" s="30">
        <v>226485</v>
      </c>
      <c r="P263" s="30">
        <v>263599</v>
      </c>
      <c r="Q263" s="44">
        <f t="shared" si="15"/>
        <v>2922446</v>
      </c>
      <c r="R263" s="43">
        <f t="shared" si="16"/>
        <v>6.1777133493919889E-2</v>
      </c>
    </row>
    <row r="264" spans="1:18">
      <c r="A264" s="1" t="s">
        <v>16</v>
      </c>
      <c r="B264" s="1" t="s">
        <v>400</v>
      </c>
      <c r="C264" s="1" t="s">
        <v>401</v>
      </c>
      <c r="D264" s="44">
        <f>'2016 pax'!Q242</f>
        <v>6264397</v>
      </c>
      <c r="E264" s="30">
        <v>621455</v>
      </c>
      <c r="F264" s="30">
        <v>608309</v>
      </c>
      <c r="G264" s="30">
        <v>750827</v>
      </c>
      <c r="H264" s="30">
        <v>627099</v>
      </c>
      <c r="I264" s="30">
        <v>491405</v>
      </c>
      <c r="J264" s="30">
        <v>431762</v>
      </c>
      <c r="K264" s="30">
        <v>446643</v>
      </c>
      <c r="L264" s="30">
        <v>430867</v>
      </c>
      <c r="M264" s="30">
        <v>312534</v>
      </c>
      <c r="N264" s="30">
        <v>448305</v>
      </c>
      <c r="O264" s="30">
        <v>544753</v>
      </c>
      <c r="P264" s="30">
        <v>608493</v>
      </c>
      <c r="Q264" s="44">
        <f t="shared" si="15"/>
        <v>6322452</v>
      </c>
      <c r="R264" s="43">
        <f t="shared" si="16"/>
        <v>9.2674522384197378E-3</v>
      </c>
    </row>
    <row r="265" spans="1:18">
      <c r="A265" s="1" t="s">
        <v>16</v>
      </c>
      <c r="B265" s="1" t="s">
        <v>455</v>
      </c>
      <c r="C265" s="1" t="s">
        <v>456</v>
      </c>
      <c r="D265" s="44">
        <f>'2016 pax'!Q243</f>
        <v>1998206</v>
      </c>
      <c r="E265" s="30">
        <v>220840</v>
      </c>
      <c r="F265" s="30">
        <v>254157</v>
      </c>
      <c r="G265" s="30">
        <v>314870</v>
      </c>
      <c r="H265" s="30">
        <v>245020</v>
      </c>
      <c r="I265" s="30">
        <v>145170</v>
      </c>
      <c r="J265" s="30">
        <v>87978</v>
      </c>
      <c r="K265" s="30">
        <v>74536</v>
      </c>
      <c r="L265" s="30">
        <v>76752</v>
      </c>
      <c r="M265" s="30">
        <v>94326</v>
      </c>
      <c r="N265" s="30">
        <v>156570</v>
      </c>
      <c r="O265" s="30">
        <v>216546</v>
      </c>
      <c r="P265" s="30">
        <v>213307</v>
      </c>
      <c r="Q265" s="44">
        <f t="shared" si="15"/>
        <v>2100072</v>
      </c>
      <c r="R265" s="43">
        <f t="shared" si="16"/>
        <v>5.0978727918943312E-2</v>
      </c>
    </row>
    <row r="266" spans="1:18" s="42" customFormat="1">
      <c r="A266" s="1" t="s">
        <v>16</v>
      </c>
      <c r="B266" s="1" t="s">
        <v>577</v>
      </c>
      <c r="C266" s="1" t="s">
        <v>578</v>
      </c>
      <c r="D266" s="44">
        <f>'2016 pax'!Q244</f>
        <v>1609065</v>
      </c>
      <c r="E266" s="30">
        <v>106946</v>
      </c>
      <c r="F266" s="30">
        <v>109743</v>
      </c>
      <c r="G266" s="30">
        <v>137235</v>
      </c>
      <c r="H266" s="30">
        <v>138135</v>
      </c>
      <c r="I266" s="30">
        <v>157462</v>
      </c>
      <c r="J266" s="30">
        <v>162618</v>
      </c>
      <c r="K266" s="30">
        <v>175814</v>
      </c>
      <c r="L266" s="30">
        <v>155851</v>
      </c>
      <c r="M266" s="30">
        <v>132576</v>
      </c>
      <c r="N266" s="30">
        <v>149464</v>
      </c>
      <c r="O266" s="30">
        <v>142789</v>
      </c>
      <c r="P266" s="30">
        <v>135499</v>
      </c>
      <c r="Q266" s="44">
        <f t="shared" si="15"/>
        <v>1704132</v>
      </c>
      <c r="R266" s="43">
        <f t="shared" si="16"/>
        <v>5.9082137763235121E-2</v>
      </c>
    </row>
    <row r="267" spans="1:18">
      <c r="A267" s="1" t="s">
        <v>16</v>
      </c>
      <c r="B267" s="1" t="s">
        <v>46</v>
      </c>
      <c r="C267" s="1" t="s">
        <v>47</v>
      </c>
      <c r="D267" s="44">
        <f>'2016 pax'!Q245</f>
        <v>30155090</v>
      </c>
      <c r="E267" s="30">
        <v>2080990</v>
      </c>
      <c r="F267" s="30">
        <v>1905715</v>
      </c>
      <c r="G267" s="30">
        <v>2425281</v>
      </c>
      <c r="H267" s="30">
        <v>2535376</v>
      </c>
      <c r="I267" s="30">
        <v>2653160</v>
      </c>
      <c r="J267" s="30">
        <v>2722769</v>
      </c>
      <c r="K267" s="30">
        <v>2754876</v>
      </c>
      <c r="L267" s="30">
        <v>2776498</v>
      </c>
      <c r="M267" s="30">
        <v>2349683</v>
      </c>
      <c r="N267" s="30">
        <v>2585259</v>
      </c>
      <c r="O267" s="30">
        <v>2407235</v>
      </c>
      <c r="P267" s="30">
        <v>2388912</v>
      </c>
      <c r="Q267" s="44">
        <f t="shared" si="15"/>
        <v>29585754</v>
      </c>
      <c r="R267" s="43">
        <f t="shared" si="16"/>
        <v>-1.8880262005518844E-2</v>
      </c>
    </row>
    <row r="268" spans="1:18">
      <c r="A268" s="1" t="s">
        <v>16</v>
      </c>
      <c r="B268" s="1" t="s">
        <v>32</v>
      </c>
      <c r="C268" s="1" t="s">
        <v>33</v>
      </c>
      <c r="D268" s="44">
        <f>'2016 pax'!Q246</f>
        <v>43383528</v>
      </c>
      <c r="E268" s="30">
        <v>3492291</v>
      </c>
      <c r="F268" s="30">
        <v>3353388</v>
      </c>
      <c r="G268" s="30">
        <v>4281381</v>
      </c>
      <c r="H268" s="30">
        <v>3837155</v>
      </c>
      <c r="I268" s="30">
        <v>3806998</v>
      </c>
      <c r="J268" s="30">
        <v>3754306</v>
      </c>
      <c r="K268" s="30">
        <v>3720599</v>
      </c>
      <c r="L268" s="30">
        <v>3529161</v>
      </c>
      <c r="M268" s="30">
        <v>3151054</v>
      </c>
      <c r="N268" s="30">
        <v>3651669</v>
      </c>
      <c r="O268" s="30">
        <v>3567660</v>
      </c>
      <c r="P268" s="30">
        <v>3721252</v>
      </c>
      <c r="Q268" s="44">
        <f t="shared" si="15"/>
        <v>43866914</v>
      </c>
      <c r="R268" s="43">
        <f t="shared" ref="R268:R295" si="17">SUM(Q268/D268)-1</f>
        <v>1.1142155151605104E-2</v>
      </c>
    </row>
    <row r="269" spans="1:18">
      <c r="A269" s="1" t="s">
        <v>16</v>
      </c>
      <c r="B269" s="1" t="s">
        <v>510</v>
      </c>
      <c r="C269" s="1" t="s">
        <v>511</v>
      </c>
      <c r="D269" s="44">
        <f>'2016 pax'!Q247</f>
        <v>1352738</v>
      </c>
      <c r="E269" s="30">
        <v>107509</v>
      </c>
      <c r="F269" s="30">
        <v>115166</v>
      </c>
      <c r="G269" s="30">
        <v>158936</v>
      </c>
      <c r="H269" s="30">
        <v>117315</v>
      </c>
      <c r="I269" s="30">
        <v>104160</v>
      </c>
      <c r="J269" s="30">
        <v>118881</v>
      </c>
      <c r="K269" s="30">
        <v>121413</v>
      </c>
      <c r="L269" s="30">
        <v>92793</v>
      </c>
      <c r="M269" s="30">
        <v>77687</v>
      </c>
      <c r="N269" s="30">
        <v>107558</v>
      </c>
      <c r="O269" s="30">
        <v>115020</v>
      </c>
      <c r="P269" s="30">
        <v>124928</v>
      </c>
      <c r="Q269" s="44">
        <f t="shared" si="15"/>
        <v>1361366</v>
      </c>
      <c r="R269" s="43">
        <f t="shared" si="17"/>
        <v>6.3781752268361469E-3</v>
      </c>
    </row>
    <row r="270" spans="1:18">
      <c r="A270" s="1" t="s">
        <v>16</v>
      </c>
      <c r="B270" s="1" t="s">
        <v>344</v>
      </c>
      <c r="C270" s="1" t="s">
        <v>345</v>
      </c>
      <c r="D270" s="44">
        <f>'2016 pax'!Q248</f>
        <v>8309754</v>
      </c>
      <c r="E270" s="30">
        <v>588963</v>
      </c>
      <c r="F270" s="30">
        <v>564135</v>
      </c>
      <c r="G270" s="30">
        <v>718077</v>
      </c>
      <c r="H270" s="30">
        <v>720778</v>
      </c>
      <c r="I270" s="30">
        <v>774620</v>
      </c>
      <c r="J270" s="30">
        <v>832781</v>
      </c>
      <c r="K270" s="30">
        <v>860673</v>
      </c>
      <c r="L270" s="30">
        <v>841207</v>
      </c>
      <c r="M270" s="30">
        <v>738369</v>
      </c>
      <c r="N270" s="30">
        <v>826594</v>
      </c>
      <c r="O270" s="30">
        <v>777744</v>
      </c>
      <c r="P270" s="30">
        <v>744075</v>
      </c>
      <c r="Q270" s="44">
        <f t="shared" si="15"/>
        <v>8988016</v>
      </c>
      <c r="R270" s="43">
        <f t="shared" si="17"/>
        <v>8.1622392191152748E-2</v>
      </c>
    </row>
    <row r="271" spans="1:18">
      <c r="A271" s="1" t="s">
        <v>16</v>
      </c>
      <c r="B271" s="1" t="s">
        <v>62</v>
      </c>
      <c r="C271" s="1" t="s">
        <v>63</v>
      </c>
      <c r="D271" s="44">
        <f>'2016 pax'!Q249</f>
        <v>18352767</v>
      </c>
      <c r="E271" s="30">
        <v>1285370</v>
      </c>
      <c r="F271" s="30">
        <v>1214257</v>
      </c>
      <c r="G271" s="30">
        <v>1517328</v>
      </c>
      <c r="H271" s="30">
        <v>1507465</v>
      </c>
      <c r="I271" s="30">
        <v>1605563</v>
      </c>
      <c r="J271" s="30">
        <v>1815384</v>
      </c>
      <c r="K271" s="30">
        <v>1945657</v>
      </c>
      <c r="L271" s="30">
        <v>1916745</v>
      </c>
      <c r="M271" s="30">
        <v>1580287</v>
      </c>
      <c r="N271" s="30">
        <v>1591954</v>
      </c>
      <c r="O271" s="30">
        <v>1528704</v>
      </c>
      <c r="P271" s="30">
        <v>1571640</v>
      </c>
      <c r="Q271" s="44">
        <f t="shared" si="15"/>
        <v>19080354</v>
      </c>
      <c r="R271" s="43">
        <f t="shared" si="17"/>
        <v>3.9644539703468151E-2</v>
      </c>
    </row>
    <row r="272" spans="1:18">
      <c r="A272" s="1" t="s">
        <v>16</v>
      </c>
      <c r="B272" s="1" t="s">
        <v>408</v>
      </c>
      <c r="C272" s="1" t="s">
        <v>409</v>
      </c>
      <c r="D272" s="44">
        <f>'2016 pax'!Q250</f>
        <v>3653029</v>
      </c>
      <c r="E272" s="30">
        <v>250380</v>
      </c>
      <c r="F272" s="30">
        <v>236582</v>
      </c>
      <c r="G272" s="30">
        <v>309485</v>
      </c>
      <c r="H272" s="30">
        <v>320804</v>
      </c>
      <c r="I272" s="30">
        <v>323733</v>
      </c>
      <c r="J272" s="30">
        <v>327916</v>
      </c>
      <c r="K272" s="30">
        <v>360905</v>
      </c>
      <c r="L272" s="30">
        <v>381544</v>
      </c>
      <c r="M272" s="30">
        <v>321282</v>
      </c>
      <c r="N272" s="30">
        <v>384799</v>
      </c>
      <c r="O272" s="30">
        <v>374265</v>
      </c>
      <c r="P272" s="30">
        <v>346252</v>
      </c>
      <c r="Q272" s="44">
        <f t="shared" si="15"/>
        <v>3937947</v>
      </c>
      <c r="R272" s="43">
        <f t="shared" si="17"/>
        <v>7.7995000860929364E-2</v>
      </c>
    </row>
    <row r="273" spans="1:21">
      <c r="A273" s="1" t="s">
        <v>16</v>
      </c>
      <c r="B273" s="1" t="s">
        <v>355</v>
      </c>
      <c r="C273" s="1" t="s">
        <v>356</v>
      </c>
      <c r="D273" s="44">
        <f>'2016 pax'!Q251</f>
        <v>10952787</v>
      </c>
      <c r="E273" s="30">
        <v>775347</v>
      </c>
      <c r="F273" s="30">
        <v>746785</v>
      </c>
      <c r="G273" s="30">
        <v>945687</v>
      </c>
      <c r="H273" s="30">
        <v>970280</v>
      </c>
      <c r="I273" s="30">
        <v>1028313</v>
      </c>
      <c r="J273" s="30">
        <v>1072453</v>
      </c>
      <c r="K273" s="30">
        <v>1069444</v>
      </c>
      <c r="L273" s="30">
        <v>1053502</v>
      </c>
      <c r="M273" s="30">
        <v>920664</v>
      </c>
      <c r="N273" s="30">
        <v>1060865</v>
      </c>
      <c r="O273" s="30">
        <v>1036027</v>
      </c>
      <c r="P273" s="30">
        <v>989556</v>
      </c>
      <c r="Q273" s="44">
        <f t="shared" si="15"/>
        <v>11668923</v>
      </c>
      <c r="R273" s="43">
        <f t="shared" si="17"/>
        <v>6.538390639752234E-2</v>
      </c>
    </row>
    <row r="274" spans="1:21">
      <c r="A274" s="1" t="s">
        <v>16</v>
      </c>
      <c r="B274" s="1" t="s">
        <v>410</v>
      </c>
      <c r="C274" s="1" t="s">
        <v>411</v>
      </c>
      <c r="D274" s="44">
        <f>'2016 pax'!Q252</f>
        <v>3650830</v>
      </c>
      <c r="E274" s="30">
        <v>284553</v>
      </c>
      <c r="F274" s="30">
        <v>286337</v>
      </c>
      <c r="G274" s="30">
        <v>353651</v>
      </c>
      <c r="H274" s="30">
        <v>302078</v>
      </c>
      <c r="I274" s="30">
        <v>317935</v>
      </c>
      <c r="J274" s="30">
        <v>367600</v>
      </c>
      <c r="K274" s="30">
        <v>400754</v>
      </c>
      <c r="L274" s="30">
        <v>393478</v>
      </c>
      <c r="M274" s="30">
        <v>345280</v>
      </c>
      <c r="N274" s="30">
        <v>336433</v>
      </c>
      <c r="O274" s="30">
        <v>292384</v>
      </c>
      <c r="P274" s="30">
        <v>326989</v>
      </c>
      <c r="Q274" s="44">
        <f t="shared" si="15"/>
        <v>4007472</v>
      </c>
      <c r="R274" s="43">
        <f t="shared" si="17"/>
        <v>9.768792302024476E-2</v>
      </c>
    </row>
    <row r="275" spans="1:21">
      <c r="A275" s="1" t="s">
        <v>16</v>
      </c>
      <c r="B275" s="1" t="s">
        <v>425</v>
      </c>
      <c r="C275" s="1" t="s">
        <v>426</v>
      </c>
      <c r="D275" s="44">
        <f>'2016 pax'!Q253</f>
        <v>3559052</v>
      </c>
      <c r="E275" s="30">
        <v>256055</v>
      </c>
      <c r="F275" s="30">
        <v>239058</v>
      </c>
      <c r="G275" s="30">
        <v>298110</v>
      </c>
      <c r="H275" s="30">
        <v>295986</v>
      </c>
      <c r="I275" s="30">
        <v>316245</v>
      </c>
      <c r="J275" s="30">
        <v>333086</v>
      </c>
      <c r="K275" s="30">
        <v>331802</v>
      </c>
      <c r="L275" s="30">
        <v>337518</v>
      </c>
      <c r="M275" s="30">
        <v>298669</v>
      </c>
      <c r="N275" s="30">
        <v>342055</v>
      </c>
      <c r="O275" s="30">
        <v>316622</v>
      </c>
      <c r="P275" s="30">
        <v>292273</v>
      </c>
      <c r="Q275" s="44">
        <f t="shared" si="15"/>
        <v>3657479</v>
      </c>
      <c r="R275" s="43">
        <f t="shared" si="17"/>
        <v>2.7655398122870878E-2</v>
      </c>
    </row>
    <row r="276" spans="1:21">
      <c r="A276" s="1" t="s">
        <v>16</v>
      </c>
      <c r="B276" s="1" t="s">
        <v>519</v>
      </c>
      <c r="C276" s="1" t="s">
        <v>520</v>
      </c>
      <c r="D276" s="44">
        <f>'2016 pax'!Q254</f>
        <v>10118795</v>
      </c>
      <c r="E276" s="30">
        <v>749326</v>
      </c>
      <c r="F276" s="30">
        <v>695553</v>
      </c>
      <c r="G276" s="30">
        <v>862130</v>
      </c>
      <c r="H276" s="30">
        <v>868009</v>
      </c>
      <c r="I276" s="30">
        <v>936623</v>
      </c>
      <c r="J276" s="30">
        <v>984217</v>
      </c>
      <c r="K276" s="30">
        <v>990707</v>
      </c>
      <c r="L276" s="30">
        <v>978851</v>
      </c>
      <c r="M276" s="30">
        <v>936271</v>
      </c>
      <c r="N276" s="30">
        <v>989637</v>
      </c>
      <c r="O276" s="30">
        <v>975665</v>
      </c>
      <c r="P276" s="30">
        <v>945090</v>
      </c>
      <c r="Q276" s="44">
        <f t="shared" si="15"/>
        <v>10912079</v>
      </c>
      <c r="R276" s="43">
        <f t="shared" si="17"/>
        <v>7.8397081865973162E-2</v>
      </c>
    </row>
    <row r="277" spans="1:21">
      <c r="A277" s="1" t="s">
        <v>16</v>
      </c>
      <c r="B277" s="1" t="s">
        <v>54</v>
      </c>
      <c r="C277" s="1" t="s">
        <v>55</v>
      </c>
      <c r="D277" s="44">
        <f>'2016 pax'!Q255</f>
        <v>23155527</v>
      </c>
      <c r="E277" s="30">
        <v>1848979</v>
      </c>
      <c r="F277" s="30">
        <v>1751447</v>
      </c>
      <c r="G277" s="30">
        <v>2143648</v>
      </c>
      <c r="H277" s="30">
        <v>1905091</v>
      </c>
      <c r="I277" s="30">
        <v>2028067</v>
      </c>
      <c r="J277" s="30">
        <v>2173897</v>
      </c>
      <c r="K277" s="30">
        <v>2274954</v>
      </c>
      <c r="L277" s="30">
        <v>2261618</v>
      </c>
      <c r="M277" s="30">
        <v>1973031</v>
      </c>
      <c r="N277" s="30">
        <v>2034726</v>
      </c>
      <c r="O277" s="30">
        <v>1871216</v>
      </c>
      <c r="P277" s="30">
        <v>1932677</v>
      </c>
      <c r="Q277" s="44">
        <f t="shared" si="15"/>
        <v>24199351</v>
      </c>
      <c r="R277" s="43">
        <f t="shared" si="17"/>
        <v>4.5078827184542147E-2</v>
      </c>
    </row>
    <row r="278" spans="1:21">
      <c r="A278" s="1" t="s">
        <v>16</v>
      </c>
      <c r="B278" s="1" t="s">
        <v>396</v>
      </c>
      <c r="C278" s="1" t="s">
        <v>397</v>
      </c>
      <c r="D278" s="44">
        <f>'2016 pax'!Q256</f>
        <v>8618139</v>
      </c>
      <c r="E278" s="30">
        <v>652072</v>
      </c>
      <c r="F278" s="30">
        <v>604440</v>
      </c>
      <c r="G278" s="30">
        <v>766593</v>
      </c>
      <c r="H278" s="30">
        <v>737275</v>
      </c>
      <c r="I278" s="30">
        <v>805961</v>
      </c>
      <c r="J278" s="30">
        <v>805961</v>
      </c>
      <c r="K278" s="30">
        <v>848952</v>
      </c>
      <c r="L278" s="30">
        <v>756360</v>
      </c>
      <c r="M278" s="30">
        <v>687536</v>
      </c>
      <c r="N278" s="30">
        <v>803667</v>
      </c>
      <c r="O278" s="30">
        <v>810495</v>
      </c>
      <c r="P278" s="30">
        <v>784230</v>
      </c>
      <c r="Q278" s="44">
        <f t="shared" si="15"/>
        <v>9063542</v>
      </c>
      <c r="R278" s="43">
        <f t="shared" si="17"/>
        <v>5.168203947511163E-2</v>
      </c>
      <c r="T278" s="48"/>
      <c r="U278" s="48"/>
    </row>
    <row r="279" spans="1:21">
      <c r="A279" s="1" t="s">
        <v>16</v>
      </c>
      <c r="B279" s="1" t="s">
        <v>58</v>
      </c>
      <c r="C279" s="1" t="s">
        <v>59</v>
      </c>
      <c r="D279" s="44">
        <f>'2016 pax'!Q257</f>
        <v>20659532</v>
      </c>
      <c r="E279" s="30">
        <v>1503048</v>
      </c>
      <c r="F279" s="30">
        <v>1426808</v>
      </c>
      <c r="G279" s="30">
        <v>1771816</v>
      </c>
      <c r="H279" s="30">
        <v>1783668</v>
      </c>
      <c r="I279" s="30">
        <v>1879821</v>
      </c>
      <c r="J279" s="30">
        <v>2035419</v>
      </c>
      <c r="K279" s="30">
        <v>2152663</v>
      </c>
      <c r="L279" s="30">
        <v>2115213</v>
      </c>
      <c r="M279" s="30">
        <v>1844656</v>
      </c>
      <c r="N279" s="30">
        <v>1935382</v>
      </c>
      <c r="O279" s="30">
        <v>1870609</v>
      </c>
      <c r="P279" s="30">
        <v>1855664</v>
      </c>
      <c r="Q279" s="44">
        <f t="shared" si="15"/>
        <v>22174767</v>
      </c>
      <c r="R279" s="43">
        <f t="shared" si="17"/>
        <v>7.3343142526171468E-2</v>
      </c>
    </row>
    <row r="280" spans="1:21">
      <c r="A280" s="1" t="s">
        <v>16</v>
      </c>
      <c r="B280" s="1" t="s">
        <v>30</v>
      </c>
      <c r="C280" s="1" t="s">
        <v>31</v>
      </c>
      <c r="D280" s="44">
        <f>'2016 pax'!Q258</f>
        <v>53106505</v>
      </c>
      <c r="E280" s="30">
        <v>3893455</v>
      </c>
      <c r="F280" s="30">
        <v>3481480</v>
      </c>
      <c r="G280" s="30">
        <v>4335634</v>
      </c>
      <c r="H280" s="30">
        <v>4426358</v>
      </c>
      <c r="I280" s="30">
        <v>4699410</v>
      </c>
      <c r="J280" s="30">
        <v>5134738</v>
      </c>
      <c r="K280" s="30">
        <v>5497819</v>
      </c>
      <c r="L280" s="30">
        <v>5518744</v>
      </c>
      <c r="M280" s="30">
        <v>4735251</v>
      </c>
      <c r="N280" s="30">
        <v>4868218</v>
      </c>
      <c r="O280" s="30">
        <v>4573457</v>
      </c>
      <c r="P280" s="30">
        <v>4660693</v>
      </c>
      <c r="Q280" s="44">
        <f t="shared" si="15"/>
        <v>55825257</v>
      </c>
      <c r="R280" s="43">
        <f t="shared" si="17"/>
        <v>5.1194331089948308E-2</v>
      </c>
    </row>
    <row r="281" spans="1:21">
      <c r="A281" s="1" t="s">
        <v>16</v>
      </c>
      <c r="B281" s="1" t="s">
        <v>493</v>
      </c>
      <c r="C281" s="1" t="s">
        <v>494</v>
      </c>
      <c r="D281" s="44">
        <f>'2016 pax'!Q259</f>
        <v>10788552</v>
      </c>
      <c r="E281" s="30">
        <v>848117</v>
      </c>
      <c r="F281" s="30">
        <v>771138</v>
      </c>
      <c r="G281" s="30">
        <v>919901</v>
      </c>
      <c r="H281" s="30">
        <v>999504</v>
      </c>
      <c r="I281" s="30">
        <v>1060412</v>
      </c>
      <c r="J281" s="30">
        <v>1124789</v>
      </c>
      <c r="K281" s="30">
        <v>1164284</v>
      </c>
      <c r="L281" s="30">
        <v>1160756</v>
      </c>
      <c r="M281" s="30">
        <v>1051026</v>
      </c>
      <c r="N281" s="30">
        <v>1133867</v>
      </c>
      <c r="O281" s="30">
        <v>1115025</v>
      </c>
      <c r="P281" s="30">
        <v>1092737</v>
      </c>
      <c r="Q281" s="44">
        <f t="shared" si="15"/>
        <v>12441556</v>
      </c>
      <c r="R281" s="43">
        <f t="shared" si="17"/>
        <v>0.15321833736353119</v>
      </c>
    </row>
    <row r="282" spans="1:21" ht="15.75">
      <c r="A282" s="1" t="s">
        <v>16</v>
      </c>
      <c r="B282" s="1" t="s">
        <v>504</v>
      </c>
      <c r="C282" s="1" t="s">
        <v>492</v>
      </c>
      <c r="D282" s="44">
        <f>'2016 pax'!Q260</f>
        <v>10608258</v>
      </c>
      <c r="E282" s="30">
        <v>793774</v>
      </c>
      <c r="F282" s="30">
        <v>711010</v>
      </c>
      <c r="G282" s="30">
        <v>856025</v>
      </c>
      <c r="H282" s="30">
        <v>851169</v>
      </c>
      <c r="I282" s="30">
        <v>878901</v>
      </c>
      <c r="J282" s="30">
        <v>902059</v>
      </c>
      <c r="K282" s="30">
        <v>919223</v>
      </c>
      <c r="L282" s="30">
        <v>934515</v>
      </c>
      <c r="M282" s="30">
        <v>853545</v>
      </c>
      <c r="N282" s="30">
        <v>930911</v>
      </c>
      <c r="O282" s="30">
        <v>892995</v>
      </c>
      <c r="P282" s="30">
        <v>899451</v>
      </c>
      <c r="Q282" s="44">
        <f t="shared" si="15"/>
        <v>10423578</v>
      </c>
      <c r="R282" s="43">
        <f t="shared" si="17"/>
        <v>-1.7409078851589044E-2</v>
      </c>
    </row>
    <row r="283" spans="1:21">
      <c r="A283" s="1" t="s">
        <v>16</v>
      </c>
      <c r="B283" s="1" t="s">
        <v>541</v>
      </c>
      <c r="C283" s="1" t="s">
        <v>542</v>
      </c>
      <c r="D283" s="44">
        <f>'2016 pax'!Q261</f>
        <v>1186419</v>
      </c>
      <c r="E283" s="30">
        <v>107485</v>
      </c>
      <c r="F283" s="30">
        <v>113474</v>
      </c>
      <c r="G283" s="30">
        <v>156728</v>
      </c>
      <c r="H283" s="30">
        <v>120100</v>
      </c>
      <c r="I283" s="30">
        <v>99277</v>
      </c>
      <c r="J283" s="30">
        <v>80551</v>
      </c>
      <c r="K283" s="30">
        <v>79563</v>
      </c>
      <c r="L283" s="30">
        <v>78256</v>
      </c>
      <c r="M283" s="30">
        <v>60969</v>
      </c>
      <c r="N283" s="30">
        <v>87658</v>
      </c>
      <c r="O283" s="30">
        <v>93482</v>
      </c>
      <c r="P283" s="30">
        <v>103789</v>
      </c>
      <c r="Q283" s="44">
        <f t="shared" si="15"/>
        <v>1181332</v>
      </c>
      <c r="R283" s="43">
        <f t="shared" si="17"/>
        <v>-4.2876926279838967E-3</v>
      </c>
    </row>
    <row r="284" spans="1:21">
      <c r="A284" s="1" t="s">
        <v>16</v>
      </c>
      <c r="B284" s="1" t="s">
        <v>435</v>
      </c>
      <c r="C284" s="1" t="s">
        <v>436</v>
      </c>
      <c r="D284" s="44">
        <f>'2016 pax'!Q262</f>
        <v>2190406</v>
      </c>
      <c r="E284" s="30">
        <v>144331</v>
      </c>
      <c r="F284" s="30">
        <v>150005</v>
      </c>
      <c r="G284" s="30">
        <v>216318</v>
      </c>
      <c r="H284" s="30">
        <v>223402</v>
      </c>
      <c r="I284" s="30">
        <v>236923</v>
      </c>
      <c r="J284" s="30">
        <v>237264</v>
      </c>
      <c r="K284" s="30">
        <v>241235</v>
      </c>
      <c r="L284" s="30">
        <v>226967</v>
      </c>
      <c r="M284" s="30">
        <v>176356</v>
      </c>
      <c r="N284" s="30">
        <v>232378</v>
      </c>
      <c r="O284" s="30">
        <v>206935</v>
      </c>
      <c r="P284" s="30">
        <v>170767</v>
      </c>
      <c r="Q284" s="44">
        <f t="shared" si="15"/>
        <v>2462881</v>
      </c>
      <c r="R284" s="43">
        <f t="shared" si="17"/>
        <v>0.12439474690993357</v>
      </c>
    </row>
    <row r="285" spans="1:21">
      <c r="A285" s="1" t="s">
        <v>16</v>
      </c>
      <c r="B285" s="1" t="s">
        <v>567</v>
      </c>
      <c r="C285" s="1" t="s">
        <v>45</v>
      </c>
      <c r="D285" s="44">
        <f>'2016 pax'!Q263</f>
        <v>45736700</v>
      </c>
      <c r="E285" s="30">
        <v>3315820</v>
      </c>
      <c r="F285" s="30">
        <v>3023113</v>
      </c>
      <c r="G285" s="30">
        <v>3653949</v>
      </c>
      <c r="H285" s="30">
        <v>3729670</v>
      </c>
      <c r="I285" s="30">
        <v>4008352</v>
      </c>
      <c r="J285" s="30">
        <v>4419492</v>
      </c>
      <c r="K285" s="30">
        <v>4746281</v>
      </c>
      <c r="L285" s="30">
        <v>4819352</v>
      </c>
      <c r="M285" s="30">
        <v>4006469</v>
      </c>
      <c r="N285" s="30">
        <v>3841979</v>
      </c>
      <c r="O285" s="30">
        <v>3601206</v>
      </c>
      <c r="P285" s="30">
        <v>3768936</v>
      </c>
      <c r="Q285" s="44">
        <f t="shared" si="15"/>
        <v>46934619</v>
      </c>
      <c r="R285" s="43">
        <f t="shared" si="17"/>
        <v>2.6191636038454869E-2</v>
      </c>
    </row>
    <row r="286" spans="1:21">
      <c r="A286" s="1" t="s">
        <v>16</v>
      </c>
      <c r="B286" s="1" t="s">
        <v>502</v>
      </c>
      <c r="C286" s="1" t="s">
        <v>503</v>
      </c>
      <c r="D286" s="44">
        <f>'2016 pax'!Q264</f>
        <v>3234095</v>
      </c>
      <c r="E286" s="30">
        <v>241898</v>
      </c>
      <c r="F286" s="30">
        <v>236534</v>
      </c>
      <c r="G286" s="30">
        <v>289191</v>
      </c>
      <c r="H286" s="30">
        <v>263463</v>
      </c>
      <c r="I286" s="30">
        <v>280274</v>
      </c>
      <c r="J286" s="30">
        <v>318891</v>
      </c>
      <c r="K286" s="30">
        <v>343599</v>
      </c>
      <c r="L286" s="30">
        <v>356008</v>
      </c>
      <c r="M286" s="30">
        <v>298781</v>
      </c>
      <c r="N286" s="30">
        <v>303464</v>
      </c>
      <c r="O286" s="30">
        <v>304566</v>
      </c>
      <c r="P286" s="30">
        <v>314243</v>
      </c>
      <c r="Q286" s="44">
        <f t="shared" si="15"/>
        <v>3550912</v>
      </c>
      <c r="R286" s="43">
        <f t="shared" si="17"/>
        <v>9.7961562662816082E-2</v>
      </c>
    </row>
    <row r="287" spans="1:21">
      <c r="A287" s="1" t="s">
        <v>16</v>
      </c>
      <c r="B287" s="1" t="s">
        <v>443</v>
      </c>
      <c r="C287" s="1" t="s">
        <v>444</v>
      </c>
      <c r="D287" s="44">
        <f>'2016 pax'!Q265</f>
        <v>952703</v>
      </c>
      <c r="E287" s="30">
        <v>63659</v>
      </c>
      <c r="F287" s="30">
        <v>60677</v>
      </c>
      <c r="G287" s="30">
        <v>78445</v>
      </c>
      <c r="H287" s="30">
        <v>72559</v>
      </c>
      <c r="I287" s="30">
        <v>85432</v>
      </c>
      <c r="J287" s="30">
        <v>97910</v>
      </c>
      <c r="K287" s="30">
        <v>99485</v>
      </c>
      <c r="L287" s="30">
        <v>89504</v>
      </c>
      <c r="M287" s="30">
        <v>82947</v>
      </c>
      <c r="N287" s="30">
        <v>98497</v>
      </c>
      <c r="O287" s="30">
        <v>85092</v>
      </c>
      <c r="P287" s="30">
        <v>78922</v>
      </c>
      <c r="Q287" s="44">
        <f t="shared" si="15"/>
        <v>993129</v>
      </c>
      <c r="R287" s="43">
        <f t="shared" si="17"/>
        <v>4.2432951297518784E-2</v>
      </c>
    </row>
    <row r="288" spans="1:21">
      <c r="A288" s="1" t="s">
        <v>16</v>
      </c>
      <c r="B288" s="1" t="s">
        <v>394</v>
      </c>
      <c r="C288" s="1" t="s">
        <v>395</v>
      </c>
      <c r="D288" s="44">
        <f>'2016 pax'!Q266</f>
        <v>13984240</v>
      </c>
      <c r="E288" s="30">
        <v>1021208</v>
      </c>
      <c r="F288" s="30">
        <v>969977</v>
      </c>
      <c r="G288" s="30">
        <v>1264857</v>
      </c>
      <c r="H288" s="30">
        <v>1216423</v>
      </c>
      <c r="I288" s="30">
        <v>1306094</v>
      </c>
      <c r="J288" s="30">
        <v>1355931</v>
      </c>
      <c r="K288" s="30">
        <v>1379043</v>
      </c>
      <c r="L288" s="30">
        <v>1290697</v>
      </c>
      <c r="M288" s="30">
        <v>1179029</v>
      </c>
      <c r="N288" s="30">
        <v>1307315</v>
      </c>
      <c r="O288" s="30">
        <v>1256770</v>
      </c>
      <c r="P288" s="30">
        <v>1183312</v>
      </c>
      <c r="Q288" s="44">
        <f t="shared" si="15"/>
        <v>14730656</v>
      </c>
      <c r="R288" s="43">
        <f t="shared" si="17"/>
        <v>5.3375514150214798E-2</v>
      </c>
      <c r="T288" s="48"/>
    </row>
    <row r="289" spans="1:20">
      <c r="A289" s="1" t="s">
        <v>16</v>
      </c>
      <c r="B289" s="7" t="s">
        <v>564</v>
      </c>
      <c r="C289" s="7" t="s">
        <v>337</v>
      </c>
      <c r="D289" s="44">
        <f>'2016 pax'!Q267</f>
        <v>272719</v>
      </c>
      <c r="E289" s="30">
        <v>21918</v>
      </c>
      <c r="F289" s="30">
        <v>20202</v>
      </c>
      <c r="G289" s="30">
        <v>23365</v>
      </c>
      <c r="H289" s="30">
        <v>23309</v>
      </c>
      <c r="I289" s="30">
        <v>25491</v>
      </c>
      <c r="J289" s="30">
        <v>30108</v>
      </c>
      <c r="K289" s="30">
        <v>55708</v>
      </c>
      <c r="L289" s="30">
        <v>56621</v>
      </c>
      <c r="M289" s="30">
        <v>45993</v>
      </c>
      <c r="N289" s="30">
        <v>51697</v>
      </c>
      <c r="O289" s="30">
        <v>45124</v>
      </c>
      <c r="P289" s="30">
        <v>46484</v>
      </c>
      <c r="Q289" s="44">
        <f t="shared" si="15"/>
        <v>446020</v>
      </c>
      <c r="R289" s="43">
        <f t="shared" si="17"/>
        <v>0.63545627550702366</v>
      </c>
    </row>
    <row r="290" spans="1:20">
      <c r="A290" s="1" t="s">
        <v>16</v>
      </c>
      <c r="B290" s="1" t="s">
        <v>60</v>
      </c>
      <c r="C290" s="1" t="s">
        <v>61</v>
      </c>
      <c r="D290" s="44">
        <f>'2016 pax'!Q268</f>
        <v>18931778</v>
      </c>
      <c r="E290" s="30">
        <v>1569381</v>
      </c>
      <c r="F290" s="30">
        <v>1537188</v>
      </c>
      <c r="G290" s="30">
        <v>1979244</v>
      </c>
      <c r="H290" s="30">
        <v>1799519</v>
      </c>
      <c r="I290" s="30">
        <v>1668063</v>
      </c>
      <c r="J290" s="30">
        <v>1631089</v>
      </c>
      <c r="K290" s="30">
        <v>1673478</v>
      </c>
      <c r="L290" s="30">
        <v>1530603</v>
      </c>
      <c r="M290" s="30">
        <v>1124325</v>
      </c>
      <c r="N290" s="30">
        <v>1569056</v>
      </c>
      <c r="O290" s="30">
        <v>1708584</v>
      </c>
      <c r="P290" s="30">
        <v>1833754</v>
      </c>
      <c r="Q290" s="44">
        <f t="shared" si="15"/>
        <v>19624284</v>
      </c>
      <c r="R290" s="43">
        <f t="shared" si="17"/>
        <v>3.657902601646823E-2</v>
      </c>
      <c r="T290" s="48"/>
    </row>
    <row r="291" spans="1:20">
      <c r="A291" s="1" t="s">
        <v>16</v>
      </c>
      <c r="B291" s="1" t="s">
        <v>498</v>
      </c>
      <c r="C291" s="1" t="s">
        <v>499</v>
      </c>
      <c r="D291" s="44">
        <f>'2016 pax'!Q269</f>
        <v>3285654</v>
      </c>
      <c r="E291" s="30">
        <v>277818</v>
      </c>
      <c r="F291" s="30">
        <v>279835</v>
      </c>
      <c r="G291" s="30">
        <v>341966</v>
      </c>
      <c r="H291" s="30">
        <v>311177</v>
      </c>
      <c r="I291" s="30">
        <v>291570</v>
      </c>
      <c r="J291" s="30">
        <v>264281</v>
      </c>
      <c r="K291" s="30">
        <v>259871</v>
      </c>
      <c r="L291" s="30">
        <v>251830</v>
      </c>
      <c r="M291" s="30">
        <v>253088</v>
      </c>
      <c r="N291" s="30">
        <v>298706</v>
      </c>
      <c r="O291" s="30">
        <v>303621</v>
      </c>
      <c r="P291" s="30">
        <v>299752</v>
      </c>
      <c r="Q291" s="44">
        <f t="shared" si="15"/>
        <v>3433515</v>
      </c>
      <c r="R291" s="43">
        <f t="shared" si="17"/>
        <v>4.5001999601905762E-2</v>
      </c>
    </row>
    <row r="292" spans="1:20">
      <c r="A292" s="1" t="s">
        <v>16</v>
      </c>
      <c r="B292" s="1" t="s">
        <v>539</v>
      </c>
      <c r="C292" s="1" t="s">
        <v>540</v>
      </c>
      <c r="D292" s="44">
        <f>'2016 pax'!Q270</f>
        <v>2810537</v>
      </c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64"/>
      <c r="R292" s="43"/>
    </row>
    <row r="293" spans="1:20" ht="15.75">
      <c r="A293" s="1" t="s">
        <v>16</v>
      </c>
      <c r="B293" s="1" t="s">
        <v>392</v>
      </c>
      <c r="C293" s="1" t="s">
        <v>50</v>
      </c>
      <c r="D293" s="44">
        <f>'2016 pax'!Q271</f>
        <v>21859785</v>
      </c>
      <c r="E293" s="30">
        <v>1584993</v>
      </c>
      <c r="F293" s="30">
        <v>1324849</v>
      </c>
      <c r="G293" s="30">
        <v>1724518</v>
      </c>
      <c r="H293" s="30">
        <v>1899646</v>
      </c>
      <c r="I293" s="30">
        <v>2025904</v>
      </c>
      <c r="J293" s="30">
        <v>2188501</v>
      </c>
      <c r="K293" s="30">
        <v>2283252</v>
      </c>
      <c r="L293" s="30">
        <v>2249132</v>
      </c>
      <c r="M293" s="30">
        <v>1871199</v>
      </c>
      <c r="N293" s="30">
        <v>2006411</v>
      </c>
      <c r="O293" s="30">
        <v>1794742</v>
      </c>
      <c r="P293" s="30">
        <v>1837445</v>
      </c>
      <c r="Q293" s="44">
        <f t="shared" si="15"/>
        <v>22790592</v>
      </c>
      <c r="R293" s="43">
        <f t="shared" si="17"/>
        <v>4.2580793909912762E-2</v>
      </c>
    </row>
    <row r="294" spans="1:20" ht="15.75">
      <c r="A294" s="1" t="s">
        <v>16</v>
      </c>
      <c r="B294" s="1" t="s">
        <v>393</v>
      </c>
      <c r="C294" s="1" t="s">
        <v>56</v>
      </c>
      <c r="D294" s="44">
        <f>'2016 pax'!Q272</f>
        <v>23564179</v>
      </c>
      <c r="E294" s="30">
        <v>1780681</v>
      </c>
      <c r="F294" s="30">
        <v>1681224</v>
      </c>
      <c r="G294" s="30">
        <v>2089178</v>
      </c>
      <c r="H294" s="30">
        <v>2059673</v>
      </c>
      <c r="I294" s="30">
        <v>2148557</v>
      </c>
      <c r="J294" s="30">
        <v>2121823</v>
      </c>
      <c r="K294" s="30">
        <v>2091593</v>
      </c>
      <c r="L294" s="30">
        <v>2100935</v>
      </c>
      <c r="M294" s="30">
        <v>1919867</v>
      </c>
      <c r="N294" s="30">
        <v>2158362</v>
      </c>
      <c r="O294" s="30">
        <v>2004926</v>
      </c>
      <c r="P294" s="30">
        <v>1841853</v>
      </c>
      <c r="Q294" s="44">
        <f>SUM(E294:P294)</f>
        <v>23998672</v>
      </c>
      <c r="R294" s="43">
        <f t="shared" si="17"/>
        <v>1.8438707327762094E-2</v>
      </c>
    </row>
    <row r="295" spans="1:20">
      <c r="A295" s="1" t="s">
        <v>16</v>
      </c>
      <c r="B295" s="1" t="s">
        <v>526</v>
      </c>
      <c r="C295" s="1" t="s">
        <v>527</v>
      </c>
      <c r="D295" s="44">
        <f>'2016 pax'!Q273</f>
        <v>1602391</v>
      </c>
      <c r="E295" s="30">
        <v>112464</v>
      </c>
      <c r="F295" s="30">
        <v>104006</v>
      </c>
      <c r="G295" s="30">
        <v>132577</v>
      </c>
      <c r="H295" s="30">
        <v>122435</v>
      </c>
      <c r="I295" s="30">
        <v>152316</v>
      </c>
      <c r="J295" s="30">
        <v>156607</v>
      </c>
      <c r="K295" s="30">
        <v>155365</v>
      </c>
      <c r="L295" s="30">
        <v>141138</v>
      </c>
      <c r="M295" s="30">
        <v>128690</v>
      </c>
      <c r="N295" s="30">
        <v>143994</v>
      </c>
      <c r="O295" s="30">
        <v>138401</v>
      </c>
      <c r="P295" s="30">
        <v>132273</v>
      </c>
      <c r="Q295" s="44">
        <f t="shared" si="15"/>
        <v>1620266</v>
      </c>
      <c r="R295" s="43">
        <f t="shared" si="17"/>
        <v>1.1155204940616947E-2</v>
      </c>
    </row>
    <row r="298" spans="1:20"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73"/>
  <sheetViews>
    <sheetView zoomScaleNormal="100" workbookViewId="0">
      <pane ySplit="1" topLeftCell="A266" activePane="bottomLeft" state="frozen"/>
      <selection pane="bottomLeft" sqref="A1:IV65536"/>
    </sheetView>
  </sheetViews>
  <sheetFormatPr defaultRowHeight="15"/>
  <cols>
    <col min="1" max="1" width="27" customWidth="1"/>
    <col min="2" max="2" width="49.85546875" customWidth="1"/>
    <col min="4" max="4" width="14.28515625" customWidth="1"/>
    <col min="5" max="9" width="10" customWidth="1"/>
    <col min="10" max="10" width="10.140625" customWidth="1"/>
    <col min="11" max="16" width="10" customWidth="1"/>
    <col min="17" max="17" width="20.28515625" customWidth="1"/>
    <col min="18" max="18" width="12.7109375" bestFit="1" customWidth="1"/>
    <col min="19" max="19" width="11.85546875" customWidth="1"/>
    <col min="20" max="20" width="13.42578125" customWidth="1"/>
  </cols>
  <sheetData>
    <row r="1" spans="1:18">
      <c r="A1" s="4" t="s">
        <v>0</v>
      </c>
      <c r="B1" s="4" t="s">
        <v>1</v>
      </c>
      <c r="C1" s="4" t="s">
        <v>2</v>
      </c>
      <c r="D1" s="8" t="s">
        <v>545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8" t="s">
        <v>563</v>
      </c>
      <c r="R1" s="16" t="s">
        <v>339</v>
      </c>
    </row>
    <row r="2" spans="1:18" s="29" customFormat="1">
      <c r="A2" s="1" t="s">
        <v>629</v>
      </c>
      <c r="B2" s="1" t="s">
        <v>631</v>
      </c>
      <c r="C2" s="1" t="s">
        <v>630</v>
      </c>
      <c r="D2" s="44">
        <f>'2015 pax'!Q2</f>
        <v>1966789</v>
      </c>
      <c r="E2" s="22">
        <v>232300</v>
      </c>
      <c r="F2" s="22">
        <v>207966</v>
      </c>
      <c r="G2" s="22">
        <v>204699</v>
      </c>
      <c r="H2" s="22">
        <v>149369</v>
      </c>
      <c r="I2" s="22">
        <v>140525</v>
      </c>
      <c r="J2" s="22">
        <v>136327</v>
      </c>
      <c r="K2" s="22">
        <v>168526</v>
      </c>
      <c r="L2" s="22">
        <v>165326</v>
      </c>
      <c r="M2" s="22">
        <v>123556</v>
      </c>
      <c r="N2" s="22">
        <v>134707</v>
      </c>
      <c r="O2" s="22">
        <v>192628</v>
      </c>
      <c r="P2" s="22">
        <v>230640</v>
      </c>
      <c r="Q2" s="44">
        <f t="shared" ref="Q2:Q9" si="0">SUM(E2:P2)</f>
        <v>2086569</v>
      </c>
      <c r="R2" s="62">
        <f>SUM(Q2/'2015 pax'!Q2)-1</f>
        <v>6.0901296478676592E-2</v>
      </c>
    </row>
    <row r="3" spans="1:18">
      <c r="A3" s="1" t="s">
        <v>137</v>
      </c>
      <c r="B3" s="1" t="s">
        <v>138</v>
      </c>
      <c r="C3" s="1" t="s">
        <v>139</v>
      </c>
      <c r="D3" s="44">
        <f>'2015 pax'!Q3</f>
        <v>1280006</v>
      </c>
      <c r="E3" s="30">
        <v>143204</v>
      </c>
      <c r="F3" s="30">
        <v>102299</v>
      </c>
      <c r="G3" s="30">
        <v>95999</v>
      </c>
      <c r="H3" s="30">
        <v>85852</v>
      </c>
      <c r="I3" s="30">
        <v>95935</v>
      </c>
      <c r="J3" s="30">
        <v>96699</v>
      </c>
      <c r="K3" s="30">
        <v>111014</v>
      </c>
      <c r="L3" s="30">
        <v>93766</v>
      </c>
      <c r="M3" s="30">
        <v>89163</v>
      </c>
      <c r="N3" s="30">
        <v>95947</v>
      </c>
      <c r="O3" s="30">
        <v>98083</v>
      </c>
      <c r="P3" s="30">
        <v>116289</v>
      </c>
      <c r="Q3" s="44">
        <f t="shared" si="0"/>
        <v>1224250</v>
      </c>
      <c r="R3" s="62">
        <f>SUM(Q3/'2015 pax'!Q3)-1</f>
        <v>-4.3559170816386827E-2</v>
      </c>
    </row>
    <row r="4" spans="1:18">
      <c r="A4" s="1" t="s">
        <v>137</v>
      </c>
      <c r="B4" s="1" t="s">
        <v>172</v>
      </c>
      <c r="C4" s="1" t="s">
        <v>173</v>
      </c>
      <c r="D4" s="44">
        <f>'2015 pax'!Q4</f>
        <v>3710100</v>
      </c>
      <c r="E4" s="30">
        <v>319129</v>
      </c>
      <c r="F4" s="30">
        <v>240666</v>
      </c>
      <c r="G4" s="30">
        <v>242144</v>
      </c>
      <c r="H4" s="30">
        <v>225417</v>
      </c>
      <c r="I4" s="30">
        <v>253964</v>
      </c>
      <c r="J4" s="30">
        <v>266177</v>
      </c>
      <c r="K4" s="30">
        <v>297903</v>
      </c>
      <c r="L4" s="30">
        <v>271490</v>
      </c>
      <c r="M4" s="30">
        <v>258667</v>
      </c>
      <c r="N4" s="30">
        <v>276701</v>
      </c>
      <c r="O4" s="30">
        <v>289121</v>
      </c>
      <c r="P4" s="30">
        <v>335339</v>
      </c>
      <c r="Q4" s="44">
        <f t="shared" si="0"/>
        <v>3276718</v>
      </c>
      <c r="R4" s="62">
        <f>SUM(Q4/'2015 pax'!Q4)-1</f>
        <v>-0.11681140670062806</v>
      </c>
    </row>
    <row r="5" spans="1:18">
      <c r="A5" s="1" t="s">
        <v>137</v>
      </c>
      <c r="B5" s="1" t="s">
        <v>184</v>
      </c>
      <c r="C5" s="1" t="s">
        <v>185</v>
      </c>
      <c r="D5" s="44">
        <f>'2015 pax'!Q5</f>
        <v>333712</v>
      </c>
      <c r="E5" s="30">
        <v>30564</v>
      </c>
      <c r="F5" s="30">
        <v>23294</v>
      </c>
      <c r="G5" s="30">
        <v>24182</v>
      </c>
      <c r="H5" s="30">
        <v>22232</v>
      </c>
      <c r="I5" s="30">
        <v>19976</v>
      </c>
      <c r="J5" s="30">
        <v>19745</v>
      </c>
      <c r="K5" s="30">
        <v>19118</v>
      </c>
      <c r="L5" s="30">
        <v>14696</v>
      </c>
      <c r="M5" s="30">
        <v>16139</v>
      </c>
      <c r="N5" s="30">
        <v>24877</v>
      </c>
      <c r="O5" s="30">
        <v>26615</v>
      </c>
      <c r="P5" s="30">
        <v>27215</v>
      </c>
      <c r="Q5" s="44">
        <f t="shared" si="0"/>
        <v>268653</v>
      </c>
      <c r="R5" s="62">
        <f>SUM(Q5/'2015 pax'!Q5)-1</f>
        <v>-0.19495553051733228</v>
      </c>
    </row>
    <row r="6" spans="1:18">
      <c r="A6" s="1" t="s">
        <v>137</v>
      </c>
      <c r="B6" s="1" t="s">
        <v>146</v>
      </c>
      <c r="C6" s="1" t="s">
        <v>147</v>
      </c>
      <c r="D6" s="44">
        <f>'2015 pax'!Q6</f>
        <v>17716601</v>
      </c>
      <c r="E6" s="30">
        <v>1865344</v>
      </c>
      <c r="F6" s="30">
        <v>1465409</v>
      </c>
      <c r="G6" s="30">
        <v>1486614</v>
      </c>
      <c r="H6" s="30">
        <v>1424576</v>
      </c>
      <c r="I6" s="30">
        <v>1459745</v>
      </c>
      <c r="J6" s="30">
        <v>1437283</v>
      </c>
      <c r="K6" s="30">
        <v>1651307</v>
      </c>
      <c r="L6" s="30">
        <v>1483206</v>
      </c>
      <c r="M6" s="30">
        <v>1382595</v>
      </c>
      <c r="N6" s="30">
        <v>1402282</v>
      </c>
      <c r="O6" s="30">
        <v>1405747</v>
      </c>
      <c r="P6" s="30">
        <v>1483045</v>
      </c>
      <c r="Q6" s="44">
        <f t="shared" si="0"/>
        <v>17947153</v>
      </c>
      <c r="R6" s="62">
        <f>SUM(Q6/'2015 pax'!Q6)-1</f>
        <v>1.3013331394662098E-2</v>
      </c>
    </row>
    <row r="7" spans="1:18">
      <c r="A7" s="1" t="s">
        <v>137</v>
      </c>
      <c r="B7" s="1" t="s">
        <v>162</v>
      </c>
      <c r="C7" s="1" t="s">
        <v>163</v>
      </c>
      <c r="D7" s="44">
        <f>'2015 pax'!Q7</f>
        <v>117146</v>
      </c>
      <c r="E7" s="30">
        <v>12900</v>
      </c>
      <c r="F7" s="30">
        <v>10069</v>
      </c>
      <c r="G7" s="30">
        <v>7949</v>
      </c>
      <c r="H7" s="30">
        <v>9885</v>
      </c>
      <c r="I7" s="30">
        <v>9700</v>
      </c>
      <c r="J7" s="30">
        <v>13531</v>
      </c>
      <c r="K7" s="30">
        <v>11981</v>
      </c>
      <c r="L7" s="30">
        <v>10698</v>
      </c>
      <c r="M7" s="30">
        <v>9666</v>
      </c>
      <c r="N7" s="30">
        <v>10189</v>
      </c>
      <c r="O7" s="30">
        <v>9281</v>
      </c>
      <c r="P7" s="30">
        <v>12300</v>
      </c>
      <c r="Q7" s="44">
        <f t="shared" si="0"/>
        <v>128149</v>
      </c>
      <c r="R7" s="62">
        <f>SUM(Q7/'2015 pax'!Q7)-1</f>
        <v>9.392552882727534E-2</v>
      </c>
    </row>
    <row r="8" spans="1:18">
      <c r="A8" s="1" t="s">
        <v>137</v>
      </c>
      <c r="B8" s="3" t="s">
        <v>214</v>
      </c>
      <c r="C8" s="3" t="s">
        <v>215</v>
      </c>
      <c r="D8" s="44">
        <f>'2015 pax'!Q8</f>
        <v>8667441</v>
      </c>
      <c r="E8" s="30">
        <v>902979</v>
      </c>
      <c r="F8" s="30">
        <v>723667</v>
      </c>
      <c r="G8" s="30">
        <v>775091</v>
      </c>
      <c r="H8" s="30">
        <v>710743</v>
      </c>
      <c r="I8" s="30">
        <v>719958</v>
      </c>
      <c r="J8" s="30">
        <v>706514</v>
      </c>
      <c r="K8" s="30">
        <v>823973</v>
      </c>
      <c r="L8" s="30">
        <v>800409</v>
      </c>
      <c r="M8" s="30">
        <v>755122</v>
      </c>
      <c r="N8" s="30">
        <v>774710</v>
      </c>
      <c r="O8" s="30">
        <v>778368</v>
      </c>
      <c r="P8" s="30">
        <v>853718</v>
      </c>
      <c r="Q8" s="44">
        <f t="shared" si="0"/>
        <v>9325252</v>
      </c>
      <c r="R8" s="62">
        <f>SUM(Q8/'2015 pax'!Q8)-1</f>
        <v>7.5894488350137124E-2</v>
      </c>
    </row>
    <row r="9" spans="1:18">
      <c r="A9" s="1" t="s">
        <v>137</v>
      </c>
      <c r="B9" s="3" t="s">
        <v>216</v>
      </c>
      <c r="C9" s="3" t="s">
        <v>217</v>
      </c>
      <c r="D9" s="44">
        <f>'2015 pax'!Q9</f>
        <v>151540</v>
      </c>
      <c r="E9" s="30">
        <v>10891</v>
      </c>
      <c r="F9" s="30">
        <v>11361</v>
      </c>
      <c r="G9" s="30">
        <v>11934</v>
      </c>
      <c r="H9" s="30">
        <v>12429</v>
      </c>
      <c r="I9" s="30">
        <v>10177</v>
      </c>
      <c r="J9" s="30">
        <v>10710</v>
      </c>
      <c r="K9" s="30">
        <v>11306</v>
      </c>
      <c r="L9" s="30">
        <v>8955</v>
      </c>
      <c r="M9" s="30">
        <v>8963</v>
      </c>
      <c r="N9" s="30">
        <v>9654</v>
      </c>
      <c r="O9" s="30">
        <v>9303</v>
      </c>
      <c r="P9" s="30">
        <v>9647</v>
      </c>
      <c r="Q9" s="44">
        <f t="shared" si="0"/>
        <v>125330</v>
      </c>
      <c r="R9" s="62">
        <f>SUM(Q9/'2015 pax'!Q9)-1</f>
        <v>-0.17295763494786853</v>
      </c>
    </row>
    <row r="10" spans="1:18">
      <c r="A10" s="1" t="s">
        <v>137</v>
      </c>
      <c r="B10" s="1" t="s">
        <v>148</v>
      </c>
      <c r="C10" s="1" t="s">
        <v>149</v>
      </c>
      <c r="D10" s="44">
        <f>'2015 pax'!Q10</f>
        <v>1547311</v>
      </c>
      <c r="E10" s="30">
        <v>137864</v>
      </c>
      <c r="F10" s="30">
        <v>105161</v>
      </c>
      <c r="G10" s="30">
        <v>114544</v>
      </c>
      <c r="H10" s="30">
        <v>111364</v>
      </c>
      <c r="I10" s="30">
        <v>117973</v>
      </c>
      <c r="J10" s="30">
        <v>115877</v>
      </c>
      <c r="K10" s="30">
        <v>133302</v>
      </c>
      <c r="L10" s="30">
        <v>125916</v>
      </c>
      <c r="M10" s="30">
        <v>120264</v>
      </c>
      <c r="N10" s="30">
        <v>128610</v>
      </c>
      <c r="O10" s="30">
        <v>119544</v>
      </c>
      <c r="P10" s="30">
        <v>126461</v>
      </c>
      <c r="Q10" s="44">
        <f t="shared" ref="Q10:Q52" si="1">SUM(E10:P10)</f>
        <v>1456880</v>
      </c>
      <c r="R10" s="62">
        <f>SUM(Q10/'2015 pax'!Q10)-1</f>
        <v>-5.8443971509282933E-2</v>
      </c>
    </row>
    <row r="11" spans="1:18">
      <c r="A11" s="1" t="s">
        <v>137</v>
      </c>
      <c r="B11" s="7" t="s">
        <v>204</v>
      </c>
      <c r="C11" s="7" t="s">
        <v>205</v>
      </c>
      <c r="D11" s="44">
        <f>'2015 pax'!Q11</f>
        <v>10326838</v>
      </c>
      <c r="E11" s="30">
        <v>1017372</v>
      </c>
      <c r="F11" s="30">
        <v>810646</v>
      </c>
      <c r="G11" s="30">
        <v>796408</v>
      </c>
      <c r="H11" s="30">
        <v>754867</v>
      </c>
      <c r="I11" s="30">
        <v>734495</v>
      </c>
      <c r="J11" s="30">
        <v>722650</v>
      </c>
      <c r="K11" s="30">
        <v>858028</v>
      </c>
      <c r="L11" s="30">
        <v>779770</v>
      </c>
      <c r="M11" s="30">
        <v>757701</v>
      </c>
      <c r="N11" s="30">
        <v>786698</v>
      </c>
      <c r="O11" s="30">
        <v>770629</v>
      </c>
      <c r="P11" s="30">
        <v>848696</v>
      </c>
      <c r="Q11" s="44">
        <f t="shared" si="1"/>
        <v>9637960</v>
      </c>
      <c r="R11" s="62">
        <f>SUM(Q11/'2015 pax'!Q11)-1</f>
        <v>-6.6707543974254269E-2</v>
      </c>
    </row>
    <row r="12" spans="1:18">
      <c r="A12" s="1" t="s">
        <v>137</v>
      </c>
      <c r="B12" s="3" t="s">
        <v>220</v>
      </c>
      <c r="C12" s="3" t="s">
        <v>221</v>
      </c>
      <c r="D12" s="44">
        <f>'2015 pax'!Q12</f>
        <v>19229818</v>
      </c>
      <c r="E12" s="30">
        <v>1707206</v>
      </c>
      <c r="F12" s="30">
        <v>1494953</v>
      </c>
      <c r="G12" s="30">
        <v>1629125</v>
      </c>
      <c r="H12" s="30">
        <v>1623709</v>
      </c>
      <c r="I12" s="30">
        <v>1737405</v>
      </c>
      <c r="J12" s="30">
        <v>1622311</v>
      </c>
      <c r="K12" s="30">
        <v>1926705</v>
      </c>
      <c r="L12" s="30">
        <v>1826945</v>
      </c>
      <c r="M12" s="30">
        <v>1706728</v>
      </c>
      <c r="N12" s="30">
        <v>1787988</v>
      </c>
      <c r="O12" s="30">
        <v>1799167</v>
      </c>
      <c r="P12" s="30">
        <v>1910967</v>
      </c>
      <c r="Q12" s="44">
        <f t="shared" si="1"/>
        <v>20773209</v>
      </c>
      <c r="R12" s="62">
        <f>SUM(Q12/'2015 pax'!Q12)-1</f>
        <v>8.0260301995577876E-2</v>
      </c>
    </row>
    <row r="13" spans="1:18">
      <c r="A13" s="1" t="s">
        <v>137</v>
      </c>
      <c r="B13" s="1" t="s">
        <v>186</v>
      </c>
      <c r="C13" s="1" t="s">
        <v>187</v>
      </c>
      <c r="D13" s="44">
        <f>'2015 pax'!Q13</f>
        <v>77201</v>
      </c>
      <c r="E13" s="30">
        <v>7411</v>
      </c>
      <c r="F13" s="30">
        <v>5623</v>
      </c>
      <c r="G13" s="30">
        <v>5724</v>
      </c>
      <c r="H13" s="30">
        <v>5984</v>
      </c>
      <c r="I13" s="30">
        <v>7008</v>
      </c>
      <c r="J13" s="30">
        <v>6722</v>
      </c>
      <c r="K13" s="30">
        <v>7114</v>
      </c>
      <c r="L13" s="30">
        <v>7443</v>
      </c>
      <c r="M13" s="30">
        <v>6275</v>
      </c>
      <c r="N13" s="30">
        <v>6242</v>
      </c>
      <c r="O13" s="30">
        <v>6007</v>
      </c>
      <c r="P13" s="30">
        <v>8528</v>
      </c>
      <c r="Q13" s="44">
        <f t="shared" si="1"/>
        <v>80081</v>
      </c>
      <c r="R13" s="62">
        <f>SUM(Q13/'2015 pax'!Q13)-1</f>
        <v>3.7305216253675555E-2</v>
      </c>
    </row>
    <row r="14" spans="1:18">
      <c r="A14" s="1" t="s">
        <v>137</v>
      </c>
      <c r="B14" s="1" t="s">
        <v>150</v>
      </c>
      <c r="C14" s="1" t="s">
        <v>151</v>
      </c>
      <c r="D14" s="44">
        <f>'2015 pax'!Q14</f>
        <v>3303814</v>
      </c>
      <c r="E14" s="30">
        <v>280289</v>
      </c>
      <c r="F14" s="30">
        <v>212786</v>
      </c>
      <c r="G14" s="30">
        <v>222860</v>
      </c>
      <c r="H14" s="30">
        <v>223813</v>
      </c>
      <c r="I14" s="30">
        <v>233544</v>
      </c>
      <c r="J14" s="30">
        <v>226184</v>
      </c>
      <c r="K14" s="30">
        <v>256330</v>
      </c>
      <c r="L14" s="30">
        <v>242138</v>
      </c>
      <c r="M14" s="30">
        <v>222102</v>
      </c>
      <c r="N14" s="30">
        <v>230613</v>
      </c>
      <c r="O14" s="30">
        <v>234972</v>
      </c>
      <c r="P14" s="30">
        <v>253038</v>
      </c>
      <c r="Q14" s="44">
        <f t="shared" si="1"/>
        <v>2838669</v>
      </c>
      <c r="R14" s="62">
        <f>SUM(Q14/'2015 pax'!Q14)-1</f>
        <v>-0.14079031083468985</v>
      </c>
    </row>
    <row r="15" spans="1:18">
      <c r="A15" s="1" t="s">
        <v>137</v>
      </c>
      <c r="B15" s="3" t="s">
        <v>222</v>
      </c>
      <c r="C15" s="3" t="s">
        <v>223</v>
      </c>
      <c r="D15" s="44">
        <f>'2015 pax'!Q15</f>
        <v>7273323</v>
      </c>
      <c r="E15" s="30">
        <v>564582</v>
      </c>
      <c r="F15" s="30">
        <v>498844</v>
      </c>
      <c r="G15" s="30">
        <v>538913</v>
      </c>
      <c r="H15" s="30">
        <v>507795</v>
      </c>
      <c r="I15" s="30">
        <v>514481</v>
      </c>
      <c r="J15" s="30">
        <v>477120</v>
      </c>
      <c r="K15" s="30">
        <v>573384</v>
      </c>
      <c r="L15" s="30">
        <v>523010</v>
      </c>
      <c r="M15" s="30">
        <v>534388</v>
      </c>
      <c r="N15" s="30">
        <v>536966</v>
      </c>
      <c r="O15" s="30">
        <v>536934</v>
      </c>
      <c r="P15" s="30">
        <v>578931</v>
      </c>
      <c r="Q15" s="44">
        <f t="shared" si="1"/>
        <v>6385348</v>
      </c>
      <c r="R15" s="62">
        <f>SUM(Q15/'2015 pax'!Q15)-1</f>
        <v>-0.12208656208448321</v>
      </c>
    </row>
    <row r="16" spans="1:18">
      <c r="A16" s="1" t="s">
        <v>137</v>
      </c>
      <c r="B16" s="3" t="s">
        <v>226</v>
      </c>
      <c r="C16" s="3" t="s">
        <v>227</v>
      </c>
      <c r="D16" s="44">
        <f>'2015 pax'!Q16</f>
        <v>3651627</v>
      </c>
      <c r="E16" s="30">
        <v>381687</v>
      </c>
      <c r="F16" s="30">
        <v>311897</v>
      </c>
      <c r="G16" s="30">
        <v>305332</v>
      </c>
      <c r="H16" s="30">
        <v>280818</v>
      </c>
      <c r="I16" s="30">
        <v>265442</v>
      </c>
      <c r="J16" s="30">
        <v>231548</v>
      </c>
      <c r="K16" s="30">
        <v>296555</v>
      </c>
      <c r="L16" s="30">
        <v>273161</v>
      </c>
      <c r="M16" s="30">
        <v>262706</v>
      </c>
      <c r="N16" s="30">
        <v>283282</v>
      </c>
      <c r="O16" s="30">
        <v>295798</v>
      </c>
      <c r="P16" s="30">
        <v>343806</v>
      </c>
      <c r="Q16" s="44">
        <f t="shared" si="1"/>
        <v>3532032</v>
      </c>
      <c r="R16" s="62">
        <f>SUM(Q16/'2015 pax'!Q16)-1</f>
        <v>-3.2751154485384237E-2</v>
      </c>
    </row>
    <row r="17" spans="1:18">
      <c r="A17" s="1" t="s">
        <v>137</v>
      </c>
      <c r="B17" s="1" t="s">
        <v>156</v>
      </c>
      <c r="C17" s="1" t="s">
        <v>157</v>
      </c>
      <c r="D17" s="44">
        <f>'2015 pax'!Q17</f>
        <v>6334444</v>
      </c>
      <c r="E17" s="30">
        <v>650353</v>
      </c>
      <c r="F17" s="30">
        <v>476673</v>
      </c>
      <c r="G17" s="30">
        <v>451008</v>
      </c>
      <c r="H17" s="30">
        <v>418500</v>
      </c>
      <c r="I17" s="30">
        <v>413848</v>
      </c>
      <c r="J17" s="30">
        <v>416932</v>
      </c>
      <c r="K17" s="30">
        <v>548521</v>
      </c>
      <c r="L17" s="30">
        <v>445030</v>
      </c>
      <c r="M17" s="30">
        <v>431529</v>
      </c>
      <c r="N17" s="30">
        <v>450510</v>
      </c>
      <c r="O17" s="30">
        <v>444056</v>
      </c>
      <c r="P17" s="30">
        <v>548546</v>
      </c>
      <c r="Q17" s="44">
        <f t="shared" si="1"/>
        <v>5695506</v>
      </c>
      <c r="R17" s="62">
        <f>SUM(Q17/'2015 pax'!Q17)-1</f>
        <v>-0.10086725843657307</v>
      </c>
    </row>
    <row r="18" spans="1:18">
      <c r="A18" s="1" t="s">
        <v>137</v>
      </c>
      <c r="B18" s="3" t="s">
        <v>224</v>
      </c>
      <c r="C18" s="3" t="s">
        <v>225</v>
      </c>
      <c r="D18" s="44">
        <f>'2015 pax'!Q18</f>
        <v>2055674</v>
      </c>
      <c r="E18" s="30">
        <v>195087</v>
      </c>
      <c r="F18" s="30">
        <v>164094</v>
      </c>
      <c r="G18" s="30">
        <v>157967</v>
      </c>
      <c r="H18" s="30">
        <v>137448</v>
      </c>
      <c r="I18" s="30">
        <v>139643</v>
      </c>
      <c r="J18" s="30">
        <v>125260</v>
      </c>
      <c r="K18" s="30">
        <v>160259</v>
      </c>
      <c r="L18" s="30">
        <v>149293</v>
      </c>
      <c r="M18" s="30">
        <v>147220</v>
      </c>
      <c r="N18" s="30">
        <v>156980</v>
      </c>
      <c r="O18" s="30">
        <v>148602</v>
      </c>
      <c r="P18" s="30">
        <v>169480</v>
      </c>
      <c r="Q18" s="44">
        <f t="shared" si="1"/>
        <v>1851333</v>
      </c>
      <c r="R18" s="62">
        <f>SUM(Q18/'2015 pax'!Q18)-1</f>
        <v>-9.9403407349608952E-2</v>
      </c>
    </row>
    <row r="19" spans="1:18">
      <c r="A19" s="1" t="s">
        <v>137</v>
      </c>
      <c r="B19" s="7" t="s">
        <v>560</v>
      </c>
      <c r="C19" s="7" t="s">
        <v>195</v>
      </c>
      <c r="D19" s="44">
        <f>'2015 pax'!Q19</f>
        <v>15505843</v>
      </c>
      <c r="E19" s="30">
        <v>1599730</v>
      </c>
      <c r="F19" s="30">
        <v>1283367</v>
      </c>
      <c r="G19" s="30">
        <v>1222195</v>
      </c>
      <c r="H19" s="30">
        <v>1127457</v>
      </c>
      <c r="I19" s="30">
        <v>1222489</v>
      </c>
      <c r="J19" s="30">
        <v>1215270</v>
      </c>
      <c r="K19" s="30">
        <v>1463772</v>
      </c>
      <c r="L19" s="30">
        <v>1577879</v>
      </c>
      <c r="M19" s="30">
        <v>1336079</v>
      </c>
      <c r="N19" s="30">
        <v>1346091</v>
      </c>
      <c r="O19" s="30">
        <v>1281848</v>
      </c>
      <c r="P19" s="30">
        <v>1427440</v>
      </c>
      <c r="Q19" s="44">
        <f t="shared" si="1"/>
        <v>16103617</v>
      </c>
      <c r="R19" s="62">
        <f>SUM(Q19/'2015 pax'!Q19)-1</f>
        <v>3.8551531832226038E-2</v>
      </c>
    </row>
    <row r="20" spans="1:18">
      <c r="A20" s="1" t="s">
        <v>137</v>
      </c>
      <c r="B20" s="7" t="s">
        <v>152</v>
      </c>
      <c r="C20" s="7" t="s">
        <v>153</v>
      </c>
      <c r="D20" s="44">
        <f>'2015 pax'!Q20</f>
        <v>3301900</v>
      </c>
      <c r="E20" s="30">
        <v>292208</v>
      </c>
      <c r="F20" s="30">
        <v>221113</v>
      </c>
      <c r="G20" s="30">
        <v>247151</v>
      </c>
      <c r="H20" s="30">
        <v>240097</v>
      </c>
      <c r="I20" s="30">
        <v>245064</v>
      </c>
      <c r="J20" s="30">
        <v>248569</v>
      </c>
      <c r="K20" s="30">
        <v>274695</v>
      </c>
      <c r="L20" s="30">
        <v>251553</v>
      </c>
      <c r="M20" s="30">
        <v>240411</v>
      </c>
      <c r="N20" s="30">
        <v>243910</v>
      </c>
      <c r="O20" s="30">
        <v>239864</v>
      </c>
      <c r="P20" s="30">
        <v>268491</v>
      </c>
      <c r="Q20" s="44">
        <f t="shared" si="1"/>
        <v>3013126</v>
      </c>
      <c r="R20" s="62">
        <f>SUM(Q20/'2015 pax'!Q20)-1</f>
        <v>-8.7456918743753609E-2</v>
      </c>
    </row>
    <row r="21" spans="1:18">
      <c r="A21" s="1" t="s">
        <v>137</v>
      </c>
      <c r="B21" s="3" t="s">
        <v>212</v>
      </c>
      <c r="C21" s="3" t="s">
        <v>213</v>
      </c>
      <c r="D21" s="44">
        <f>'2015 pax'!Q21</f>
        <v>38985000</v>
      </c>
      <c r="E21" s="30">
        <v>3674326</v>
      </c>
      <c r="F21" s="30">
        <v>2973000</v>
      </c>
      <c r="G21" s="30">
        <v>2948000</v>
      </c>
      <c r="H21" s="30">
        <v>2847000</v>
      </c>
      <c r="I21" s="30">
        <v>2862000</v>
      </c>
      <c r="J21" s="30">
        <v>2838000</v>
      </c>
      <c r="K21" s="30">
        <v>3358000</v>
      </c>
      <c r="L21" s="30">
        <v>3035000</v>
      </c>
      <c r="M21" s="30">
        <v>2923000</v>
      </c>
      <c r="N21" s="30">
        <v>3040000</v>
      </c>
      <c r="O21" s="30">
        <v>2901000</v>
      </c>
      <c r="P21" s="30">
        <v>3197000</v>
      </c>
      <c r="Q21" s="44">
        <f t="shared" si="1"/>
        <v>36596326</v>
      </c>
      <c r="R21" s="62">
        <f>SUM(Q21/'2015 pax'!Q21)-1</f>
        <v>-6.1271617288700786E-2</v>
      </c>
    </row>
    <row r="22" spans="1:18">
      <c r="A22" s="1" t="s">
        <v>137</v>
      </c>
      <c r="B22" s="1" t="s">
        <v>140</v>
      </c>
      <c r="C22" s="1" t="s">
        <v>141</v>
      </c>
      <c r="D22" s="44">
        <f>'2015 pax'!Q22</f>
        <v>615901</v>
      </c>
      <c r="E22" s="30">
        <v>75447</v>
      </c>
      <c r="F22" s="30">
        <v>51621</v>
      </c>
      <c r="G22" s="30">
        <v>41843</v>
      </c>
      <c r="H22" s="30">
        <v>37861</v>
      </c>
      <c r="I22" s="30">
        <v>37891</v>
      </c>
      <c r="J22" s="30">
        <v>38324</v>
      </c>
      <c r="K22" s="30">
        <v>50752</v>
      </c>
      <c r="L22" s="30">
        <v>42661</v>
      </c>
      <c r="M22" s="30">
        <v>45486</v>
      </c>
      <c r="N22" s="30">
        <v>47883</v>
      </c>
      <c r="O22" s="30">
        <v>45861</v>
      </c>
      <c r="P22" s="30">
        <v>61088</v>
      </c>
      <c r="Q22" s="44">
        <f t="shared" si="1"/>
        <v>576718</v>
      </c>
      <c r="R22" s="62">
        <f>SUM(Q22/'2015 pax'!Q22)-1</f>
        <v>-6.361899071441679E-2</v>
      </c>
    </row>
    <row r="23" spans="1:18">
      <c r="A23" s="1" t="s">
        <v>137</v>
      </c>
      <c r="B23" s="1" t="s">
        <v>174</v>
      </c>
      <c r="C23" s="1" t="s">
        <v>175</v>
      </c>
      <c r="D23" s="44">
        <f>'2015 pax'!Q23</f>
        <v>328474</v>
      </c>
      <c r="E23" s="30">
        <v>29580</v>
      </c>
      <c r="F23" s="30">
        <v>26577</v>
      </c>
      <c r="G23" s="30">
        <v>29836</v>
      </c>
      <c r="H23" s="30">
        <v>21684</v>
      </c>
      <c r="I23" s="30">
        <v>19577</v>
      </c>
      <c r="J23" s="30">
        <v>22853</v>
      </c>
      <c r="K23" s="30">
        <v>26111</v>
      </c>
      <c r="L23" s="30">
        <v>22011</v>
      </c>
      <c r="M23" s="30">
        <v>20037</v>
      </c>
      <c r="N23" s="30">
        <v>19618</v>
      </c>
      <c r="O23" s="30">
        <v>21020</v>
      </c>
      <c r="P23" s="30">
        <v>24962</v>
      </c>
      <c r="Q23" s="44">
        <f t="shared" si="1"/>
        <v>283866</v>
      </c>
      <c r="R23" s="62">
        <f>SUM(Q23/'2015 pax'!Q23)-1</f>
        <v>-0.13580374702411757</v>
      </c>
    </row>
    <row r="24" spans="1:18">
      <c r="A24" s="1" t="s">
        <v>137</v>
      </c>
      <c r="B24" s="7" t="s">
        <v>196</v>
      </c>
      <c r="C24" s="7" t="s">
        <v>197</v>
      </c>
      <c r="D24" s="44">
        <f>'2015 pax'!Q24</f>
        <v>200652</v>
      </c>
      <c r="E24" s="30">
        <v>16845</v>
      </c>
      <c r="F24" s="30">
        <v>16507</v>
      </c>
      <c r="G24" s="30">
        <v>17758</v>
      </c>
      <c r="H24" s="30">
        <v>18349</v>
      </c>
      <c r="I24" s="30">
        <v>15051</v>
      </c>
      <c r="J24" s="30">
        <v>17003</v>
      </c>
      <c r="K24" s="30">
        <v>18377</v>
      </c>
      <c r="L24" s="30">
        <v>5227</v>
      </c>
      <c r="M24" s="30">
        <v>7845</v>
      </c>
      <c r="N24" s="30">
        <v>16006</v>
      </c>
      <c r="O24" s="30">
        <v>19497</v>
      </c>
      <c r="P24" s="30">
        <v>20843</v>
      </c>
      <c r="Q24" s="44">
        <f t="shared" si="1"/>
        <v>189308</v>
      </c>
      <c r="R24" s="62">
        <f>SUM(Q24/'2015 pax'!Q24)-1</f>
        <v>-5.6535693638737672E-2</v>
      </c>
    </row>
    <row r="25" spans="1:18">
      <c r="A25" s="1" t="s">
        <v>137</v>
      </c>
      <c r="B25" s="1" t="s">
        <v>158</v>
      </c>
      <c r="C25" s="1" t="s">
        <v>159</v>
      </c>
      <c r="D25" s="44">
        <f>'2015 pax'!Q25</f>
        <v>1381131</v>
      </c>
      <c r="E25" s="30">
        <v>160748</v>
      </c>
      <c r="F25" s="30">
        <v>115023</v>
      </c>
      <c r="G25" s="30">
        <v>108792</v>
      </c>
      <c r="H25" s="30">
        <v>94535</v>
      </c>
      <c r="I25" s="30">
        <v>103992</v>
      </c>
      <c r="J25" s="30">
        <v>116233</v>
      </c>
      <c r="K25" s="30">
        <v>116999</v>
      </c>
      <c r="L25" s="30">
        <v>79059</v>
      </c>
      <c r="M25" s="30">
        <v>90525</v>
      </c>
      <c r="N25" s="30">
        <v>113500</v>
      </c>
      <c r="O25" s="30">
        <v>109977</v>
      </c>
      <c r="P25" s="30">
        <v>130920</v>
      </c>
      <c r="Q25" s="44">
        <f t="shared" si="1"/>
        <v>1340303</v>
      </c>
      <c r="R25" s="62">
        <f>SUM(Q25/'2015 pax'!Q25)-1</f>
        <v>-2.9561279849630528E-2</v>
      </c>
    </row>
    <row r="26" spans="1:18">
      <c r="A26" s="1" t="s">
        <v>137</v>
      </c>
      <c r="B26" s="3" t="s">
        <v>228</v>
      </c>
      <c r="C26" s="3" t="s">
        <v>229</v>
      </c>
      <c r="D26" s="44">
        <f>'2015 pax'!Q26</f>
        <v>518472</v>
      </c>
      <c r="E26" s="30">
        <v>40542</v>
      </c>
      <c r="F26" s="30">
        <v>33448</v>
      </c>
      <c r="G26" s="30">
        <v>37700</v>
      </c>
      <c r="H26" s="30">
        <v>37972</v>
      </c>
      <c r="I26" s="30">
        <v>45272</v>
      </c>
      <c r="J26" s="30">
        <v>42537</v>
      </c>
      <c r="K26" s="30">
        <v>56524</v>
      </c>
      <c r="L26" s="30">
        <v>47765</v>
      </c>
      <c r="M26" s="30">
        <v>43440</v>
      </c>
      <c r="N26" s="30">
        <v>45810</v>
      </c>
      <c r="O26" s="30">
        <v>44864</v>
      </c>
      <c r="P26" s="30">
        <v>38846</v>
      </c>
      <c r="Q26" s="44">
        <f t="shared" si="1"/>
        <v>514720</v>
      </c>
      <c r="R26" s="62">
        <f>SUM(Q26/'2015 pax'!Q26)-1</f>
        <v>-7.236649230816683E-3</v>
      </c>
    </row>
    <row r="27" spans="1:18">
      <c r="A27" s="1" t="s">
        <v>137</v>
      </c>
      <c r="B27" s="1" t="s">
        <v>160</v>
      </c>
      <c r="C27" s="1" t="s">
        <v>161</v>
      </c>
      <c r="D27" s="44">
        <f>'2015 pax'!Q27</f>
        <v>441454</v>
      </c>
      <c r="E27" s="30">
        <v>58490</v>
      </c>
      <c r="F27" s="30">
        <v>41561</v>
      </c>
      <c r="G27" s="30">
        <v>43527</v>
      </c>
      <c r="H27" s="30">
        <v>42714</v>
      </c>
      <c r="I27" s="30">
        <v>45568</v>
      </c>
      <c r="J27" s="30">
        <v>45922</v>
      </c>
      <c r="K27" s="30">
        <v>52587</v>
      </c>
      <c r="L27" s="30">
        <v>39890</v>
      </c>
      <c r="M27" s="30">
        <v>38619</v>
      </c>
      <c r="N27" s="30">
        <v>37925</v>
      </c>
      <c r="O27" s="30">
        <v>36744</v>
      </c>
      <c r="P27" s="30">
        <v>51166</v>
      </c>
      <c r="Q27" s="44">
        <f t="shared" si="1"/>
        <v>534713</v>
      </c>
      <c r="R27" s="62">
        <f>SUM(Q27/'2015 pax'!Q27)-1</f>
        <v>0.21125417370779287</v>
      </c>
    </row>
    <row r="28" spans="1:18">
      <c r="A28" s="1" t="s">
        <v>137</v>
      </c>
      <c r="B28" s="3" t="s">
        <v>230</v>
      </c>
      <c r="C28" s="3" t="s">
        <v>231</v>
      </c>
      <c r="D28" s="44">
        <f>'2015 pax'!Q28</f>
        <v>1055985</v>
      </c>
      <c r="E28" s="30">
        <v>80810</v>
      </c>
      <c r="F28" s="30">
        <v>70457</v>
      </c>
      <c r="G28" s="30">
        <v>74500</v>
      </c>
      <c r="H28" s="30">
        <v>72126</v>
      </c>
      <c r="I28" s="30">
        <v>71312</v>
      </c>
      <c r="J28" s="30">
        <v>74815</v>
      </c>
      <c r="K28" s="30">
        <v>84385</v>
      </c>
      <c r="L28" s="30">
        <v>76226</v>
      </c>
      <c r="M28" s="30">
        <v>77053</v>
      </c>
      <c r="N28" s="30">
        <v>82652</v>
      </c>
      <c r="O28" s="30">
        <v>73871</v>
      </c>
      <c r="P28" s="30">
        <v>80739</v>
      </c>
      <c r="Q28" s="44">
        <f t="shared" si="1"/>
        <v>918946</v>
      </c>
      <c r="R28" s="62">
        <f>SUM(Q28/'2015 pax'!Q28)-1</f>
        <v>-0.12977362367836665</v>
      </c>
    </row>
    <row r="29" spans="1:18">
      <c r="A29" s="1" t="s">
        <v>137</v>
      </c>
      <c r="B29" s="1" t="s">
        <v>198</v>
      </c>
      <c r="C29" s="1" t="s">
        <v>199</v>
      </c>
      <c r="D29" s="44">
        <f>'2015 pax'!Q29</f>
        <v>440624</v>
      </c>
      <c r="E29" s="30">
        <v>34450</v>
      </c>
      <c r="F29" s="30">
        <v>32440</v>
      </c>
      <c r="G29" s="30">
        <v>34183</v>
      </c>
      <c r="H29" s="30">
        <v>31563</v>
      </c>
      <c r="I29" s="30">
        <v>32267</v>
      </c>
      <c r="J29" s="30">
        <v>27675</v>
      </c>
      <c r="K29" s="30">
        <v>23490</v>
      </c>
      <c r="L29" s="30">
        <v>25045</v>
      </c>
      <c r="M29" s="30">
        <v>24187</v>
      </c>
      <c r="N29" s="30">
        <v>20423</v>
      </c>
      <c r="O29" s="30">
        <v>16046</v>
      </c>
      <c r="P29" s="30">
        <v>17108</v>
      </c>
      <c r="Q29" s="44">
        <f t="shared" si="1"/>
        <v>318877</v>
      </c>
      <c r="R29" s="62">
        <f>SUM(Q29/'2015 pax'!Q29)-1</f>
        <v>-0.27630587530411421</v>
      </c>
    </row>
    <row r="30" spans="1:18">
      <c r="A30" s="1" t="s">
        <v>137</v>
      </c>
      <c r="B30" s="1" t="s">
        <v>178</v>
      </c>
      <c r="C30" s="1" t="s">
        <v>179</v>
      </c>
      <c r="D30" s="44">
        <f>'2015 pax'!Q30</f>
        <v>659892</v>
      </c>
      <c r="E30" s="30">
        <v>56773</v>
      </c>
      <c r="F30" s="30">
        <v>43034</v>
      </c>
      <c r="G30" s="30">
        <v>44276</v>
      </c>
      <c r="H30" s="30">
        <v>40852</v>
      </c>
      <c r="I30" s="30">
        <v>43753</v>
      </c>
      <c r="J30" s="30">
        <v>43614</v>
      </c>
      <c r="K30" s="30">
        <v>50244</v>
      </c>
      <c r="L30" s="30">
        <v>45818</v>
      </c>
      <c r="M30" s="30">
        <v>43472</v>
      </c>
      <c r="N30" s="30">
        <v>48135</v>
      </c>
      <c r="O30" s="30">
        <v>51458</v>
      </c>
      <c r="P30" s="30">
        <v>56397</v>
      </c>
      <c r="Q30" s="44">
        <f t="shared" si="1"/>
        <v>567826</v>
      </c>
      <c r="R30" s="62">
        <f>SUM(Q30/'2015 pax'!Q30)-1</f>
        <v>-0.13951676941075208</v>
      </c>
    </row>
    <row r="31" spans="1:18">
      <c r="A31" s="1" t="s">
        <v>137</v>
      </c>
      <c r="B31" s="1" t="s">
        <v>142</v>
      </c>
      <c r="C31" s="1" t="s">
        <v>143</v>
      </c>
      <c r="D31" s="44">
        <f>'2015 pax'!Q31</f>
        <v>1980466</v>
      </c>
      <c r="E31" s="30">
        <v>242014</v>
      </c>
      <c r="F31" s="30">
        <v>173710</v>
      </c>
      <c r="G31" s="30">
        <v>156741</v>
      </c>
      <c r="H31" s="30">
        <v>147405</v>
      </c>
      <c r="I31" s="30">
        <v>138213</v>
      </c>
      <c r="J31" s="30">
        <v>131534</v>
      </c>
      <c r="K31" s="30">
        <v>185671</v>
      </c>
      <c r="L31" s="30">
        <v>156414</v>
      </c>
      <c r="M31" s="30">
        <v>144963</v>
      </c>
      <c r="N31" s="30">
        <v>161899</v>
      </c>
      <c r="O31" s="30">
        <v>157515</v>
      </c>
      <c r="P31" s="30">
        <v>192804</v>
      </c>
      <c r="Q31" s="44">
        <f t="shared" si="1"/>
        <v>1988883</v>
      </c>
      <c r="R31" s="62">
        <f>SUM(Q31/'2015 pax'!Q31)-1</f>
        <v>4.250009846167524E-3</v>
      </c>
    </row>
    <row r="32" spans="1:18">
      <c r="A32" s="1" t="s">
        <v>137</v>
      </c>
      <c r="B32" s="1" t="s">
        <v>188</v>
      </c>
      <c r="C32" s="1" t="s">
        <v>189</v>
      </c>
      <c r="D32" s="44">
        <f>'2015 pax'!Q32</f>
        <v>3224212</v>
      </c>
      <c r="E32" s="30">
        <v>311371</v>
      </c>
      <c r="F32" s="30">
        <v>233968</v>
      </c>
      <c r="G32" s="30">
        <v>220205</v>
      </c>
      <c r="H32" s="30">
        <v>193386</v>
      </c>
      <c r="I32" s="30">
        <v>201265</v>
      </c>
      <c r="J32" s="30">
        <v>209740</v>
      </c>
      <c r="K32" s="30">
        <v>226067</v>
      </c>
      <c r="L32" s="30">
        <v>203051</v>
      </c>
      <c r="M32" s="30">
        <v>201743</v>
      </c>
      <c r="N32" s="30">
        <v>206232</v>
      </c>
      <c r="O32" s="30">
        <v>204598</v>
      </c>
      <c r="P32" s="30">
        <v>234774</v>
      </c>
      <c r="Q32" s="44">
        <f t="shared" si="1"/>
        <v>2646400</v>
      </c>
      <c r="R32" s="62">
        <f>SUM(Q32/'2015 pax'!Q32)-1</f>
        <v>-0.17921030006711713</v>
      </c>
    </row>
    <row r="33" spans="1:18">
      <c r="A33" s="1" t="s">
        <v>137</v>
      </c>
      <c r="B33" s="1" t="s">
        <v>176</v>
      </c>
      <c r="C33" s="1" t="s">
        <v>177</v>
      </c>
      <c r="D33" s="44">
        <f>'2015 pax'!Q33</f>
        <v>392838</v>
      </c>
      <c r="E33" s="30">
        <v>32736</v>
      </c>
      <c r="F33" s="30">
        <v>23772</v>
      </c>
      <c r="G33" s="30">
        <v>26211</v>
      </c>
      <c r="H33" s="30">
        <v>24373</v>
      </c>
      <c r="I33" s="30">
        <v>25391</v>
      </c>
      <c r="J33" s="30">
        <v>26183</v>
      </c>
      <c r="K33" s="30">
        <v>29170</v>
      </c>
      <c r="L33" s="30">
        <v>25394</v>
      </c>
      <c r="M33" s="30">
        <v>24096</v>
      </c>
      <c r="N33" s="30">
        <v>24084</v>
      </c>
      <c r="O33" s="30">
        <v>25904</v>
      </c>
      <c r="P33" s="30">
        <v>30111</v>
      </c>
      <c r="Q33" s="44">
        <f t="shared" si="1"/>
        <v>317425</v>
      </c>
      <c r="R33" s="62">
        <f>SUM(Q33/'2015 pax'!Q33)-1</f>
        <v>-0.1919697177971581</v>
      </c>
    </row>
    <row r="34" spans="1:18">
      <c r="A34" s="1" t="s">
        <v>137</v>
      </c>
      <c r="B34" s="3" t="s">
        <v>206</v>
      </c>
      <c r="C34" s="3" t="s">
        <v>207</v>
      </c>
      <c r="D34" s="44">
        <f>'2015 pax'!Q34</f>
        <v>373067</v>
      </c>
      <c r="E34" s="30">
        <v>22722</v>
      </c>
      <c r="F34" s="30">
        <v>21414</v>
      </c>
      <c r="G34" s="30">
        <v>22851</v>
      </c>
      <c r="H34" s="30">
        <v>21576</v>
      </c>
      <c r="I34" s="30">
        <v>23268</v>
      </c>
      <c r="J34" s="30">
        <v>24242</v>
      </c>
      <c r="K34" s="30">
        <v>25328</v>
      </c>
      <c r="L34" s="30">
        <v>25242</v>
      </c>
      <c r="M34" s="30">
        <v>24058</v>
      </c>
      <c r="N34" s="30">
        <v>22668</v>
      </c>
      <c r="O34" s="30">
        <v>23011</v>
      </c>
      <c r="P34" s="30">
        <v>25628</v>
      </c>
      <c r="Q34" s="44">
        <f t="shared" si="1"/>
        <v>282008</v>
      </c>
      <c r="R34" s="62">
        <f>SUM(Q34/'2015 pax'!Q34)-1</f>
        <v>-0.24408216218534473</v>
      </c>
    </row>
    <row r="35" spans="1:18">
      <c r="A35" s="1" t="s">
        <v>137</v>
      </c>
      <c r="B35" s="1" t="s">
        <v>164</v>
      </c>
      <c r="C35" s="1" t="s">
        <v>165</v>
      </c>
      <c r="D35" s="44">
        <f>'2015 pax'!Q35</f>
        <v>2333843</v>
      </c>
      <c r="E35" s="30">
        <v>300647</v>
      </c>
      <c r="F35" s="30">
        <v>198625</v>
      </c>
      <c r="G35" s="30">
        <v>171953</v>
      </c>
      <c r="H35" s="30">
        <v>153410</v>
      </c>
      <c r="I35" s="30">
        <v>153209</v>
      </c>
      <c r="J35" s="30">
        <v>158862</v>
      </c>
      <c r="K35" s="30">
        <v>202993</v>
      </c>
      <c r="L35" s="30">
        <v>166990</v>
      </c>
      <c r="M35" s="30">
        <v>177739</v>
      </c>
      <c r="N35" s="30">
        <v>194478</v>
      </c>
      <c r="O35" s="30">
        <v>191676</v>
      </c>
      <c r="P35" s="30">
        <v>245767</v>
      </c>
      <c r="Q35" s="44">
        <f t="shared" si="1"/>
        <v>2316349</v>
      </c>
      <c r="R35" s="62">
        <f>SUM(Q35/'2015 pax'!Q35)-1</f>
        <v>-7.4957912764482826E-3</v>
      </c>
    </row>
    <row r="36" spans="1:18">
      <c r="A36" s="1" t="s">
        <v>137</v>
      </c>
      <c r="B36" s="3" t="s">
        <v>232</v>
      </c>
      <c r="C36" s="3" t="s">
        <v>233</v>
      </c>
      <c r="D36" s="44">
        <f>'2015 pax'!Q36</f>
        <v>1473555</v>
      </c>
      <c r="E36" s="30">
        <v>167658</v>
      </c>
      <c r="F36" s="30">
        <v>121870</v>
      </c>
      <c r="G36" s="30">
        <v>129392</v>
      </c>
      <c r="H36" s="30">
        <v>120218</v>
      </c>
      <c r="I36" s="30">
        <v>116662</v>
      </c>
      <c r="J36" s="30">
        <v>101334</v>
      </c>
      <c r="K36" s="30">
        <v>116825</v>
      </c>
      <c r="L36" s="30">
        <v>117168</v>
      </c>
      <c r="M36" s="30">
        <v>115838</v>
      </c>
      <c r="N36" s="30">
        <v>125511</v>
      </c>
      <c r="O36" s="30">
        <v>115696</v>
      </c>
      <c r="P36" s="30">
        <v>120391</v>
      </c>
      <c r="Q36" s="44">
        <f t="shared" si="1"/>
        <v>1468563</v>
      </c>
      <c r="R36" s="62">
        <f>SUM(Q36/'2015 pax'!Q36)-1</f>
        <v>-3.3877256023697733E-3</v>
      </c>
    </row>
    <row r="37" spans="1:18">
      <c r="A37" s="1" t="s">
        <v>137</v>
      </c>
      <c r="B37" s="1" t="s">
        <v>154</v>
      </c>
      <c r="C37" s="1" t="s">
        <v>155</v>
      </c>
      <c r="D37" s="44">
        <f>'2015 pax'!Q37</f>
        <v>638468</v>
      </c>
      <c r="E37" s="30">
        <v>57143</v>
      </c>
      <c r="F37" s="30">
        <v>47867</v>
      </c>
      <c r="G37" s="30">
        <v>48868</v>
      </c>
      <c r="H37" s="30">
        <v>47382</v>
      </c>
      <c r="I37" s="30">
        <v>53492</v>
      </c>
      <c r="J37" s="30">
        <v>52992</v>
      </c>
      <c r="K37" s="30">
        <v>60261</v>
      </c>
      <c r="L37" s="30">
        <v>50682</v>
      </c>
      <c r="M37" s="30">
        <v>48471</v>
      </c>
      <c r="N37" s="30">
        <v>48418</v>
      </c>
      <c r="O37" s="30">
        <v>47855</v>
      </c>
      <c r="P37" s="30">
        <v>53776</v>
      </c>
      <c r="Q37" s="44">
        <f t="shared" si="1"/>
        <v>617207</v>
      </c>
      <c r="R37" s="62">
        <f>SUM(Q37/'2015 pax'!Q37)-1</f>
        <v>-3.3300024433487674E-2</v>
      </c>
    </row>
    <row r="38" spans="1:18">
      <c r="A38" s="1" t="s">
        <v>137</v>
      </c>
      <c r="B38" s="7" t="s">
        <v>202</v>
      </c>
      <c r="C38" s="7" t="s">
        <v>203</v>
      </c>
      <c r="D38" s="44">
        <f>'2015 pax'!Q38</f>
        <v>0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44"/>
      <c r="R38" s="62" t="e">
        <f>SUM(Q38/'2015 pax'!Q38)-1</f>
        <v>#DIV/0!</v>
      </c>
    </row>
    <row r="39" spans="1:18">
      <c r="A39" s="1" t="s">
        <v>137</v>
      </c>
      <c r="B39" s="1" t="s">
        <v>166</v>
      </c>
      <c r="C39" s="1" t="s">
        <v>167</v>
      </c>
      <c r="D39" s="44">
        <f>'2015 pax'!Q39</f>
        <v>455253</v>
      </c>
      <c r="E39" s="30">
        <v>41643</v>
      </c>
      <c r="F39" s="30">
        <v>32879</v>
      </c>
      <c r="G39" s="30">
        <v>36945</v>
      </c>
      <c r="H39" s="30">
        <v>34237</v>
      </c>
      <c r="I39" s="30">
        <v>36931</v>
      </c>
      <c r="J39" s="30">
        <v>36924</v>
      </c>
      <c r="K39" s="30">
        <v>39022</v>
      </c>
      <c r="L39" s="30">
        <v>37607</v>
      </c>
      <c r="M39" s="30">
        <v>33385</v>
      </c>
      <c r="N39" s="30">
        <v>35794</v>
      </c>
      <c r="O39" s="30">
        <v>35410</v>
      </c>
      <c r="P39" s="30">
        <v>46762</v>
      </c>
      <c r="Q39" s="44">
        <f t="shared" si="1"/>
        <v>447539</v>
      </c>
      <c r="R39" s="62">
        <f>SUM(Q39/'2015 pax'!Q39)-1</f>
        <v>-1.6944424309120465E-2</v>
      </c>
    </row>
    <row r="40" spans="1:18">
      <c r="A40" s="1" t="s">
        <v>137</v>
      </c>
      <c r="B40" s="3" t="s">
        <v>234</v>
      </c>
      <c r="C40" s="3" t="s">
        <v>235</v>
      </c>
      <c r="D40" s="44">
        <f>'2015 pax'!Q40</f>
        <v>8349170</v>
      </c>
      <c r="E40" s="30">
        <v>696218</v>
      </c>
      <c r="F40" s="30">
        <v>597588</v>
      </c>
      <c r="G40" s="30">
        <v>620762</v>
      </c>
      <c r="H40" s="30">
        <v>582900</v>
      </c>
      <c r="I40" s="30">
        <v>614415</v>
      </c>
      <c r="J40" s="30">
        <v>606030</v>
      </c>
      <c r="K40" s="30">
        <v>696182</v>
      </c>
      <c r="L40" s="30">
        <v>660166</v>
      </c>
      <c r="M40" s="30">
        <v>621654</v>
      </c>
      <c r="N40" s="30">
        <v>621080</v>
      </c>
      <c r="O40" s="30">
        <v>657347</v>
      </c>
      <c r="P40" s="30">
        <v>669523</v>
      </c>
      <c r="Q40" s="44">
        <f t="shared" si="1"/>
        <v>7643865</v>
      </c>
      <c r="R40" s="62">
        <f>SUM(Q40/'2015 pax'!Q40)-1</f>
        <v>-8.4476061692359883E-2</v>
      </c>
    </row>
    <row r="41" spans="1:18">
      <c r="A41" s="1" t="s">
        <v>137</v>
      </c>
      <c r="B41" s="1" t="s">
        <v>190</v>
      </c>
      <c r="C41" s="1" t="s">
        <v>191</v>
      </c>
      <c r="D41" s="44">
        <f>'2015 pax'!Q41</f>
        <v>925326</v>
      </c>
      <c r="E41" s="30">
        <v>93311</v>
      </c>
      <c r="F41" s="30">
        <v>68691</v>
      </c>
      <c r="G41" s="30">
        <v>68597</v>
      </c>
      <c r="H41" s="30">
        <v>64527</v>
      </c>
      <c r="I41" s="30">
        <v>67054</v>
      </c>
      <c r="J41" s="30">
        <v>63747</v>
      </c>
      <c r="K41" s="30">
        <v>76582</v>
      </c>
      <c r="L41" s="30">
        <v>66863</v>
      </c>
      <c r="M41" s="30">
        <v>62574</v>
      </c>
      <c r="N41" s="30">
        <v>62168</v>
      </c>
      <c r="O41" s="30">
        <v>63198</v>
      </c>
      <c r="P41" s="30">
        <v>81026</v>
      </c>
      <c r="Q41" s="44">
        <f t="shared" si="1"/>
        <v>838338</v>
      </c>
      <c r="R41" s="62">
        <f>SUM(Q41/'2015 pax'!Q41)-1</f>
        <v>-9.4007949630724785E-2</v>
      </c>
    </row>
    <row r="42" spans="1:18">
      <c r="A42" s="1" t="s">
        <v>137</v>
      </c>
      <c r="B42" s="1" t="s">
        <v>168</v>
      </c>
      <c r="C42" s="1" t="s">
        <v>169</v>
      </c>
      <c r="D42" s="44">
        <f>'2015 pax'!Q42</f>
        <v>6689039</v>
      </c>
      <c r="E42" s="30">
        <v>714238</v>
      </c>
      <c r="F42" s="30">
        <v>546473</v>
      </c>
      <c r="G42" s="30">
        <v>557221</v>
      </c>
      <c r="H42" s="30">
        <v>528565</v>
      </c>
      <c r="I42" s="30">
        <v>523368</v>
      </c>
      <c r="J42" s="30">
        <v>507907</v>
      </c>
      <c r="K42" s="30">
        <v>641996</v>
      </c>
      <c r="L42" s="30">
        <v>547425</v>
      </c>
      <c r="M42" s="30">
        <v>538948</v>
      </c>
      <c r="N42" s="30">
        <v>559213</v>
      </c>
      <c r="O42" s="30">
        <v>532826</v>
      </c>
      <c r="P42" s="30">
        <v>610909</v>
      </c>
      <c r="Q42" s="44">
        <f t="shared" si="1"/>
        <v>6809089</v>
      </c>
      <c r="R42" s="62">
        <f>SUM(Q42/'2015 pax'!Q42)-1</f>
        <v>1.7947271648438567E-2</v>
      </c>
    </row>
    <row r="43" spans="1:18">
      <c r="A43" s="1" t="s">
        <v>137</v>
      </c>
      <c r="B43" s="1" t="s">
        <v>192</v>
      </c>
      <c r="C43" s="1" t="s">
        <v>193</v>
      </c>
      <c r="D43" s="44">
        <f>'2015 pax'!Q43</f>
        <v>369994</v>
      </c>
      <c r="E43" s="30">
        <v>37226</v>
      </c>
      <c r="F43" s="30">
        <v>31279</v>
      </c>
      <c r="G43" s="30">
        <v>34276</v>
      </c>
      <c r="H43" s="30">
        <v>31434</v>
      </c>
      <c r="I43" s="30">
        <v>28062</v>
      </c>
      <c r="J43" s="30">
        <v>26592</v>
      </c>
      <c r="K43" s="30">
        <v>28446</v>
      </c>
      <c r="L43" s="30">
        <v>26053</v>
      </c>
      <c r="M43" s="30">
        <v>23565</v>
      </c>
      <c r="N43" s="30">
        <v>24389</v>
      </c>
      <c r="O43" s="30">
        <v>26066</v>
      </c>
      <c r="P43" s="30">
        <v>36118</v>
      </c>
      <c r="Q43" s="44">
        <f t="shared" si="1"/>
        <v>353506</v>
      </c>
      <c r="R43" s="62">
        <f>SUM(Q43/'2015 pax'!Q43)-1</f>
        <v>-4.4562884803537317E-2</v>
      </c>
    </row>
    <row r="44" spans="1:18">
      <c r="A44" s="1" t="s">
        <v>137</v>
      </c>
      <c r="B44" s="1" t="s">
        <v>144</v>
      </c>
      <c r="C44" s="1" t="s">
        <v>145</v>
      </c>
      <c r="D44" s="44">
        <f>'2015 pax'!Q44</f>
        <v>8834688</v>
      </c>
      <c r="E44" s="30">
        <v>913198</v>
      </c>
      <c r="F44" s="30">
        <v>698124</v>
      </c>
      <c r="G44" s="30">
        <v>584268</v>
      </c>
      <c r="H44" s="30">
        <v>571946</v>
      </c>
      <c r="I44" s="30">
        <v>540615</v>
      </c>
      <c r="J44" s="30">
        <v>550120</v>
      </c>
      <c r="K44" s="30">
        <v>637102</v>
      </c>
      <c r="L44" s="30">
        <v>534437</v>
      </c>
      <c r="M44" s="30">
        <v>570511</v>
      </c>
      <c r="N44" s="30">
        <v>585012</v>
      </c>
      <c r="O44" s="30">
        <v>586592</v>
      </c>
      <c r="P44" s="30">
        <v>693154</v>
      </c>
      <c r="Q44" s="44">
        <f t="shared" si="1"/>
        <v>7465079</v>
      </c>
      <c r="R44" s="62">
        <f>SUM(Q44/'2015 pax'!Q44)-1</f>
        <v>-0.15502630087219826</v>
      </c>
    </row>
    <row r="45" spans="1:18">
      <c r="A45" s="1" t="s">
        <v>137</v>
      </c>
      <c r="B45" s="1" t="s">
        <v>182</v>
      </c>
      <c r="C45" s="1" t="s">
        <v>183</v>
      </c>
      <c r="D45" s="44">
        <f>'2015 pax'!Q45</f>
        <v>654896</v>
      </c>
      <c r="E45" s="30">
        <v>53286</v>
      </c>
      <c r="F45" s="30">
        <v>41108</v>
      </c>
      <c r="G45" s="30">
        <v>39652</v>
      </c>
      <c r="H45" s="30">
        <v>34731</v>
      </c>
      <c r="I45" s="30">
        <v>36010</v>
      </c>
      <c r="J45" s="30">
        <v>36816</v>
      </c>
      <c r="K45" s="30">
        <v>44706</v>
      </c>
      <c r="L45" s="30">
        <v>39774</v>
      </c>
      <c r="M45" s="30">
        <v>37238</v>
      </c>
      <c r="N45" s="30">
        <v>39745</v>
      </c>
      <c r="O45" s="30">
        <v>39338</v>
      </c>
      <c r="P45" s="30">
        <v>46150</v>
      </c>
      <c r="Q45" s="44">
        <f t="shared" si="1"/>
        <v>488554</v>
      </c>
      <c r="R45" s="62">
        <f>SUM(Q45/'2015 pax'!Q45)-1</f>
        <v>-0.25399758129535066</v>
      </c>
    </row>
    <row r="46" spans="1:18">
      <c r="A46" s="1" t="s">
        <v>137</v>
      </c>
      <c r="B46" s="7" t="s">
        <v>200</v>
      </c>
      <c r="C46" s="7" t="s">
        <v>201</v>
      </c>
      <c r="D46" s="44">
        <f>'2015 pax'!Q46</f>
        <v>9436117</v>
      </c>
      <c r="E46" s="30">
        <v>797547</v>
      </c>
      <c r="F46" s="30">
        <v>721359</v>
      </c>
      <c r="G46" s="30">
        <v>732759</v>
      </c>
      <c r="H46" s="30">
        <v>722317</v>
      </c>
      <c r="I46" s="30">
        <v>744861</v>
      </c>
      <c r="J46" s="30">
        <v>688762</v>
      </c>
      <c r="K46" s="30">
        <v>804236</v>
      </c>
      <c r="L46" s="30">
        <v>768434</v>
      </c>
      <c r="M46" s="30">
        <v>737339</v>
      </c>
      <c r="N46" s="30">
        <v>773630</v>
      </c>
      <c r="O46" s="30">
        <v>756461</v>
      </c>
      <c r="P46" s="30">
        <v>808382</v>
      </c>
      <c r="Q46" s="44">
        <f t="shared" si="1"/>
        <v>9056087</v>
      </c>
      <c r="R46" s="62">
        <f>SUM(Q46/'2015 pax'!Q46)-1</f>
        <v>-4.0273981342113463E-2</v>
      </c>
    </row>
    <row r="47" spans="1:18">
      <c r="A47" s="1" t="s">
        <v>137</v>
      </c>
      <c r="B47" s="3" t="s">
        <v>218</v>
      </c>
      <c r="C47" s="3" t="s">
        <v>219</v>
      </c>
      <c r="D47" s="44">
        <f>'2015 pax'!Q47</f>
        <v>61224</v>
      </c>
      <c r="E47" s="30">
        <v>7450</v>
      </c>
      <c r="F47" s="30">
        <v>7176</v>
      </c>
      <c r="G47" s="30">
        <v>8815</v>
      </c>
      <c r="H47" s="30">
        <v>8618</v>
      </c>
      <c r="I47" s="30">
        <v>7808</v>
      </c>
      <c r="J47" s="30">
        <v>3839</v>
      </c>
      <c r="K47" s="30">
        <v>1722</v>
      </c>
      <c r="L47" s="30">
        <v>1387</v>
      </c>
      <c r="M47" s="30">
        <v>3530</v>
      </c>
      <c r="N47" s="30">
        <v>3072</v>
      </c>
      <c r="O47" s="30">
        <v>1205</v>
      </c>
      <c r="P47" s="30">
        <v>2137</v>
      </c>
      <c r="Q47" s="44">
        <f t="shared" si="1"/>
        <v>56759</v>
      </c>
      <c r="R47" s="62">
        <f>SUM(Q47/'2015 pax'!Q47)-1</f>
        <v>-7.2928916764667395E-2</v>
      </c>
    </row>
    <row r="48" spans="1:18">
      <c r="A48" s="1" t="s">
        <v>137</v>
      </c>
      <c r="B48" s="1" t="s">
        <v>180</v>
      </c>
      <c r="C48" s="1" t="s">
        <v>181</v>
      </c>
      <c r="D48" s="44">
        <f>'2015 pax'!Q48</f>
        <v>1649721</v>
      </c>
      <c r="E48" s="30">
        <v>177407</v>
      </c>
      <c r="F48" s="30">
        <v>133899</v>
      </c>
      <c r="G48" s="30">
        <v>131574</v>
      </c>
      <c r="H48" s="30">
        <v>115164</v>
      </c>
      <c r="I48" s="30">
        <v>113054</v>
      </c>
      <c r="J48" s="30">
        <v>115816</v>
      </c>
      <c r="K48" s="30">
        <v>141027</v>
      </c>
      <c r="L48" s="30">
        <v>111176</v>
      </c>
      <c r="M48" s="30">
        <v>108321</v>
      </c>
      <c r="N48" s="30">
        <v>110458</v>
      </c>
      <c r="O48" s="30">
        <v>114820</v>
      </c>
      <c r="P48" s="30">
        <v>145862</v>
      </c>
      <c r="Q48" s="44">
        <f t="shared" si="1"/>
        <v>1518578</v>
      </c>
      <c r="R48" s="62">
        <f>SUM(Q48/'2015 pax'!Q48)-1</f>
        <v>-7.949404778141278E-2</v>
      </c>
    </row>
    <row r="49" spans="1:20">
      <c r="A49" s="1" t="s">
        <v>137</v>
      </c>
      <c r="B49" s="1" t="s">
        <v>170</v>
      </c>
      <c r="C49" s="1" t="s">
        <v>171</v>
      </c>
      <c r="D49" s="44">
        <f>'2015 pax'!Q49</f>
        <v>1208981</v>
      </c>
      <c r="E49" s="30">
        <v>113542</v>
      </c>
      <c r="F49" s="30">
        <v>87338</v>
      </c>
      <c r="G49" s="30">
        <v>91451</v>
      </c>
      <c r="H49" s="30">
        <v>84956</v>
      </c>
      <c r="I49" s="30">
        <v>86813</v>
      </c>
      <c r="J49" s="30">
        <v>87990</v>
      </c>
      <c r="K49" s="30">
        <v>98720</v>
      </c>
      <c r="L49" s="30">
        <v>85690</v>
      </c>
      <c r="M49" s="30">
        <v>72780</v>
      </c>
      <c r="N49" s="30">
        <v>81494</v>
      </c>
      <c r="O49" s="30">
        <v>85252</v>
      </c>
      <c r="P49" s="30">
        <v>103056</v>
      </c>
      <c r="Q49" s="44">
        <f t="shared" si="1"/>
        <v>1079082</v>
      </c>
      <c r="R49" s="62">
        <f>SUM(Q49/'2015 pax'!Q49)-1</f>
        <v>-0.10744503015349294</v>
      </c>
    </row>
    <row r="50" spans="1:20">
      <c r="A50" s="1" t="s">
        <v>137</v>
      </c>
      <c r="B50" s="1" t="s">
        <v>490</v>
      </c>
      <c r="C50" s="1" t="s">
        <v>491</v>
      </c>
      <c r="D50" s="44">
        <f>'2015 pax'!Q50</f>
        <v>137659</v>
      </c>
      <c r="E50" s="30">
        <v>6555</v>
      </c>
      <c r="F50" s="30">
        <v>8546</v>
      </c>
      <c r="G50" s="30">
        <v>9990</v>
      </c>
      <c r="H50" s="30">
        <v>9836</v>
      </c>
      <c r="I50" s="30">
        <v>11281</v>
      </c>
      <c r="J50" s="30">
        <v>9214</v>
      </c>
      <c r="K50" s="30">
        <v>7395</v>
      </c>
      <c r="L50" s="30">
        <v>9055</v>
      </c>
      <c r="M50" s="30">
        <v>8653</v>
      </c>
      <c r="N50" s="30">
        <v>7942</v>
      </c>
      <c r="O50" s="30">
        <v>8383</v>
      </c>
      <c r="P50" s="30">
        <v>6659</v>
      </c>
      <c r="Q50" s="44">
        <f t="shared" si="1"/>
        <v>103509</v>
      </c>
      <c r="R50" s="62">
        <f>SUM(Q50/'2015 pax'!Q50)-1</f>
        <v>-0.24807676940846579</v>
      </c>
    </row>
    <row r="51" spans="1:20">
      <c r="A51" s="1" t="s">
        <v>137</v>
      </c>
      <c r="B51" s="3" t="s">
        <v>208</v>
      </c>
      <c r="C51" s="3" t="s">
        <v>209</v>
      </c>
      <c r="D51" s="44">
        <f>'2015 pax'!Q51</f>
        <v>1170131</v>
      </c>
      <c r="E51" s="30">
        <v>93391</v>
      </c>
      <c r="F51" s="30">
        <v>79588</v>
      </c>
      <c r="G51" s="30">
        <v>84966</v>
      </c>
      <c r="H51" s="30">
        <v>78842</v>
      </c>
      <c r="I51" s="30">
        <v>84431</v>
      </c>
      <c r="J51" s="30">
        <v>81165</v>
      </c>
      <c r="K51" s="30">
        <v>93935</v>
      </c>
      <c r="L51" s="30">
        <v>91705</v>
      </c>
      <c r="M51" s="30">
        <v>90237</v>
      </c>
      <c r="N51" s="30">
        <v>92448</v>
      </c>
      <c r="O51" s="30">
        <v>88489</v>
      </c>
      <c r="P51" s="30">
        <v>91182</v>
      </c>
      <c r="Q51" s="44">
        <f t="shared" si="1"/>
        <v>1050379</v>
      </c>
      <c r="R51" s="62">
        <f>SUM(Q51/'2015 pax'!Q51)-1</f>
        <v>-0.10234067809501668</v>
      </c>
    </row>
    <row r="52" spans="1:20">
      <c r="A52" s="1" t="s">
        <v>137</v>
      </c>
      <c r="B52" s="3" t="s">
        <v>210</v>
      </c>
      <c r="C52" s="3" t="s">
        <v>211</v>
      </c>
      <c r="D52" s="44">
        <f>'2015 pax'!Q52</f>
        <v>3580279</v>
      </c>
      <c r="E52" s="30">
        <v>331480</v>
      </c>
      <c r="F52" s="30">
        <v>253339</v>
      </c>
      <c r="G52" s="30">
        <v>246503</v>
      </c>
      <c r="H52" s="30">
        <v>218375</v>
      </c>
      <c r="I52" s="30">
        <v>246566</v>
      </c>
      <c r="J52" s="30">
        <v>234822</v>
      </c>
      <c r="K52" s="30">
        <v>286094</v>
      </c>
      <c r="L52" s="30">
        <v>259083</v>
      </c>
      <c r="M52" s="30">
        <v>235682</v>
      </c>
      <c r="N52" s="30">
        <v>252451</v>
      </c>
      <c r="O52" s="30">
        <v>252583</v>
      </c>
      <c r="P52" s="30">
        <v>279259</v>
      </c>
      <c r="Q52" s="44">
        <f t="shared" si="1"/>
        <v>3096237</v>
      </c>
      <c r="R52" s="62">
        <f>SUM(Q52/'2015 pax'!Q52)-1</f>
        <v>-0.13519672628864954</v>
      </c>
    </row>
    <row r="53" spans="1:20" ht="15.75">
      <c r="A53" s="1" t="s">
        <v>66</v>
      </c>
      <c r="B53" s="1" t="s">
        <v>362</v>
      </c>
      <c r="C53" s="7" t="s">
        <v>72</v>
      </c>
      <c r="D53" s="44">
        <f>'2015 pax'!Q53</f>
        <v>15475759</v>
      </c>
      <c r="E53" s="30">
        <v>1205864</v>
      </c>
      <c r="F53" s="30">
        <v>1193458</v>
      </c>
      <c r="G53" s="30">
        <v>1304207</v>
      </c>
      <c r="H53" s="30">
        <v>1198638</v>
      </c>
      <c r="I53" s="30">
        <v>1257946</v>
      </c>
      <c r="J53" s="30">
        <v>1322080</v>
      </c>
      <c r="K53" s="30">
        <v>1552568</v>
      </c>
      <c r="L53" s="30">
        <v>1562926</v>
      </c>
      <c r="M53" s="30">
        <v>1342999</v>
      </c>
      <c r="N53" s="30">
        <v>1284652</v>
      </c>
      <c r="O53" s="30">
        <v>1162753</v>
      </c>
      <c r="P53" s="30">
        <v>1292648</v>
      </c>
      <c r="Q53" s="44">
        <f t="shared" ref="Q53:Q59" si="2">SUM(E53:P53)</f>
        <v>15680739</v>
      </c>
      <c r="R53" s="62">
        <f>SUM(Q53/'2015 pax'!Q53)-1</f>
        <v>1.3245230815496667E-2</v>
      </c>
    </row>
    <row r="54" spans="1:20">
      <c r="A54" s="1" t="s">
        <v>66</v>
      </c>
      <c r="B54" s="1" t="s">
        <v>73</v>
      </c>
      <c r="C54" s="7" t="s">
        <v>74</v>
      </c>
      <c r="D54" s="44">
        <f>'2015 pax'!Q54</f>
        <v>7981074</v>
      </c>
      <c r="E54" s="30">
        <v>602700</v>
      </c>
      <c r="F54" s="30">
        <v>595676</v>
      </c>
      <c r="G54" s="30">
        <v>621401</v>
      </c>
      <c r="H54" s="30">
        <v>572748</v>
      </c>
      <c r="I54" s="30">
        <v>656365</v>
      </c>
      <c r="J54" s="30">
        <v>635598</v>
      </c>
      <c r="K54" s="30">
        <v>686920</v>
      </c>
      <c r="L54" s="30">
        <v>712962</v>
      </c>
      <c r="M54" s="30">
        <v>631892</v>
      </c>
      <c r="N54" s="30">
        <v>614385</v>
      </c>
      <c r="O54" s="30">
        <v>575908</v>
      </c>
      <c r="P54" s="30">
        <v>617309</v>
      </c>
      <c r="Q54" s="44">
        <f t="shared" si="2"/>
        <v>7523864</v>
      </c>
      <c r="R54" s="62">
        <f>SUM(Q54/'2015 pax'!Q54)-1</f>
        <v>-5.728677619077327E-2</v>
      </c>
    </row>
    <row r="55" spans="1:20">
      <c r="A55" s="1" t="s">
        <v>66</v>
      </c>
      <c r="B55" s="1" t="s">
        <v>79</v>
      </c>
      <c r="C55" s="7" t="s">
        <v>80</v>
      </c>
      <c r="D55" s="44">
        <f>'2015 pax'!Q55</f>
        <v>3434393</v>
      </c>
      <c r="E55" s="30">
        <v>225788</v>
      </c>
      <c r="F55" s="30">
        <v>244896</v>
      </c>
      <c r="G55" s="30">
        <v>322825</v>
      </c>
      <c r="H55" s="30">
        <v>335744</v>
      </c>
      <c r="I55" s="30">
        <v>347055</v>
      </c>
      <c r="J55" s="30">
        <v>347861</v>
      </c>
      <c r="K55" s="30">
        <v>398887</v>
      </c>
      <c r="L55" s="30">
        <v>432703</v>
      </c>
      <c r="M55" s="30">
        <v>368071</v>
      </c>
      <c r="N55" s="30">
        <v>338986</v>
      </c>
      <c r="O55" s="30">
        <v>261878</v>
      </c>
      <c r="P55" s="30">
        <v>284105</v>
      </c>
      <c r="Q55" s="44">
        <f t="shared" si="2"/>
        <v>3908799</v>
      </c>
      <c r="R55" s="62">
        <f>SUM(Q55/'2015 pax'!Q55)-1</f>
        <v>0.13813387110910136</v>
      </c>
    </row>
    <row r="56" spans="1:20">
      <c r="A56" s="1" t="s">
        <v>66</v>
      </c>
      <c r="B56" s="1" t="s">
        <v>83</v>
      </c>
      <c r="C56" s="7" t="s">
        <v>84</v>
      </c>
      <c r="D56" s="44">
        <f>'2015 pax'!Q56</f>
        <v>1594467</v>
      </c>
      <c r="E56" s="45">
        <v>149574</v>
      </c>
      <c r="F56" s="45">
        <v>144063</v>
      </c>
      <c r="G56" s="45">
        <v>151909</v>
      </c>
      <c r="H56" s="45">
        <v>119787</v>
      </c>
      <c r="I56" s="45">
        <v>126674</v>
      </c>
      <c r="J56" s="45">
        <v>135069</v>
      </c>
      <c r="K56" s="45">
        <v>150180</v>
      </c>
      <c r="L56" s="45">
        <v>160846</v>
      </c>
      <c r="M56" s="30">
        <v>143166</v>
      </c>
      <c r="N56" s="30">
        <v>147705</v>
      </c>
      <c r="O56" s="30">
        <v>136603</v>
      </c>
      <c r="P56" s="30">
        <v>166537</v>
      </c>
      <c r="Q56" s="44">
        <f t="shared" si="2"/>
        <v>1732113</v>
      </c>
      <c r="R56" s="62">
        <f>SUM(Q56/'2015 pax'!Q56)-1</f>
        <v>8.6327280526972361E-2</v>
      </c>
    </row>
    <row r="57" spans="1:20" ht="15.75">
      <c r="A57" s="1" t="s">
        <v>66</v>
      </c>
      <c r="B57" s="1" t="s">
        <v>363</v>
      </c>
      <c r="C57" s="7" t="s">
        <v>71</v>
      </c>
      <c r="D57" s="44">
        <f>'2015 pax'!Q57</f>
        <v>15517382</v>
      </c>
      <c r="E57" s="30">
        <v>1261495</v>
      </c>
      <c r="F57" s="30">
        <v>1225067</v>
      </c>
      <c r="G57" s="30">
        <v>1370273</v>
      </c>
      <c r="H57" s="30">
        <v>1238364</v>
      </c>
      <c r="I57" s="30">
        <v>1313153</v>
      </c>
      <c r="J57" s="30">
        <v>1448082</v>
      </c>
      <c r="K57" s="30">
        <v>1716164</v>
      </c>
      <c r="L57" s="30">
        <v>1769687</v>
      </c>
      <c r="M57" s="30">
        <v>1470471</v>
      </c>
      <c r="N57" s="30">
        <v>1364127</v>
      </c>
      <c r="O57" s="30">
        <v>1128485</v>
      </c>
      <c r="P57" s="30">
        <v>1278257</v>
      </c>
      <c r="Q57" s="44">
        <f t="shared" si="2"/>
        <v>16583625</v>
      </c>
      <c r="R57" s="62">
        <f>SUM(Q57/'2015 pax'!Q57)-1</f>
        <v>6.8712815086978019E-2</v>
      </c>
    </row>
    <row r="58" spans="1:20">
      <c r="A58" s="1" t="s">
        <v>66</v>
      </c>
      <c r="B58" s="1" t="s">
        <v>75</v>
      </c>
      <c r="C58" s="7" t="s">
        <v>76</v>
      </c>
      <c r="D58" s="44">
        <f>'2015 pax'!Q58</f>
        <v>4655192</v>
      </c>
      <c r="E58" s="30">
        <v>377132</v>
      </c>
      <c r="F58" s="30">
        <v>395314</v>
      </c>
      <c r="G58" s="30">
        <v>418904</v>
      </c>
      <c r="H58" s="30">
        <v>365507</v>
      </c>
      <c r="I58" s="30">
        <v>393500</v>
      </c>
      <c r="J58" s="30">
        <v>398764</v>
      </c>
      <c r="K58" s="30">
        <v>403777</v>
      </c>
      <c r="L58" s="30">
        <v>424920</v>
      </c>
      <c r="M58" s="30">
        <v>389878</v>
      </c>
      <c r="N58" s="30">
        <v>408952</v>
      </c>
      <c r="O58" s="30">
        <v>375127</v>
      </c>
      <c r="P58" s="30">
        <v>391316</v>
      </c>
      <c r="Q58" s="44">
        <f t="shared" si="2"/>
        <v>4743091</v>
      </c>
      <c r="R58" s="62">
        <f>SUM(Q58/'2015 pax'!Q58)-1</f>
        <v>1.888192796344379E-2</v>
      </c>
    </row>
    <row r="59" spans="1:20">
      <c r="A59" s="1" t="s">
        <v>66</v>
      </c>
      <c r="B59" s="1" t="s">
        <v>533</v>
      </c>
      <c r="C59" s="7" t="s">
        <v>534</v>
      </c>
      <c r="D59" s="44">
        <f>'2015 pax'!Q59</f>
        <v>1539631</v>
      </c>
      <c r="E59" s="30">
        <v>153185</v>
      </c>
      <c r="F59" s="30">
        <v>147002</v>
      </c>
      <c r="G59" s="30">
        <v>152876</v>
      </c>
      <c r="H59" s="30">
        <v>139530</v>
      </c>
      <c r="I59" s="30">
        <v>110728</v>
      </c>
      <c r="J59" s="30">
        <v>114068.09600000001</v>
      </c>
      <c r="K59" s="30">
        <v>136718</v>
      </c>
      <c r="L59" s="30">
        <v>140278</v>
      </c>
      <c r="M59" s="30">
        <v>121897</v>
      </c>
      <c r="N59" s="30">
        <v>121685</v>
      </c>
      <c r="O59" s="30">
        <v>121685</v>
      </c>
      <c r="P59" s="30">
        <v>121685</v>
      </c>
      <c r="Q59" s="44">
        <f t="shared" si="2"/>
        <v>1581337.0959999999</v>
      </c>
      <c r="R59" s="62">
        <f>SUM(Q59/'2015 pax'!Q59)-1</f>
        <v>2.708837117465146E-2</v>
      </c>
      <c r="S59" s="48"/>
      <c r="T59" s="48"/>
    </row>
    <row r="60" spans="1:20">
      <c r="A60" s="1" t="s">
        <v>66</v>
      </c>
      <c r="B60" s="1" t="s">
        <v>67</v>
      </c>
      <c r="C60" s="7" t="s">
        <v>68</v>
      </c>
      <c r="D60" s="44">
        <f>'2015 pax'!Q60</f>
        <v>41036847</v>
      </c>
      <c r="E60" s="30">
        <v>3220792</v>
      </c>
      <c r="F60" s="30">
        <v>3133239</v>
      </c>
      <c r="G60" s="30">
        <v>3555995</v>
      </c>
      <c r="H60" s="30">
        <v>3386262</v>
      </c>
      <c r="I60" s="30">
        <v>3677098</v>
      </c>
      <c r="J60" s="30">
        <v>3859772</v>
      </c>
      <c r="K60" s="30">
        <v>4494075</v>
      </c>
      <c r="L60" s="30">
        <v>4638337</v>
      </c>
      <c r="M60" s="30">
        <v>3893440</v>
      </c>
      <c r="N60" s="30">
        <v>3710513</v>
      </c>
      <c r="O60" s="30">
        <v>3174574</v>
      </c>
      <c r="P60" s="30">
        <v>3591517</v>
      </c>
      <c r="Q60" s="44">
        <f>SUM(E60:P60)</f>
        <v>44335614</v>
      </c>
      <c r="R60" s="62">
        <f>SUM(Q60/'2015 pax'!Q60)-1</f>
        <v>8.0385488680453365E-2</v>
      </c>
    </row>
    <row r="61" spans="1:20">
      <c r="A61" s="1" t="s">
        <v>66</v>
      </c>
      <c r="B61" s="1" t="s">
        <v>69</v>
      </c>
      <c r="C61" s="7" t="s">
        <v>70</v>
      </c>
      <c r="D61" s="44">
        <f>'2015 pax'!Q61</f>
        <v>20316978</v>
      </c>
      <c r="E61" s="30">
        <v>1626489</v>
      </c>
      <c r="F61" s="30">
        <v>1593937</v>
      </c>
      <c r="G61" s="30">
        <v>1782574</v>
      </c>
      <c r="H61" s="30">
        <v>1637094</v>
      </c>
      <c r="I61" s="30">
        <v>1813937</v>
      </c>
      <c r="J61" s="30">
        <v>1997873</v>
      </c>
      <c r="K61" s="30">
        <v>2270986</v>
      </c>
      <c r="L61" s="30">
        <v>2321718</v>
      </c>
      <c r="M61" s="30">
        <v>1966719</v>
      </c>
      <c r="N61" s="30">
        <v>1784813</v>
      </c>
      <c r="O61" s="30">
        <v>1977711</v>
      </c>
      <c r="P61" s="30">
        <v>1855093</v>
      </c>
      <c r="Q61" s="44">
        <f>SUM(E61:P61)</f>
        <v>22628944</v>
      </c>
      <c r="R61" s="62">
        <f>SUM(Q61/'2015 pax'!Q61)-1</f>
        <v>0.11379477794384574</v>
      </c>
      <c r="S61" s="30"/>
      <c r="T61" s="23"/>
    </row>
    <row r="62" spans="1:20">
      <c r="A62" s="1" t="s">
        <v>66</v>
      </c>
      <c r="B62" s="1" t="s">
        <v>81</v>
      </c>
      <c r="C62" s="1" t="s">
        <v>82</v>
      </c>
      <c r="D62" s="44">
        <f>'2015 pax'!Q62</f>
        <v>1710711</v>
      </c>
      <c r="E62" s="30">
        <v>123088</v>
      </c>
      <c r="F62" s="30">
        <v>125703</v>
      </c>
      <c r="G62" s="30">
        <v>150666</v>
      </c>
      <c r="H62" s="30">
        <v>140736</v>
      </c>
      <c r="I62" s="30">
        <v>157500</v>
      </c>
      <c r="J62" s="30">
        <v>161968</v>
      </c>
      <c r="K62" s="30">
        <v>175128</v>
      </c>
      <c r="L62" s="30">
        <v>190733</v>
      </c>
      <c r="M62" s="30">
        <v>167002</v>
      </c>
      <c r="N62" s="30">
        <v>167132</v>
      </c>
      <c r="O62" s="30">
        <v>139950</v>
      </c>
      <c r="P62" s="30">
        <v>156815</v>
      </c>
      <c r="Q62" s="44">
        <f>SUM(E62:P62)</f>
        <v>1856421</v>
      </c>
      <c r="R62" s="62">
        <f>SUM(Q62/'2015 pax'!Q62)-1</f>
        <v>8.5175111401049053E-2</v>
      </c>
    </row>
    <row r="63" spans="1:20">
      <c r="A63" s="1" t="s">
        <v>66</v>
      </c>
      <c r="B63" s="1" t="s">
        <v>77</v>
      </c>
      <c r="C63" s="7" t="s">
        <v>78</v>
      </c>
      <c r="D63" s="44">
        <f>'2015 pax'!Q63</f>
        <v>3778054</v>
      </c>
      <c r="E63" s="30">
        <v>316319</v>
      </c>
      <c r="F63" s="30">
        <v>316323</v>
      </c>
      <c r="G63" s="30">
        <v>326651</v>
      </c>
      <c r="H63" s="30">
        <v>292459</v>
      </c>
      <c r="I63" s="30">
        <v>322424</v>
      </c>
      <c r="J63" s="30">
        <v>342435</v>
      </c>
      <c r="K63" s="30">
        <v>382505</v>
      </c>
      <c r="L63" s="30">
        <v>395149</v>
      </c>
      <c r="M63" s="30">
        <v>350680</v>
      </c>
      <c r="N63" s="30">
        <v>353740</v>
      </c>
      <c r="O63" s="30">
        <v>295552</v>
      </c>
      <c r="P63" s="30">
        <v>320963</v>
      </c>
      <c r="Q63" s="44">
        <f>SUM(E63:P63)</f>
        <v>4015200</v>
      </c>
      <c r="R63" s="62">
        <f>SUM(Q63/'2015 pax'!Q63)-1</f>
        <v>6.2769351629172077E-2</v>
      </c>
    </row>
    <row r="64" spans="1:20" s="42" customFormat="1">
      <c r="A64" s="1" t="s">
        <v>637</v>
      </c>
      <c r="B64" s="1" t="s">
        <v>639</v>
      </c>
      <c r="C64" s="7" t="s">
        <v>638</v>
      </c>
      <c r="D64" s="44">
        <f>'2015 pax'!Q64</f>
        <v>1091430</v>
      </c>
      <c r="E64" s="30">
        <v>104380</v>
      </c>
      <c r="F64" s="30">
        <v>95822</v>
      </c>
      <c r="G64" s="30">
        <v>120961</v>
      </c>
      <c r="H64" s="30">
        <v>101627</v>
      </c>
      <c r="I64" s="30">
        <v>85525</v>
      </c>
      <c r="J64" s="30">
        <v>94005</v>
      </c>
      <c r="K64" s="30">
        <v>105257</v>
      </c>
      <c r="L64" s="30">
        <v>100162</v>
      </c>
      <c r="M64" s="30">
        <v>58929</v>
      </c>
      <c r="N64" s="30">
        <v>69377</v>
      </c>
      <c r="O64" s="30">
        <v>83987</v>
      </c>
      <c r="P64" s="30">
        <v>107290</v>
      </c>
      <c r="Q64" s="44">
        <f>SUM(E64:P64)</f>
        <v>1127322</v>
      </c>
      <c r="R64" s="62">
        <f>SUM(Q64/'2015 pax'!Q64)-1</f>
        <v>3.2885297270553338E-2</v>
      </c>
    </row>
    <row r="65" spans="1:19">
      <c r="A65" s="1" t="s">
        <v>236</v>
      </c>
      <c r="B65" s="1" t="s">
        <v>457</v>
      </c>
      <c r="C65" s="1" t="s">
        <v>458</v>
      </c>
      <c r="D65" s="44">
        <f>'2015 pax'!Q65</f>
        <v>0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64"/>
      <c r="R65" s="62"/>
    </row>
    <row r="66" spans="1:19">
      <c r="A66" s="1" t="s">
        <v>236</v>
      </c>
      <c r="B66" s="1" t="s">
        <v>459</v>
      </c>
      <c r="C66" s="1" t="s">
        <v>460</v>
      </c>
      <c r="D66" s="44">
        <f>'2015 pax'!Q66</f>
        <v>0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64"/>
      <c r="R66" s="62"/>
      <c r="S66" s="23"/>
    </row>
    <row r="67" spans="1:19">
      <c r="A67" s="1" t="s">
        <v>236</v>
      </c>
      <c r="B67" s="1" t="s">
        <v>461</v>
      </c>
      <c r="C67" s="1" t="s">
        <v>462</v>
      </c>
      <c r="D67" s="44">
        <f>'2015 pax'!Q67</f>
        <v>0</v>
      </c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64"/>
      <c r="R67" s="62"/>
      <c r="S67" s="63"/>
    </row>
    <row r="68" spans="1:19">
      <c r="A68" s="1" t="s">
        <v>236</v>
      </c>
      <c r="B68" s="1" t="s">
        <v>463</v>
      </c>
      <c r="C68" s="1" t="s">
        <v>464</v>
      </c>
      <c r="D68" s="44">
        <f>'2015 pax'!Q68</f>
        <v>0</v>
      </c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64"/>
      <c r="R68" s="62"/>
      <c r="S68" s="63"/>
    </row>
    <row r="69" spans="1:19">
      <c r="A69" s="1" t="s">
        <v>236</v>
      </c>
      <c r="B69" s="1" t="s">
        <v>465</v>
      </c>
      <c r="C69" s="1" t="s">
        <v>466</v>
      </c>
      <c r="D69" s="44">
        <f>'2015 pax'!Q69</f>
        <v>0</v>
      </c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64"/>
      <c r="R69" s="62"/>
    </row>
    <row r="70" spans="1:19">
      <c r="A70" s="1" t="s">
        <v>236</v>
      </c>
      <c r="B70" s="1" t="s">
        <v>467</v>
      </c>
      <c r="C70" s="1" t="s">
        <v>468</v>
      </c>
      <c r="D70" s="44">
        <f>'2015 pax'!Q70</f>
        <v>0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64"/>
      <c r="R70" s="62"/>
    </row>
    <row r="71" spans="1:19">
      <c r="A71" s="1" t="s">
        <v>236</v>
      </c>
      <c r="B71" s="1" t="s">
        <v>469</v>
      </c>
      <c r="C71" s="1" t="s">
        <v>470</v>
      </c>
      <c r="D71" s="44">
        <f>'2015 pax'!Q71</f>
        <v>0</v>
      </c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64"/>
      <c r="R71" s="62"/>
    </row>
    <row r="72" spans="1:19">
      <c r="A72" s="1" t="s">
        <v>236</v>
      </c>
      <c r="B72" s="1" t="s">
        <v>471</v>
      </c>
      <c r="C72" s="1" t="s">
        <v>472</v>
      </c>
      <c r="D72" s="44">
        <f>'2015 pax'!Q72</f>
        <v>0</v>
      </c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64"/>
      <c r="R72" s="62"/>
    </row>
    <row r="73" spans="1:19">
      <c r="A73" s="1" t="s">
        <v>236</v>
      </c>
      <c r="B73" s="1" t="s">
        <v>473</v>
      </c>
      <c r="C73" s="1" t="s">
        <v>474</v>
      </c>
      <c r="D73" s="44">
        <f>'2015 pax'!Q73</f>
        <v>0</v>
      </c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64"/>
      <c r="R73" s="62"/>
    </row>
    <row r="74" spans="1:19">
      <c r="A74" s="1" t="s">
        <v>236</v>
      </c>
      <c r="B74" s="1" t="s">
        <v>475</v>
      </c>
      <c r="C74" s="1" t="s">
        <v>476</v>
      </c>
      <c r="D74" s="44">
        <f>'2015 pax'!Q74</f>
        <v>0</v>
      </c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64"/>
      <c r="R74" s="62"/>
    </row>
    <row r="75" spans="1:19">
      <c r="A75" s="1" t="s">
        <v>236</v>
      </c>
      <c r="B75" s="1" t="s">
        <v>477</v>
      </c>
      <c r="C75" s="1" t="s">
        <v>478</v>
      </c>
      <c r="D75" s="44">
        <f>'2015 pax'!Q75</f>
        <v>0</v>
      </c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64"/>
      <c r="R75" s="62"/>
    </row>
    <row r="76" spans="1:19">
      <c r="A76" s="1" t="s">
        <v>236</v>
      </c>
      <c r="B76" s="1" t="s">
        <v>479</v>
      </c>
      <c r="C76" s="1" t="s">
        <v>480</v>
      </c>
      <c r="D76" s="44">
        <f>'2015 pax'!Q76</f>
        <v>0</v>
      </c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64"/>
      <c r="R76" s="62"/>
    </row>
    <row r="77" spans="1:19">
      <c r="A77" s="1" t="s">
        <v>236</v>
      </c>
      <c r="B77" s="1" t="s">
        <v>481</v>
      </c>
      <c r="C77" s="1" t="s">
        <v>237</v>
      </c>
      <c r="D77" s="44">
        <f>'2015 pax'!Q77</f>
        <v>0</v>
      </c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64"/>
      <c r="R77" s="62"/>
    </row>
    <row r="78" spans="1:19">
      <c r="A78" s="1" t="s">
        <v>236</v>
      </c>
      <c r="B78" s="1" t="s">
        <v>482</v>
      </c>
      <c r="C78" s="1" t="s">
        <v>483</v>
      </c>
      <c r="D78" s="44">
        <f>'2015 pax'!Q78</f>
        <v>0</v>
      </c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64"/>
      <c r="R78" s="62"/>
    </row>
    <row r="79" spans="1:19">
      <c r="A79" s="1" t="s">
        <v>236</v>
      </c>
      <c r="B79" s="1" t="s">
        <v>484</v>
      </c>
      <c r="C79" s="1" t="s">
        <v>485</v>
      </c>
      <c r="D79" s="44">
        <f>'2015 pax'!Q79</f>
        <v>0</v>
      </c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64"/>
      <c r="R79" s="62"/>
    </row>
    <row r="80" spans="1:19">
      <c r="A80" s="1" t="s">
        <v>238</v>
      </c>
      <c r="B80" s="7" t="s">
        <v>264</v>
      </c>
      <c r="C80" s="7" t="s">
        <v>265</v>
      </c>
      <c r="D80" s="44">
        <f>'2015 pax'!Q80</f>
        <v>484156</v>
      </c>
      <c r="E80" s="30">
        <v>42336</v>
      </c>
      <c r="F80" s="30">
        <v>38901</v>
      </c>
      <c r="G80" s="30">
        <v>39310</v>
      </c>
      <c r="H80" s="30">
        <v>36750</v>
      </c>
      <c r="I80" s="30">
        <v>40468</v>
      </c>
      <c r="J80" s="30">
        <v>41161</v>
      </c>
      <c r="K80" s="30"/>
      <c r="L80" s="30"/>
      <c r="M80" s="30"/>
      <c r="N80" s="30"/>
      <c r="O80" s="30"/>
      <c r="P80" s="30"/>
      <c r="Q80" s="64"/>
      <c r="R80" s="62"/>
    </row>
    <row r="81" spans="1:18">
      <c r="A81" s="1" t="s">
        <v>238</v>
      </c>
      <c r="B81" s="7" t="s">
        <v>290</v>
      </c>
      <c r="C81" s="7" t="s">
        <v>291</v>
      </c>
      <c r="D81" s="44">
        <f>'2015 pax'!Q81</f>
        <v>183561</v>
      </c>
      <c r="E81" s="30">
        <v>14620</v>
      </c>
      <c r="F81" s="30">
        <v>12544</v>
      </c>
      <c r="G81" s="30">
        <v>13629</v>
      </c>
      <c r="H81" s="30">
        <v>13180</v>
      </c>
      <c r="I81" s="30">
        <v>13527</v>
      </c>
      <c r="J81" s="30">
        <v>13629</v>
      </c>
      <c r="K81" s="30"/>
      <c r="L81" s="30"/>
      <c r="M81" s="30"/>
      <c r="N81" s="30"/>
      <c r="O81" s="30"/>
      <c r="P81" s="30"/>
      <c r="Q81" s="64"/>
      <c r="R81" s="62"/>
    </row>
    <row r="82" spans="1:18">
      <c r="A82" s="1" t="s">
        <v>238</v>
      </c>
      <c r="B82" s="7" t="s">
        <v>260</v>
      </c>
      <c r="C82" s="7" t="s">
        <v>261</v>
      </c>
      <c r="D82" s="44">
        <f>'2015 pax'!Q82</f>
        <v>2754100</v>
      </c>
      <c r="E82" s="30">
        <v>252331</v>
      </c>
      <c r="F82" s="30">
        <v>222554</v>
      </c>
      <c r="G82" s="30">
        <v>242295</v>
      </c>
      <c r="H82" s="30">
        <v>208162</v>
      </c>
      <c r="I82" s="30">
        <v>227073</v>
      </c>
      <c r="J82" s="30">
        <v>251608</v>
      </c>
      <c r="K82" s="30"/>
      <c r="L82" s="30"/>
      <c r="M82" s="30"/>
      <c r="N82" s="30"/>
      <c r="O82" s="30"/>
      <c r="P82" s="30"/>
      <c r="Q82" s="64"/>
      <c r="R82" s="62"/>
    </row>
    <row r="83" spans="1:18">
      <c r="A83" s="1" t="s">
        <v>238</v>
      </c>
      <c r="B83" s="3" t="s">
        <v>239</v>
      </c>
      <c r="C83" s="3" t="s">
        <v>240</v>
      </c>
      <c r="D83" s="44">
        <f>'2015 pax'!Q83</f>
        <v>28167389</v>
      </c>
      <c r="E83" s="30">
        <v>2664121</v>
      </c>
      <c r="F83" s="30">
        <v>2306224</v>
      </c>
      <c r="G83" s="30">
        <v>2487885</v>
      </c>
      <c r="H83" s="30">
        <v>2279884</v>
      </c>
      <c r="I83" s="30">
        <v>2478509</v>
      </c>
      <c r="J83" s="30">
        <v>2637530</v>
      </c>
      <c r="K83" s="30"/>
      <c r="L83" s="30"/>
      <c r="M83" s="30"/>
      <c r="N83" s="30"/>
      <c r="O83" s="30"/>
      <c r="P83" s="30"/>
      <c r="Q83" s="64"/>
      <c r="R83" s="62"/>
    </row>
    <row r="84" spans="1:18">
      <c r="A84" s="1" t="s">
        <v>238</v>
      </c>
      <c r="B84" s="7" t="s">
        <v>298</v>
      </c>
      <c r="C84" s="7" t="s">
        <v>299</v>
      </c>
      <c r="D84" s="44">
        <f>'2015 pax'!Q84</f>
        <v>1837897</v>
      </c>
      <c r="E84" s="30">
        <v>140887</v>
      </c>
      <c r="F84" s="30">
        <v>131419</v>
      </c>
      <c r="G84" s="30">
        <v>136632</v>
      </c>
      <c r="H84" s="30">
        <v>133438</v>
      </c>
      <c r="I84" s="30">
        <v>144630</v>
      </c>
      <c r="J84" s="30">
        <v>150532</v>
      </c>
      <c r="K84" s="30"/>
      <c r="L84" s="30"/>
      <c r="M84" s="30"/>
      <c r="N84" s="30"/>
      <c r="O84" s="30"/>
      <c r="P84" s="30"/>
      <c r="Q84" s="64"/>
      <c r="R84" s="62"/>
    </row>
    <row r="85" spans="1:18">
      <c r="A85" s="1" t="s">
        <v>238</v>
      </c>
      <c r="B85" s="7" t="s">
        <v>272</v>
      </c>
      <c r="C85" s="7" t="s">
        <v>273</v>
      </c>
      <c r="D85" s="44">
        <f>'2015 pax'!Q85</f>
        <v>5070963</v>
      </c>
      <c r="E85" s="30">
        <v>461669</v>
      </c>
      <c r="F85" s="30">
        <v>409321</v>
      </c>
      <c r="G85" s="30">
        <v>454780</v>
      </c>
      <c r="H85" s="30">
        <v>408075</v>
      </c>
      <c r="I85" s="30">
        <v>446850</v>
      </c>
      <c r="J85" s="30">
        <v>481239</v>
      </c>
      <c r="K85" s="30"/>
      <c r="L85" s="30"/>
      <c r="M85" s="30"/>
      <c r="N85" s="30"/>
      <c r="O85" s="30"/>
      <c r="P85" s="30"/>
      <c r="Q85" s="64"/>
      <c r="R85" s="62"/>
    </row>
    <row r="86" spans="1:18">
      <c r="A86" s="1" t="s">
        <v>238</v>
      </c>
      <c r="B86" s="7" t="s">
        <v>254</v>
      </c>
      <c r="C86" s="7" t="s">
        <v>255</v>
      </c>
      <c r="D86" s="44">
        <f>'2015 pax'!Q86</f>
        <v>211405</v>
      </c>
      <c r="E86" s="30">
        <v>15374</v>
      </c>
      <c r="F86" s="30">
        <v>17109</v>
      </c>
      <c r="G86" s="30">
        <v>15662</v>
      </c>
      <c r="H86" s="30">
        <v>16695</v>
      </c>
      <c r="I86" s="30">
        <v>17634</v>
      </c>
      <c r="J86" s="30">
        <v>17643</v>
      </c>
      <c r="K86" s="30"/>
      <c r="L86" s="30"/>
      <c r="M86" s="30"/>
      <c r="N86" s="30"/>
      <c r="O86" s="30"/>
      <c r="P86" s="30"/>
      <c r="Q86" s="64"/>
      <c r="R86" s="62"/>
    </row>
    <row r="87" spans="1:18">
      <c r="A87" s="1" t="s">
        <v>238</v>
      </c>
      <c r="B87" s="7" t="s">
        <v>262</v>
      </c>
      <c r="C87" s="7" t="s">
        <v>263</v>
      </c>
      <c r="D87" s="44">
        <f>'2015 pax'!Q87</f>
        <v>3881054</v>
      </c>
      <c r="E87" s="30">
        <v>414857</v>
      </c>
      <c r="F87" s="30">
        <v>329942</v>
      </c>
      <c r="G87" s="30">
        <v>353926</v>
      </c>
      <c r="H87" s="30">
        <v>298078</v>
      </c>
      <c r="I87" s="30">
        <v>326596</v>
      </c>
      <c r="J87" s="30">
        <v>369793</v>
      </c>
      <c r="K87" s="30"/>
      <c r="L87" s="30"/>
      <c r="M87" s="30"/>
      <c r="N87" s="30"/>
      <c r="O87" s="30"/>
      <c r="P87" s="30"/>
      <c r="Q87" s="64"/>
      <c r="R87" s="62"/>
    </row>
    <row r="88" spans="1:18">
      <c r="A88" s="1" t="s">
        <v>238</v>
      </c>
      <c r="B88" s="7" t="s">
        <v>282</v>
      </c>
      <c r="C88" s="7" t="s">
        <v>283</v>
      </c>
      <c r="D88" s="44">
        <f>'2015 pax'!Q88</f>
        <v>1163290</v>
      </c>
      <c r="E88" s="30">
        <v>98143</v>
      </c>
      <c r="F88" s="30">
        <v>76728</v>
      </c>
      <c r="G88" s="30">
        <v>84846</v>
      </c>
      <c r="H88" s="30">
        <v>78606</v>
      </c>
      <c r="I88" s="30">
        <v>92626</v>
      </c>
      <c r="J88" s="30">
        <v>101431</v>
      </c>
      <c r="K88" s="30"/>
      <c r="L88" s="30"/>
      <c r="M88" s="30"/>
      <c r="N88" s="30"/>
      <c r="O88" s="30"/>
      <c r="P88" s="30"/>
      <c r="Q88" s="64"/>
      <c r="R88" s="62"/>
    </row>
    <row r="89" spans="1:18">
      <c r="A89" s="1" t="s">
        <v>238</v>
      </c>
      <c r="B89" s="7" t="s">
        <v>296</v>
      </c>
      <c r="C89" s="7" t="s">
        <v>297</v>
      </c>
      <c r="D89" s="44">
        <f>'2015 pax'!Q89</f>
        <v>448747</v>
      </c>
      <c r="E89" s="30">
        <v>34040</v>
      </c>
      <c r="F89" s="30">
        <v>34103</v>
      </c>
      <c r="G89" s="30">
        <v>33462</v>
      </c>
      <c r="H89" s="30">
        <v>33075</v>
      </c>
      <c r="I89" s="30">
        <v>33699</v>
      </c>
      <c r="J89" s="30">
        <v>34148</v>
      </c>
      <c r="K89" s="30"/>
      <c r="L89" s="30"/>
      <c r="M89" s="30"/>
      <c r="N89" s="30"/>
      <c r="O89" s="30"/>
      <c r="P89" s="30"/>
      <c r="Q89" s="64"/>
      <c r="R89" s="62"/>
    </row>
    <row r="90" spans="1:18">
      <c r="A90" s="1" t="s">
        <v>238</v>
      </c>
      <c r="B90" s="7" t="s">
        <v>292</v>
      </c>
      <c r="C90" s="7" t="s">
        <v>293</v>
      </c>
      <c r="D90" s="44">
        <f>'2015 pax'!Q90</f>
        <v>158485</v>
      </c>
      <c r="E90" s="30">
        <v>12034</v>
      </c>
      <c r="F90" s="30">
        <v>14610</v>
      </c>
      <c r="G90" s="30">
        <v>12600</v>
      </c>
      <c r="H90" s="30">
        <v>13190</v>
      </c>
      <c r="I90" s="30">
        <v>13262</v>
      </c>
      <c r="J90" s="30">
        <v>14295</v>
      </c>
      <c r="K90" s="30"/>
      <c r="L90" s="30"/>
      <c r="M90" s="30"/>
      <c r="N90" s="30"/>
      <c r="O90" s="30"/>
      <c r="P90" s="30"/>
      <c r="Q90" s="64"/>
      <c r="R90" s="62"/>
    </row>
    <row r="91" spans="1:18">
      <c r="A91" s="1" t="s">
        <v>238</v>
      </c>
      <c r="B91" s="7" t="s">
        <v>270</v>
      </c>
      <c r="C91" s="7" t="s">
        <v>271</v>
      </c>
      <c r="D91" s="44">
        <f>'2015 pax'!Q91</f>
        <v>235419</v>
      </c>
      <c r="E91" s="30">
        <v>26782</v>
      </c>
      <c r="F91" s="30">
        <v>19394</v>
      </c>
      <c r="G91" s="30">
        <v>17804</v>
      </c>
      <c r="H91" s="30">
        <v>16632</v>
      </c>
      <c r="I91" s="30">
        <v>18187</v>
      </c>
      <c r="J91" s="30">
        <v>21389</v>
      </c>
      <c r="K91" s="30"/>
      <c r="L91" s="30"/>
      <c r="M91" s="30"/>
      <c r="N91" s="30"/>
      <c r="O91" s="30"/>
      <c r="P91" s="30"/>
      <c r="Q91" s="64"/>
      <c r="R91" s="62"/>
    </row>
    <row r="92" spans="1:18">
      <c r="A92" s="1" t="s">
        <v>238</v>
      </c>
      <c r="B92" s="7" t="s">
        <v>294</v>
      </c>
      <c r="C92" s="7" t="s">
        <v>295</v>
      </c>
      <c r="D92" s="44">
        <f>'2015 pax'!Q92</f>
        <v>211949</v>
      </c>
      <c r="E92" s="30">
        <v>20417</v>
      </c>
      <c r="F92" s="30">
        <v>20876</v>
      </c>
      <c r="G92" s="30">
        <v>18932</v>
      </c>
      <c r="H92" s="30">
        <v>19169</v>
      </c>
      <c r="I92" s="30">
        <v>20471</v>
      </c>
      <c r="J92" s="30">
        <v>22920</v>
      </c>
      <c r="K92" s="30"/>
      <c r="L92" s="30"/>
      <c r="M92" s="30"/>
      <c r="N92" s="30"/>
      <c r="O92" s="30"/>
      <c r="P92" s="30"/>
      <c r="Q92" s="64"/>
      <c r="R92" s="62"/>
    </row>
    <row r="93" spans="1:18">
      <c r="A93" s="1" t="s">
        <v>238</v>
      </c>
      <c r="B93" s="7" t="s">
        <v>256</v>
      </c>
      <c r="C93" s="7" t="s">
        <v>257</v>
      </c>
      <c r="D93" s="44">
        <f>'2015 pax'!Q93</f>
        <v>1086540</v>
      </c>
      <c r="E93" s="30">
        <v>86732</v>
      </c>
      <c r="F93" s="30">
        <v>82333</v>
      </c>
      <c r="G93" s="30">
        <v>78151</v>
      </c>
      <c r="H93" s="30">
        <v>80556</v>
      </c>
      <c r="I93" s="30">
        <v>85329</v>
      </c>
      <c r="J93" s="30">
        <v>95256</v>
      </c>
      <c r="K93" s="30"/>
      <c r="L93" s="30"/>
      <c r="M93" s="30"/>
      <c r="N93" s="30"/>
      <c r="O93" s="30"/>
      <c r="P93" s="30"/>
      <c r="Q93" s="64"/>
      <c r="R93" s="62"/>
    </row>
    <row r="94" spans="1:18">
      <c r="A94" s="1" t="s">
        <v>238</v>
      </c>
      <c r="B94" s="7" t="s">
        <v>288</v>
      </c>
      <c r="C94" s="7" t="s">
        <v>289</v>
      </c>
      <c r="D94" s="44">
        <f>'2015 pax'!Q94</f>
        <v>892120</v>
      </c>
      <c r="E94" s="30">
        <v>84620</v>
      </c>
      <c r="F94" s="30">
        <v>68810</v>
      </c>
      <c r="G94" s="30">
        <v>75026</v>
      </c>
      <c r="H94" s="30">
        <v>70147</v>
      </c>
      <c r="I94" s="30">
        <v>78238</v>
      </c>
      <c r="J94" s="30">
        <v>82937</v>
      </c>
      <c r="K94" s="30"/>
      <c r="L94" s="30"/>
      <c r="M94" s="30"/>
      <c r="N94" s="30"/>
      <c r="O94" s="30"/>
      <c r="P94" s="30"/>
      <c r="Q94" s="64"/>
      <c r="R94" s="62"/>
    </row>
    <row r="95" spans="1:18">
      <c r="A95" s="1" t="s">
        <v>238</v>
      </c>
      <c r="B95" s="7" t="s">
        <v>274</v>
      </c>
      <c r="C95" s="7" t="s">
        <v>275</v>
      </c>
      <c r="D95" s="44">
        <f>'2015 pax'!Q95</f>
        <v>324043</v>
      </c>
      <c r="E95" s="30">
        <v>23391</v>
      </c>
      <c r="F95" s="30">
        <v>24026</v>
      </c>
      <c r="G95" s="30">
        <v>24199</v>
      </c>
      <c r="H95" s="30">
        <v>25556</v>
      </c>
      <c r="I95" s="30">
        <v>25393</v>
      </c>
      <c r="J95" s="30">
        <v>25283</v>
      </c>
      <c r="K95" s="30"/>
      <c r="L95" s="30"/>
      <c r="M95" s="30"/>
      <c r="N95" s="30"/>
      <c r="O95" s="30"/>
      <c r="P95" s="30"/>
      <c r="Q95" s="64"/>
      <c r="R95" s="62"/>
    </row>
    <row r="96" spans="1:18">
      <c r="A96" s="1" t="s">
        <v>238</v>
      </c>
      <c r="B96" s="7" t="s">
        <v>562</v>
      </c>
      <c r="C96" s="7" t="s">
        <v>267</v>
      </c>
      <c r="D96" s="44">
        <f>'2015 pax'!Q96</f>
        <v>1528245</v>
      </c>
      <c r="E96" s="30">
        <v>131811</v>
      </c>
      <c r="F96" s="30">
        <v>119896</v>
      </c>
      <c r="G96" s="30">
        <v>127843</v>
      </c>
      <c r="H96" s="30">
        <v>120025</v>
      </c>
      <c r="I96" s="30">
        <v>127717</v>
      </c>
      <c r="J96" s="30">
        <v>133354</v>
      </c>
      <c r="K96" s="30"/>
      <c r="L96" s="30"/>
      <c r="M96" s="30"/>
      <c r="N96" s="30"/>
      <c r="O96" s="30"/>
      <c r="P96" s="30"/>
      <c r="Q96" s="64"/>
      <c r="R96" s="62"/>
    </row>
    <row r="97" spans="1:18">
      <c r="A97" s="1" t="s">
        <v>238</v>
      </c>
      <c r="B97" s="7" t="s">
        <v>280</v>
      </c>
      <c r="C97" s="7" t="s">
        <v>281</v>
      </c>
      <c r="D97" s="44">
        <f>'2015 pax'!Q97</f>
        <v>306413</v>
      </c>
      <c r="E97" s="30">
        <v>26269</v>
      </c>
      <c r="F97" s="30">
        <v>23564</v>
      </c>
      <c r="G97" s="30">
        <v>24802</v>
      </c>
      <c r="H97" s="30">
        <v>23784</v>
      </c>
      <c r="I97" s="30">
        <v>23988</v>
      </c>
      <c r="J97" s="30">
        <v>27471</v>
      </c>
      <c r="K97" s="30"/>
      <c r="L97" s="30"/>
      <c r="M97" s="30"/>
      <c r="N97" s="30"/>
      <c r="O97" s="30"/>
      <c r="P97" s="30"/>
      <c r="Q97" s="64"/>
      <c r="R97" s="62"/>
    </row>
    <row r="98" spans="1:18">
      <c r="A98" s="1" t="s">
        <v>238</v>
      </c>
      <c r="B98" s="7" t="s">
        <v>286</v>
      </c>
      <c r="C98" s="7" t="s">
        <v>287</v>
      </c>
      <c r="D98" s="44">
        <f>'2015 pax'!Q98</f>
        <v>380802</v>
      </c>
      <c r="E98" s="30">
        <v>33550</v>
      </c>
      <c r="F98" s="30">
        <v>27174</v>
      </c>
      <c r="G98" s="30">
        <v>29070</v>
      </c>
      <c r="H98" s="30">
        <v>30441</v>
      </c>
      <c r="I98" s="30">
        <v>33143</v>
      </c>
      <c r="J98" s="30">
        <v>37239</v>
      </c>
      <c r="K98" s="30"/>
      <c r="L98" s="30"/>
      <c r="M98" s="30"/>
      <c r="N98" s="30"/>
      <c r="O98" s="30"/>
      <c r="P98" s="30"/>
      <c r="Q98" s="64"/>
      <c r="R98" s="62"/>
    </row>
    <row r="99" spans="1:18">
      <c r="A99" s="1" t="s">
        <v>238</v>
      </c>
      <c r="B99" s="7" t="s">
        <v>525</v>
      </c>
      <c r="C99" s="7" t="s">
        <v>259</v>
      </c>
      <c r="D99" s="44">
        <f>'2015 pax'!Q99</f>
        <v>6413922</v>
      </c>
      <c r="E99" s="30">
        <v>663049</v>
      </c>
      <c r="F99" s="30">
        <v>569181</v>
      </c>
      <c r="G99" s="30">
        <v>626545</v>
      </c>
      <c r="H99" s="30">
        <v>567854</v>
      </c>
      <c r="I99" s="30">
        <v>625644</v>
      </c>
      <c r="J99" s="30">
        <v>654670</v>
      </c>
      <c r="K99" s="30"/>
      <c r="L99" s="30"/>
      <c r="M99" s="30"/>
      <c r="N99" s="30"/>
      <c r="O99" s="30"/>
      <c r="P99" s="30"/>
      <c r="Q99" s="64"/>
      <c r="R99" s="62"/>
    </row>
    <row r="100" spans="1:18">
      <c r="A100" s="1" t="s">
        <v>238</v>
      </c>
      <c r="B100" s="7" t="s">
        <v>268</v>
      </c>
      <c r="C100" s="7" t="s">
        <v>269</v>
      </c>
      <c r="D100" s="44">
        <f>'2015 pax'!Q100</f>
        <v>1911118</v>
      </c>
      <c r="E100" s="30">
        <v>198505</v>
      </c>
      <c r="F100" s="30">
        <v>170811</v>
      </c>
      <c r="G100" s="30">
        <v>167136</v>
      </c>
      <c r="H100" s="30">
        <v>151409</v>
      </c>
      <c r="I100" s="30">
        <v>164363</v>
      </c>
      <c r="J100" s="30">
        <v>177825</v>
      </c>
      <c r="K100" s="30"/>
      <c r="L100" s="30"/>
      <c r="M100" s="30"/>
      <c r="N100" s="30"/>
      <c r="O100" s="30"/>
      <c r="P100" s="30"/>
      <c r="Q100" s="64"/>
      <c r="R100" s="62"/>
    </row>
    <row r="101" spans="1:18">
      <c r="A101" s="1" t="s">
        <v>238</v>
      </c>
      <c r="B101" s="7" t="s">
        <v>276</v>
      </c>
      <c r="C101" s="7" t="s">
        <v>277</v>
      </c>
      <c r="D101" s="44">
        <f>'2015 pax'!Q101</f>
        <v>1458186</v>
      </c>
      <c r="E101" s="30">
        <v>148967</v>
      </c>
      <c r="F101" s="30">
        <v>108297</v>
      </c>
      <c r="G101" s="30">
        <v>116297</v>
      </c>
      <c r="H101" s="30">
        <v>105068</v>
      </c>
      <c r="I101" s="30">
        <v>117515</v>
      </c>
      <c r="J101" s="30">
        <v>127560</v>
      </c>
      <c r="K101" s="30"/>
      <c r="L101" s="30"/>
      <c r="M101" s="30"/>
      <c r="N101" s="30"/>
      <c r="O101" s="30"/>
      <c r="P101" s="30"/>
      <c r="Q101" s="64"/>
      <c r="R101" s="62"/>
    </row>
    <row r="102" spans="1:18">
      <c r="A102" s="1" t="s">
        <v>238</v>
      </c>
      <c r="B102" s="7" t="s">
        <v>284</v>
      </c>
      <c r="C102" s="7" t="s">
        <v>285</v>
      </c>
      <c r="D102" s="44">
        <f>'2015 pax'!Q102</f>
        <v>380264</v>
      </c>
      <c r="E102" s="30">
        <v>31093</v>
      </c>
      <c r="F102" s="30">
        <v>28308</v>
      </c>
      <c r="G102" s="30">
        <v>30477</v>
      </c>
      <c r="H102" s="30">
        <v>32711</v>
      </c>
      <c r="I102" s="30">
        <v>34944</v>
      </c>
      <c r="J102" s="30">
        <v>34952</v>
      </c>
      <c r="K102" s="30"/>
      <c r="L102" s="30"/>
      <c r="M102" s="30"/>
      <c r="N102" s="30"/>
      <c r="O102" s="30"/>
      <c r="P102" s="30"/>
      <c r="Q102" s="64"/>
      <c r="R102" s="62"/>
    </row>
    <row r="103" spans="1:18">
      <c r="A103" s="1" t="s">
        <v>238</v>
      </c>
      <c r="B103" s="7" t="s">
        <v>278</v>
      </c>
      <c r="C103" s="7" t="s">
        <v>279</v>
      </c>
      <c r="D103" s="44">
        <f>'2015 pax'!Q103</f>
        <v>227129</v>
      </c>
      <c r="E103" s="30">
        <v>15897</v>
      </c>
      <c r="F103" s="30">
        <v>14123</v>
      </c>
      <c r="G103" s="30">
        <v>14257</v>
      </c>
      <c r="H103" s="30">
        <v>13493</v>
      </c>
      <c r="I103" s="30">
        <v>14178</v>
      </c>
      <c r="J103" s="30">
        <v>15428</v>
      </c>
      <c r="K103" s="30"/>
      <c r="L103" s="30"/>
      <c r="M103" s="30"/>
      <c r="N103" s="30"/>
      <c r="O103" s="30"/>
      <c r="P103" s="30"/>
      <c r="Q103" s="64"/>
      <c r="R103" s="62"/>
    </row>
    <row r="104" spans="1:18" s="42" customFormat="1">
      <c r="A104" s="1" t="s">
        <v>579</v>
      </c>
      <c r="B104" s="7" t="s">
        <v>493</v>
      </c>
      <c r="C104" s="7" t="s">
        <v>580</v>
      </c>
      <c r="D104" s="44">
        <v>4494875</v>
      </c>
      <c r="E104" s="30">
        <v>463659</v>
      </c>
      <c r="F104" s="30">
        <v>391409</v>
      </c>
      <c r="G104" s="30">
        <v>447410</v>
      </c>
      <c r="H104" s="30">
        <v>375242</v>
      </c>
      <c r="I104" s="30">
        <v>338189</v>
      </c>
      <c r="J104" s="30">
        <v>345154</v>
      </c>
      <c r="K104" s="30">
        <v>444634</v>
      </c>
      <c r="L104" s="30">
        <v>357581</v>
      </c>
      <c r="M104" s="30">
        <v>304656</v>
      </c>
      <c r="N104" s="30">
        <v>299711</v>
      </c>
      <c r="O104" s="30">
        <v>352594</v>
      </c>
      <c r="P104" s="30">
        <v>473168</v>
      </c>
      <c r="Q104" s="44">
        <f>SUM(E104:P104)</f>
        <v>4593407</v>
      </c>
      <c r="R104" s="62"/>
    </row>
    <row r="105" spans="1:18">
      <c r="A105" s="1" t="s">
        <v>241</v>
      </c>
      <c r="B105" s="3" t="s">
        <v>529</v>
      </c>
      <c r="C105" s="3" t="s">
        <v>250</v>
      </c>
      <c r="D105" s="44">
        <f>'2015 pax'!Q104</f>
        <v>61400</v>
      </c>
      <c r="E105" s="30">
        <v>10813</v>
      </c>
      <c r="F105" s="30">
        <v>9698</v>
      </c>
      <c r="G105" s="30">
        <v>9830</v>
      </c>
      <c r="H105" s="30">
        <v>6964</v>
      </c>
      <c r="I105" s="30">
        <v>2562</v>
      </c>
      <c r="J105" s="30">
        <v>2562</v>
      </c>
      <c r="K105" s="30">
        <v>4195</v>
      </c>
      <c r="L105" s="30">
        <v>3606</v>
      </c>
      <c r="M105" s="30"/>
      <c r="N105" s="30"/>
      <c r="O105" s="30"/>
      <c r="P105" s="30"/>
      <c r="Q105" s="64"/>
      <c r="R105" s="62"/>
    </row>
    <row r="106" spans="1:18">
      <c r="A106" s="1" t="s">
        <v>241</v>
      </c>
      <c r="B106" s="3" t="s">
        <v>245</v>
      </c>
      <c r="C106" s="3" t="s">
        <v>246</v>
      </c>
      <c r="D106" s="44">
        <f>'2015 pax'!Q105</f>
        <v>635218</v>
      </c>
      <c r="E106" s="30">
        <v>48955</v>
      </c>
      <c r="F106" s="30">
        <v>45537</v>
      </c>
      <c r="G106" s="30">
        <v>53828</v>
      </c>
      <c r="H106" s="30">
        <v>49006</v>
      </c>
      <c r="I106" s="30">
        <v>51367</v>
      </c>
      <c r="J106" s="30">
        <v>66078</v>
      </c>
      <c r="K106" s="30">
        <v>82528</v>
      </c>
      <c r="L106" s="30">
        <v>67791</v>
      </c>
      <c r="M106" s="30"/>
      <c r="N106" s="30"/>
      <c r="O106" s="30"/>
      <c r="P106" s="30"/>
      <c r="Q106" s="64"/>
      <c r="R106" s="62"/>
    </row>
    <row r="107" spans="1:18">
      <c r="A107" s="1" t="s">
        <v>241</v>
      </c>
      <c r="B107" s="3" t="s">
        <v>530</v>
      </c>
      <c r="C107" s="3" t="s">
        <v>247</v>
      </c>
      <c r="D107" s="44">
        <f>'2015 pax'!Q106</f>
        <v>1732670</v>
      </c>
      <c r="E107" s="30">
        <v>146702</v>
      </c>
      <c r="F107" s="30">
        <v>129474</v>
      </c>
      <c r="G107" s="30">
        <v>148955</v>
      </c>
      <c r="H107" s="30">
        <v>129794</v>
      </c>
      <c r="I107" s="30">
        <v>136695</v>
      </c>
      <c r="J107" s="30">
        <v>155448</v>
      </c>
      <c r="K107" s="30">
        <v>186561</v>
      </c>
      <c r="L107" s="30">
        <v>170811</v>
      </c>
      <c r="M107" s="30"/>
      <c r="N107" s="30"/>
      <c r="O107" s="30"/>
      <c r="P107" s="30"/>
      <c r="Q107" s="64"/>
      <c r="R107" s="62"/>
    </row>
    <row r="108" spans="1:18">
      <c r="A108" s="1" t="s">
        <v>241</v>
      </c>
      <c r="B108" s="3" t="s">
        <v>248</v>
      </c>
      <c r="C108" s="3" t="s">
        <v>249</v>
      </c>
      <c r="D108" s="44">
        <f>'2015 pax'!Q107</f>
        <v>104427</v>
      </c>
      <c r="E108" s="30">
        <v>16997</v>
      </c>
      <c r="F108" s="30">
        <v>13758</v>
      </c>
      <c r="G108" s="30">
        <v>13395</v>
      </c>
      <c r="H108" s="30">
        <v>9723</v>
      </c>
      <c r="I108" s="30">
        <v>4072</v>
      </c>
      <c r="J108" s="30">
        <v>5232</v>
      </c>
      <c r="K108" s="30">
        <v>8349</v>
      </c>
      <c r="L108" s="30">
        <v>7081</v>
      </c>
      <c r="M108" s="30"/>
      <c r="N108" s="30"/>
      <c r="O108" s="30"/>
      <c r="P108" s="30"/>
      <c r="Q108" s="64"/>
      <c r="R108" s="62"/>
    </row>
    <row r="109" spans="1:18">
      <c r="A109" s="1" t="s">
        <v>241</v>
      </c>
      <c r="B109" s="3" t="s">
        <v>531</v>
      </c>
      <c r="C109" s="3" t="s">
        <v>242</v>
      </c>
      <c r="D109" s="44">
        <f>'2015 pax'!Q108</f>
        <v>392622</v>
      </c>
      <c r="E109" s="30">
        <v>55617</v>
      </c>
      <c r="F109" s="30">
        <v>54211</v>
      </c>
      <c r="G109" s="30">
        <v>54662</v>
      </c>
      <c r="H109" s="30">
        <v>39025</v>
      </c>
      <c r="I109" s="30">
        <v>22511</v>
      </c>
      <c r="J109" s="30">
        <v>26246</v>
      </c>
      <c r="K109" s="30">
        <v>32804</v>
      </c>
      <c r="L109" s="30">
        <v>28895</v>
      </c>
      <c r="M109" s="30"/>
      <c r="N109" s="30"/>
      <c r="O109" s="30"/>
      <c r="P109" s="30"/>
      <c r="Q109" s="64"/>
      <c r="R109" s="62"/>
    </row>
    <row r="110" spans="1:18">
      <c r="A110" s="1" t="s">
        <v>241</v>
      </c>
      <c r="B110" s="3" t="s">
        <v>243</v>
      </c>
      <c r="C110" s="3" t="s">
        <v>244</v>
      </c>
      <c r="D110" s="44">
        <f>'2015 pax'!Q109</f>
        <v>3206874</v>
      </c>
      <c r="E110" s="30">
        <v>304685</v>
      </c>
      <c r="F110" s="30">
        <v>297533</v>
      </c>
      <c r="G110" s="30">
        <v>327721</v>
      </c>
      <c r="H110" s="30">
        <v>287178</v>
      </c>
      <c r="I110" s="30">
        <v>265785</v>
      </c>
      <c r="J110" s="30">
        <v>303392</v>
      </c>
      <c r="K110" s="30">
        <v>364080</v>
      </c>
      <c r="L110" s="30">
        <v>291189</v>
      </c>
      <c r="M110" s="30"/>
      <c r="N110" s="30"/>
      <c r="O110" s="30"/>
      <c r="P110" s="30"/>
      <c r="Q110" s="64"/>
      <c r="R110" s="62"/>
    </row>
    <row r="111" spans="1:18">
      <c r="A111" s="3" t="s">
        <v>341</v>
      </c>
      <c r="B111" s="3" t="s">
        <v>342</v>
      </c>
      <c r="C111" s="3" t="s">
        <v>343</v>
      </c>
      <c r="D111" s="44">
        <f>'2015 pax'!Q110</f>
        <v>0</v>
      </c>
      <c r="E111" s="30"/>
      <c r="F111" s="30"/>
      <c r="G111" s="30"/>
      <c r="H111" s="30"/>
      <c r="J111" s="30"/>
      <c r="K111" s="30"/>
      <c r="L111" s="30"/>
      <c r="M111" s="30"/>
      <c r="N111" s="30"/>
      <c r="O111" s="30"/>
      <c r="P111" s="30"/>
      <c r="Q111" s="64"/>
      <c r="R111" s="62"/>
    </row>
    <row r="112" spans="1:18">
      <c r="A112" s="1" t="s">
        <v>251</v>
      </c>
      <c r="B112" s="3" t="s">
        <v>361</v>
      </c>
      <c r="C112" s="3" t="s">
        <v>252</v>
      </c>
      <c r="D112" s="44">
        <f>'2015 pax'!Q111</f>
        <v>2711621</v>
      </c>
      <c r="E112" s="30">
        <v>249195</v>
      </c>
      <c r="F112" s="30">
        <v>204581</v>
      </c>
      <c r="G112" s="30">
        <v>252415</v>
      </c>
      <c r="H112" s="30">
        <v>220860</v>
      </c>
      <c r="I112" s="30">
        <v>237985</v>
      </c>
      <c r="J112" s="30">
        <v>249810</v>
      </c>
      <c r="K112" s="30">
        <v>291525</v>
      </c>
      <c r="L112" s="30">
        <v>272998</v>
      </c>
      <c r="M112" s="30">
        <v>224997</v>
      </c>
      <c r="N112" s="30">
        <v>237040</v>
      </c>
      <c r="O112" s="30">
        <v>241838</v>
      </c>
      <c r="P112" s="30">
        <v>287311</v>
      </c>
      <c r="Q112" s="44">
        <f>SUM(E112:P112)</f>
        <v>2970555</v>
      </c>
      <c r="R112" s="62">
        <f>SUM(Q112/'2015 pax'!Q111)-1</f>
        <v>9.549048336769772E-2</v>
      </c>
    </row>
    <row r="113" spans="1:18">
      <c r="A113" s="1" t="s">
        <v>334</v>
      </c>
      <c r="B113" s="7" t="s">
        <v>335</v>
      </c>
      <c r="C113" s="7" t="s">
        <v>336</v>
      </c>
      <c r="D113" s="44">
        <f>'2015 pax'!Q112</f>
        <v>2089763</v>
      </c>
      <c r="E113" s="30">
        <v>216102</v>
      </c>
      <c r="F113" s="30">
        <v>216013</v>
      </c>
      <c r="G113" s="30">
        <v>224995</v>
      </c>
      <c r="H113" s="30">
        <v>191269</v>
      </c>
      <c r="I113" s="30">
        <v>156654</v>
      </c>
      <c r="J113" s="30">
        <v>149255</v>
      </c>
      <c r="K113" s="30">
        <v>225053</v>
      </c>
      <c r="L113" s="30">
        <v>241324</v>
      </c>
      <c r="M113" s="30">
        <v>117087</v>
      </c>
      <c r="N113" s="30">
        <v>145140</v>
      </c>
      <c r="O113" s="30">
        <v>154043</v>
      </c>
      <c r="P113" s="30">
        <v>214281</v>
      </c>
      <c r="Q113" s="44">
        <f>SUM(E113:P113)</f>
        <v>2251216</v>
      </c>
      <c r="R113" s="62">
        <f>SUM(Q113/'2015 pax'!Q112)-1</f>
        <v>7.7259000183274473E-2</v>
      </c>
    </row>
    <row r="114" spans="1:18">
      <c r="A114" s="1" t="s">
        <v>546</v>
      </c>
      <c r="B114" s="7" t="s">
        <v>547</v>
      </c>
      <c r="C114" s="7" t="s">
        <v>548</v>
      </c>
      <c r="D114" s="44">
        <f>'2015 pax'!Q113</f>
        <v>2323360</v>
      </c>
      <c r="E114" s="30">
        <v>220976</v>
      </c>
      <c r="F114" s="30">
        <v>182586</v>
      </c>
      <c r="G114" s="30">
        <v>230259</v>
      </c>
      <c r="H114" s="30">
        <v>194392</v>
      </c>
      <c r="I114" s="30">
        <v>198272</v>
      </c>
      <c r="J114" s="30">
        <v>226612</v>
      </c>
      <c r="K114" s="30">
        <v>243507</v>
      </c>
      <c r="L114" s="30">
        <v>218133</v>
      </c>
      <c r="M114" s="30">
        <v>179727</v>
      </c>
      <c r="N114" s="30">
        <v>206226</v>
      </c>
      <c r="O114" s="30">
        <v>226527</v>
      </c>
      <c r="P114" s="30">
        <v>251906</v>
      </c>
      <c r="Q114" s="44">
        <f>SUM(E114:P114)</f>
        <v>2579123</v>
      </c>
      <c r="R114" s="62">
        <f>SUM(Q114/'2015 pax'!Q113)-1</f>
        <v>0.11008324151229254</v>
      </c>
    </row>
    <row r="115" spans="1:18" s="42" customFormat="1">
      <c r="A115" s="1" t="s">
        <v>581</v>
      </c>
      <c r="B115" s="7" t="s">
        <v>582</v>
      </c>
      <c r="C115" s="7" t="s">
        <v>583</v>
      </c>
      <c r="D115" s="44">
        <v>3800608</v>
      </c>
      <c r="E115" s="30">
        <v>370345</v>
      </c>
      <c r="F115" s="30">
        <v>343155</v>
      </c>
      <c r="G115" s="30">
        <v>397459</v>
      </c>
      <c r="H115" s="30">
        <v>353573</v>
      </c>
      <c r="I115" s="30">
        <v>304101</v>
      </c>
      <c r="J115" s="30">
        <v>323843</v>
      </c>
      <c r="K115" s="30">
        <v>382175</v>
      </c>
      <c r="L115" s="30">
        <v>329907</v>
      </c>
      <c r="M115" s="30">
        <v>225536</v>
      </c>
      <c r="N115" s="30">
        <v>241065</v>
      </c>
      <c r="O115" s="30">
        <v>304900</v>
      </c>
      <c r="P115" s="30">
        <v>376214</v>
      </c>
      <c r="Q115" s="44">
        <f>SUM(E115:P115)</f>
        <v>3952273</v>
      </c>
      <c r="R115" s="62">
        <f>SUM(Q115/D115)-1</f>
        <v>3.9905457232106034E-2</v>
      </c>
    </row>
    <row r="116" spans="1:18">
      <c r="A116" s="1" t="s">
        <v>331</v>
      </c>
      <c r="B116" s="7" t="s">
        <v>332</v>
      </c>
      <c r="C116" s="7" t="s">
        <v>333</v>
      </c>
      <c r="D116" s="44">
        <f>'2015 pax'!Q114</f>
        <v>711822</v>
      </c>
      <c r="E116" s="30"/>
      <c r="F116" s="30"/>
      <c r="G116" s="30"/>
      <c r="H116" s="30"/>
      <c r="I116" s="66"/>
      <c r="J116" s="30"/>
      <c r="K116" s="30"/>
      <c r="L116" s="30"/>
      <c r="M116" s="30"/>
      <c r="N116" s="30"/>
      <c r="O116" s="30"/>
      <c r="P116" s="30"/>
      <c r="Q116" s="64"/>
      <c r="R116" s="62"/>
    </row>
    <row r="117" spans="1:18" ht="15.75">
      <c r="A117" s="1" t="s">
        <v>85</v>
      </c>
      <c r="B117" s="1" t="s">
        <v>364</v>
      </c>
      <c r="C117" s="1" t="s">
        <v>126</v>
      </c>
      <c r="D117" s="44">
        <f>'2015 pax'!Q115</f>
        <v>730382</v>
      </c>
      <c r="E117" s="30">
        <v>67421</v>
      </c>
      <c r="F117" s="30">
        <v>65200</v>
      </c>
      <c r="G117" s="30">
        <v>73810</v>
      </c>
      <c r="H117" s="30">
        <v>54325</v>
      </c>
      <c r="I117" s="30">
        <v>53367</v>
      </c>
      <c r="J117" s="30">
        <v>51258</v>
      </c>
      <c r="K117" s="30">
        <v>70904</v>
      </c>
      <c r="L117" s="30"/>
      <c r="M117" s="30"/>
      <c r="N117" s="30"/>
      <c r="O117" s="30"/>
      <c r="P117" s="30"/>
      <c r="Q117" s="64"/>
      <c r="R117" s="62"/>
    </row>
    <row r="118" spans="1:18">
      <c r="A118" s="1" t="s">
        <v>85</v>
      </c>
      <c r="B118" s="1" t="s">
        <v>377</v>
      </c>
      <c r="C118" s="1" t="s">
        <v>121</v>
      </c>
      <c r="D118" s="44">
        <f>'2015 pax'!Q116</f>
        <v>632800</v>
      </c>
      <c r="E118" s="30">
        <v>50800</v>
      </c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64"/>
      <c r="R118" s="62"/>
    </row>
    <row r="119" spans="1:18">
      <c r="A119" s="1" t="s">
        <v>85</v>
      </c>
      <c r="B119" s="1" t="s">
        <v>88</v>
      </c>
      <c r="C119" s="1" t="s">
        <v>89</v>
      </c>
      <c r="D119" s="44">
        <f>'2015 pax'!Q117</f>
        <v>19596485</v>
      </c>
      <c r="E119" s="30">
        <v>1836946</v>
      </c>
      <c r="F119" s="30">
        <v>1669355</v>
      </c>
      <c r="G119" s="30">
        <v>1992575</v>
      </c>
      <c r="H119" s="30">
        <v>1767223</v>
      </c>
      <c r="I119" s="30">
        <v>1721183</v>
      </c>
      <c r="J119" s="30">
        <v>1793561</v>
      </c>
      <c r="K119" s="30">
        <v>2137473</v>
      </c>
      <c r="L119" s="30">
        <v>1879537</v>
      </c>
      <c r="M119" s="30">
        <v>1383555</v>
      </c>
      <c r="N119" s="30">
        <v>1516128</v>
      </c>
      <c r="O119" s="30">
        <v>1705897</v>
      </c>
      <c r="P119" s="30">
        <v>2012362</v>
      </c>
      <c r="Q119" s="44">
        <f>SUM(E119:P119)</f>
        <v>21415795</v>
      </c>
      <c r="R119" s="62">
        <f>SUM(Q119/D119)-1</f>
        <v>9.2838588144761758E-2</v>
      </c>
    </row>
    <row r="120" spans="1:18" ht="15.75">
      <c r="A120" s="1" t="s">
        <v>85</v>
      </c>
      <c r="B120" s="1" t="s">
        <v>365</v>
      </c>
      <c r="C120" s="1" t="s">
        <v>129</v>
      </c>
      <c r="D120" s="44">
        <f>'2015 pax'!Q118</f>
        <v>1110513</v>
      </c>
      <c r="E120" s="30">
        <v>84589</v>
      </c>
      <c r="F120" s="30">
        <v>87693</v>
      </c>
      <c r="G120" s="30">
        <v>98885</v>
      </c>
      <c r="H120" s="30">
        <v>98231</v>
      </c>
      <c r="I120" s="30">
        <v>100122</v>
      </c>
      <c r="J120" s="30">
        <v>103035</v>
      </c>
      <c r="K120" s="30">
        <v>138118</v>
      </c>
      <c r="L120" s="66"/>
      <c r="M120" s="30"/>
      <c r="N120" s="30"/>
      <c r="O120" s="30"/>
      <c r="P120" s="30"/>
      <c r="Q120" s="64"/>
      <c r="R120" s="62"/>
    </row>
    <row r="121" spans="1:18" ht="15.75">
      <c r="A121" s="1" t="s">
        <v>85</v>
      </c>
      <c r="B121" s="1" t="s">
        <v>366</v>
      </c>
      <c r="C121" s="1" t="s">
        <v>127</v>
      </c>
      <c r="D121" s="44">
        <f>'2015 pax'!Q119</f>
        <v>863760</v>
      </c>
      <c r="E121" s="30">
        <v>73281</v>
      </c>
      <c r="F121" s="30">
        <v>75968</v>
      </c>
      <c r="G121" s="30">
        <v>86070</v>
      </c>
      <c r="H121" s="30">
        <v>85058</v>
      </c>
      <c r="I121" s="30">
        <v>91871</v>
      </c>
      <c r="J121" s="30">
        <v>97582</v>
      </c>
      <c r="K121" s="30">
        <v>114668</v>
      </c>
      <c r="M121" s="30"/>
      <c r="N121" s="30"/>
      <c r="O121" s="30"/>
      <c r="P121" s="30"/>
      <c r="Q121" s="64"/>
      <c r="R121" s="62"/>
    </row>
    <row r="122" spans="1:18">
      <c r="A122" s="1" t="s">
        <v>85</v>
      </c>
      <c r="B122" s="1" t="s">
        <v>97</v>
      </c>
      <c r="C122" s="1" t="s">
        <v>98</v>
      </c>
      <c r="D122" s="44">
        <f>'2015 pax'!Q120</f>
        <v>553776</v>
      </c>
      <c r="E122" s="30">
        <v>53374</v>
      </c>
      <c r="F122" s="30">
        <v>53802</v>
      </c>
      <c r="G122" s="30">
        <v>70143</v>
      </c>
      <c r="H122" s="30">
        <v>45995</v>
      </c>
      <c r="I122" s="30">
        <v>37647</v>
      </c>
      <c r="J122" s="30">
        <v>44057</v>
      </c>
      <c r="K122" s="30">
        <v>56230</v>
      </c>
      <c r="L122" s="30">
        <v>41739</v>
      </c>
      <c r="M122" s="30">
        <v>22742</v>
      </c>
      <c r="N122" s="30">
        <v>26786</v>
      </c>
      <c r="O122" s="30">
        <v>37270</v>
      </c>
      <c r="P122" s="30">
        <v>48307</v>
      </c>
      <c r="Q122" s="44">
        <f>SUM(E122:P122)</f>
        <v>538092</v>
      </c>
      <c r="R122" s="62">
        <f>SUM(Q122/D122)-1</f>
        <v>-2.8321920776631759E-2</v>
      </c>
    </row>
    <row r="123" spans="1:18" ht="15.75">
      <c r="A123" s="1" t="s">
        <v>85</v>
      </c>
      <c r="B123" s="1" t="s">
        <v>367</v>
      </c>
      <c r="C123" s="1" t="s">
        <v>125</v>
      </c>
      <c r="D123" s="44">
        <f>'2015 pax'!Q121</f>
        <v>1432315</v>
      </c>
      <c r="E123" s="30">
        <v>123302</v>
      </c>
      <c r="F123" s="30">
        <v>118992</v>
      </c>
      <c r="G123" s="30">
        <v>143781</v>
      </c>
      <c r="H123" s="30">
        <v>133026</v>
      </c>
      <c r="I123" s="30">
        <v>141611</v>
      </c>
      <c r="J123" s="30">
        <v>135775</v>
      </c>
      <c r="K123" s="30">
        <v>156961</v>
      </c>
      <c r="M123" s="30"/>
      <c r="N123" s="30"/>
      <c r="O123" s="30"/>
      <c r="P123" s="30"/>
      <c r="Q123" s="64"/>
      <c r="R123" s="62"/>
    </row>
    <row r="124" spans="1:18" ht="15.75">
      <c r="A124" s="1" t="s">
        <v>85</v>
      </c>
      <c r="B124" s="1" t="s">
        <v>368</v>
      </c>
      <c r="C124" s="1" t="s">
        <v>136</v>
      </c>
      <c r="D124" s="44">
        <f>'2015 pax'!Q122</f>
        <v>315835</v>
      </c>
      <c r="E124" s="30">
        <v>28552</v>
      </c>
      <c r="F124" s="30">
        <v>28455</v>
      </c>
      <c r="G124" s="30">
        <v>35417</v>
      </c>
      <c r="H124" s="30">
        <v>35027</v>
      </c>
      <c r="I124" s="30">
        <v>37055</v>
      </c>
      <c r="J124" s="30">
        <v>35922</v>
      </c>
      <c r="K124" s="30">
        <v>43150</v>
      </c>
      <c r="M124" s="30"/>
      <c r="N124" s="30"/>
      <c r="O124" s="30"/>
      <c r="P124" s="30"/>
      <c r="Q124" s="64"/>
      <c r="R124" s="62"/>
    </row>
    <row r="125" spans="1:18">
      <c r="A125" s="1" t="s">
        <v>85</v>
      </c>
      <c r="B125" s="1" t="s">
        <v>105</v>
      </c>
      <c r="C125" s="1" t="s">
        <v>106</v>
      </c>
      <c r="D125" s="44">
        <f>'2015 pax'!Q123</f>
        <v>9788500</v>
      </c>
      <c r="E125" s="30">
        <v>877700</v>
      </c>
      <c r="G125" s="30"/>
      <c r="H125" s="30"/>
      <c r="I125" s="30"/>
      <c r="J125" s="30"/>
      <c r="K125" s="30"/>
      <c r="M125" s="30"/>
      <c r="N125" s="30"/>
      <c r="O125" s="30"/>
      <c r="P125" s="30"/>
      <c r="Q125" s="64"/>
      <c r="R125" s="62"/>
    </row>
    <row r="126" spans="1:18">
      <c r="A126" s="1" t="s">
        <v>85</v>
      </c>
      <c r="B126" s="1" t="s">
        <v>113</v>
      </c>
      <c r="C126" s="1" t="s">
        <v>114</v>
      </c>
      <c r="D126" s="44">
        <f>'2015 pax'!Q124</f>
        <v>1349300</v>
      </c>
      <c r="E126" s="30">
        <v>116400</v>
      </c>
      <c r="G126" s="30"/>
      <c r="H126" s="30"/>
      <c r="I126" s="30"/>
      <c r="J126" s="30"/>
      <c r="K126" s="30"/>
      <c r="M126" s="30"/>
      <c r="N126" s="30"/>
      <c r="O126" s="30"/>
      <c r="P126" s="30"/>
      <c r="Q126" s="64"/>
      <c r="R126" s="62"/>
    </row>
    <row r="127" spans="1:18">
      <c r="A127" s="1" t="s">
        <v>85</v>
      </c>
      <c r="B127" s="1" t="s">
        <v>99</v>
      </c>
      <c r="C127" s="1" t="s">
        <v>100</v>
      </c>
      <c r="D127" s="44">
        <f>'2015 pax'!Q125</f>
        <v>618767</v>
      </c>
      <c r="E127" s="30">
        <v>66931</v>
      </c>
      <c r="F127" s="30">
        <v>59701</v>
      </c>
      <c r="G127" s="30">
        <v>66909</v>
      </c>
      <c r="H127" s="30">
        <v>51946</v>
      </c>
      <c r="I127" s="30">
        <v>47984</v>
      </c>
      <c r="J127" s="30">
        <v>47316</v>
      </c>
      <c r="K127" s="30">
        <v>66289</v>
      </c>
      <c r="L127" s="30">
        <v>44513</v>
      </c>
      <c r="M127" s="30">
        <v>39487</v>
      </c>
      <c r="N127" s="30">
        <v>45185</v>
      </c>
      <c r="O127" s="30">
        <v>55794</v>
      </c>
      <c r="P127" s="30">
        <v>70725</v>
      </c>
      <c r="Q127" s="44">
        <f>SUM(E127:P127)</f>
        <v>662780</v>
      </c>
      <c r="R127" s="62">
        <f>SUM(Q127/D127)-1</f>
        <v>7.1130166928746963E-2</v>
      </c>
    </row>
    <row r="128" spans="1:18">
      <c r="A128" s="1" t="s">
        <v>85</v>
      </c>
      <c r="B128" s="1" t="s">
        <v>381</v>
      </c>
      <c r="C128" s="1" t="s">
        <v>120</v>
      </c>
      <c r="D128" s="44">
        <f>'2015 pax'!Q126</f>
        <v>682500</v>
      </c>
      <c r="E128" s="30">
        <v>65200</v>
      </c>
      <c r="G128" s="30"/>
      <c r="H128" s="30"/>
      <c r="I128" s="30"/>
      <c r="J128" s="30"/>
      <c r="K128" s="30"/>
      <c r="M128" s="30"/>
      <c r="N128" s="30"/>
      <c r="O128" s="30"/>
      <c r="P128" s="30"/>
      <c r="Q128" s="64"/>
      <c r="R128" s="62"/>
    </row>
    <row r="129" spans="1:18">
      <c r="A129" s="1" t="s">
        <v>85</v>
      </c>
      <c r="B129" s="1" t="s">
        <v>380</v>
      </c>
      <c r="C129" s="1" t="s">
        <v>115</v>
      </c>
      <c r="D129" s="44">
        <f>'2015 pax'!Q127</f>
        <v>1492100</v>
      </c>
      <c r="E129" s="30">
        <v>133200</v>
      </c>
      <c r="G129" s="30"/>
      <c r="H129" s="30"/>
      <c r="I129" s="30"/>
      <c r="J129" s="30"/>
      <c r="K129" s="30"/>
      <c r="M129" s="30"/>
      <c r="N129" s="30"/>
      <c r="O129" s="30"/>
      <c r="P129" s="30"/>
      <c r="Q129" s="64"/>
      <c r="R129" s="62"/>
    </row>
    <row r="130" spans="1:18">
      <c r="A130" s="1" t="s">
        <v>85</v>
      </c>
      <c r="B130" s="1" t="s">
        <v>379</v>
      </c>
      <c r="C130" s="1" t="s">
        <v>123</v>
      </c>
      <c r="D130" s="44">
        <f>'2015 pax'!Q128</f>
        <v>290600</v>
      </c>
      <c r="E130" s="30">
        <v>27200</v>
      </c>
      <c r="G130" s="30"/>
      <c r="H130" s="30"/>
      <c r="I130" s="30"/>
      <c r="J130" s="30"/>
      <c r="K130" s="30"/>
      <c r="M130" s="30"/>
      <c r="N130" s="30"/>
      <c r="O130" s="30"/>
      <c r="P130" s="30"/>
      <c r="Q130" s="64"/>
      <c r="R130" s="62"/>
    </row>
    <row r="131" spans="1:18">
      <c r="A131" s="1" t="s">
        <v>85</v>
      </c>
      <c r="B131" s="1" t="s">
        <v>378</v>
      </c>
      <c r="C131" s="1" t="s">
        <v>122</v>
      </c>
      <c r="D131" s="44">
        <f>'2015 pax'!Q129</f>
        <v>194400</v>
      </c>
      <c r="E131" s="30">
        <v>25600</v>
      </c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64"/>
      <c r="R131" s="62"/>
    </row>
    <row r="132" spans="1:18" ht="15.75">
      <c r="A132" s="1" t="s">
        <v>85</v>
      </c>
      <c r="B132" s="1" t="s">
        <v>369</v>
      </c>
      <c r="C132" s="1" t="s">
        <v>128</v>
      </c>
      <c r="D132" s="44">
        <f>'2015 pax'!Q130</f>
        <v>853409</v>
      </c>
      <c r="E132" s="30">
        <v>88434</v>
      </c>
      <c r="F132" s="30">
        <v>84757</v>
      </c>
      <c r="G132" s="30">
        <v>96772</v>
      </c>
      <c r="H132" s="30">
        <v>80182</v>
      </c>
      <c r="I132" s="30">
        <v>69984</v>
      </c>
      <c r="J132" s="30">
        <v>73632</v>
      </c>
      <c r="K132" s="30">
        <v>82453</v>
      </c>
      <c r="M132" s="30"/>
      <c r="N132" s="30"/>
      <c r="O132" s="30"/>
      <c r="P132" s="30"/>
      <c r="Q132" s="64"/>
      <c r="R132" s="62"/>
    </row>
    <row r="133" spans="1:18">
      <c r="A133" s="1" t="s">
        <v>85</v>
      </c>
      <c r="B133" s="1" t="s">
        <v>488</v>
      </c>
      <c r="C133" s="1" t="s">
        <v>90</v>
      </c>
      <c r="D133" s="44">
        <f>'2015 pax'!Q131</f>
        <v>1663616</v>
      </c>
      <c r="E133" s="30">
        <v>145050</v>
      </c>
      <c r="F133" s="30">
        <v>132195</v>
      </c>
      <c r="G133" s="30">
        <v>159465</v>
      </c>
      <c r="H133" s="30">
        <v>150807</v>
      </c>
      <c r="I133" s="30">
        <v>149790</v>
      </c>
      <c r="J133" s="30">
        <v>147464</v>
      </c>
      <c r="K133" s="30">
        <v>189967</v>
      </c>
      <c r="L133" s="30">
        <v>174591</v>
      </c>
      <c r="M133" s="30">
        <v>153228</v>
      </c>
      <c r="N133" s="30">
        <v>168119</v>
      </c>
      <c r="O133" s="30">
        <v>186049</v>
      </c>
      <c r="P133" s="30">
        <v>188057</v>
      </c>
      <c r="Q133" s="44">
        <f>SUM(E133:P133)</f>
        <v>1944782</v>
      </c>
      <c r="R133" s="62">
        <f>SUM(Q133/D133)-1</f>
        <v>0.1690089539893822</v>
      </c>
    </row>
    <row r="134" spans="1:18">
      <c r="A134" s="1" t="s">
        <v>85</v>
      </c>
      <c r="B134" s="1" t="s">
        <v>116</v>
      </c>
      <c r="C134" s="1" t="s">
        <v>117</v>
      </c>
      <c r="D134" s="44">
        <f>'2015 pax'!Q132</f>
        <v>593500</v>
      </c>
      <c r="E134" s="30">
        <v>55200</v>
      </c>
      <c r="H134" s="30"/>
      <c r="I134" s="30"/>
      <c r="J134" s="30"/>
      <c r="K134" s="30"/>
      <c r="M134" s="30"/>
      <c r="N134" s="30"/>
      <c r="O134" s="30"/>
      <c r="P134" s="30"/>
      <c r="Q134" s="64"/>
      <c r="R134" s="62"/>
    </row>
    <row r="135" spans="1:18">
      <c r="A135" s="1" t="s">
        <v>85</v>
      </c>
      <c r="B135" s="1" t="s">
        <v>86</v>
      </c>
      <c r="C135" s="1" t="s">
        <v>87</v>
      </c>
      <c r="D135" s="44">
        <f>'2015 pax'!Q133</f>
        <v>38433012</v>
      </c>
      <c r="E135" s="30">
        <v>3189186</v>
      </c>
      <c r="F135" s="30">
        <v>2860296</v>
      </c>
      <c r="G135" s="30">
        <v>3356837</v>
      </c>
      <c r="H135" s="30">
        <v>3188441</v>
      </c>
      <c r="I135" s="30">
        <v>3420530</v>
      </c>
      <c r="J135" s="30">
        <v>3477693</v>
      </c>
      <c r="K135" s="30">
        <v>4033840</v>
      </c>
      <c r="M135" s="30"/>
      <c r="N135" s="30"/>
      <c r="O135" s="30"/>
      <c r="P135" s="30"/>
      <c r="Q135" s="64"/>
      <c r="R135" s="62"/>
    </row>
    <row r="136" spans="1:18">
      <c r="A136" s="1" t="s">
        <v>85</v>
      </c>
      <c r="B136" s="1" t="s">
        <v>103</v>
      </c>
      <c r="C136" s="1" t="s">
        <v>104</v>
      </c>
      <c r="D136" s="44">
        <f>'2015 pax'!Q134</f>
        <v>255603</v>
      </c>
      <c r="E136" s="30">
        <v>18710</v>
      </c>
      <c r="F136" s="30">
        <v>17952</v>
      </c>
      <c r="G136" s="30">
        <v>20093</v>
      </c>
      <c r="H136" s="30">
        <v>20086</v>
      </c>
      <c r="I136" s="30">
        <v>20128</v>
      </c>
      <c r="J136" s="30">
        <v>21399</v>
      </c>
      <c r="K136" s="30">
        <v>21977</v>
      </c>
      <c r="L136" s="30">
        <v>19859</v>
      </c>
      <c r="M136" s="30">
        <v>17817</v>
      </c>
      <c r="N136" s="30">
        <v>17871</v>
      </c>
      <c r="O136" s="30">
        <v>17616</v>
      </c>
      <c r="P136" s="30">
        <v>19734</v>
      </c>
      <c r="Q136" s="44">
        <f>SUM(E136:P136)</f>
        <v>233242</v>
      </c>
      <c r="R136" s="62">
        <f>SUM(Q136/D136)-1</f>
        <v>-8.7483323748156372E-2</v>
      </c>
    </row>
    <row r="137" spans="1:18" ht="15.75">
      <c r="A137" s="1" t="s">
        <v>85</v>
      </c>
      <c r="B137" s="1" t="s">
        <v>370</v>
      </c>
      <c r="C137" s="1" t="s">
        <v>124</v>
      </c>
      <c r="D137" s="44">
        <f>'2015 pax'!Q135</f>
        <v>8461917</v>
      </c>
      <c r="E137" s="30">
        <v>606797</v>
      </c>
      <c r="F137" s="30">
        <v>585899</v>
      </c>
      <c r="G137" s="30">
        <v>727550</v>
      </c>
      <c r="H137" s="30">
        <v>710817</v>
      </c>
      <c r="I137" s="30">
        <v>760318</v>
      </c>
      <c r="J137" s="30">
        <v>786690</v>
      </c>
      <c r="K137" s="30">
        <v>941078</v>
      </c>
      <c r="M137" s="30"/>
      <c r="N137" s="30"/>
      <c r="O137" s="30"/>
      <c r="P137" s="30"/>
      <c r="Q137" s="64"/>
      <c r="R137" s="62"/>
    </row>
    <row r="138" spans="1:18">
      <c r="A138" s="1" t="s">
        <v>85</v>
      </c>
      <c r="B138" s="1" t="s">
        <v>118</v>
      </c>
      <c r="C138" s="1" t="s">
        <v>119</v>
      </c>
      <c r="D138" s="44">
        <f>'2015 pax'!Q136</f>
        <v>478200</v>
      </c>
      <c r="E138" s="30">
        <v>49000</v>
      </c>
      <c r="F138" s="30"/>
      <c r="H138" s="30"/>
      <c r="I138" s="30"/>
      <c r="J138" s="30"/>
      <c r="K138" s="30"/>
      <c r="M138" s="30"/>
      <c r="N138" s="30"/>
      <c r="O138" s="30"/>
      <c r="P138" s="30"/>
      <c r="Q138" s="64"/>
      <c r="R138" s="62"/>
    </row>
    <row r="139" spans="1:18">
      <c r="A139" s="1" t="s">
        <v>85</v>
      </c>
      <c r="B139" s="1" t="s">
        <v>95</v>
      </c>
      <c r="C139" s="1" t="s">
        <v>96</v>
      </c>
      <c r="D139" s="44">
        <f>'2015 pax'!Q137</f>
        <v>663187</v>
      </c>
      <c r="E139" s="30">
        <v>60770</v>
      </c>
      <c r="F139" s="30">
        <v>54548</v>
      </c>
      <c r="G139" s="30">
        <v>63942</v>
      </c>
      <c r="H139" s="30">
        <v>57736</v>
      </c>
      <c r="I139" s="30">
        <v>59992</v>
      </c>
      <c r="J139" s="30">
        <v>62215</v>
      </c>
      <c r="K139" s="30">
        <v>71298</v>
      </c>
      <c r="L139" s="30">
        <v>65178</v>
      </c>
      <c r="M139" s="30">
        <v>52698</v>
      </c>
      <c r="N139" s="30">
        <v>59725</v>
      </c>
      <c r="O139" s="30">
        <v>67838</v>
      </c>
      <c r="P139" s="30">
        <v>70970</v>
      </c>
      <c r="Q139" s="44">
        <f>SUM(E139:P139)</f>
        <v>746910</v>
      </c>
      <c r="R139" s="62">
        <f>SUM(Q139/D139)-1</f>
        <v>0.12624342757020268</v>
      </c>
    </row>
    <row r="140" spans="1:18">
      <c r="A140" s="1" t="s">
        <v>85</v>
      </c>
      <c r="B140" s="1" t="s">
        <v>109</v>
      </c>
      <c r="C140" s="1" t="s">
        <v>110</v>
      </c>
      <c r="D140" s="44">
        <f>'2015 pax'!Q138</f>
        <v>3526800</v>
      </c>
      <c r="E140" s="30">
        <v>436100</v>
      </c>
      <c r="H140" s="30"/>
      <c r="I140" s="30"/>
      <c r="J140" s="30"/>
      <c r="K140" s="30"/>
      <c r="M140" s="30"/>
      <c r="N140" s="30"/>
      <c r="O140" s="30"/>
      <c r="P140" s="30"/>
      <c r="Q140" s="64"/>
      <c r="R140" s="62"/>
    </row>
    <row r="141" spans="1:18" ht="15.75">
      <c r="A141" s="1" t="s">
        <v>85</v>
      </c>
      <c r="B141" s="1" t="s">
        <v>371</v>
      </c>
      <c r="C141" s="1" t="s">
        <v>135</v>
      </c>
      <c r="D141" s="44">
        <f>'2015 pax'!Q139</f>
        <v>507186</v>
      </c>
      <c r="E141" s="30">
        <v>36313</v>
      </c>
      <c r="F141" s="30">
        <v>31365</v>
      </c>
      <c r="G141" s="30">
        <v>41783</v>
      </c>
      <c r="H141" s="30">
        <v>42197</v>
      </c>
      <c r="I141" s="30">
        <v>47900</v>
      </c>
      <c r="J141" s="30">
        <v>50908</v>
      </c>
      <c r="K141" s="30">
        <v>62867</v>
      </c>
      <c r="M141" s="30"/>
      <c r="N141" s="30"/>
      <c r="O141" s="30"/>
      <c r="P141" s="30"/>
      <c r="Q141" s="64"/>
      <c r="R141" s="62"/>
    </row>
    <row r="142" spans="1:18">
      <c r="A142" s="1" t="s">
        <v>85</v>
      </c>
      <c r="B142" s="1" t="s">
        <v>111</v>
      </c>
      <c r="C142" s="1" t="s">
        <v>112</v>
      </c>
      <c r="D142" s="44">
        <f>'2015 pax'!Q140</f>
        <v>3652900</v>
      </c>
      <c r="E142" s="30">
        <v>345500</v>
      </c>
      <c r="G142" s="30"/>
      <c r="H142" s="30"/>
      <c r="I142" s="30"/>
      <c r="J142" s="30"/>
      <c r="K142" s="30"/>
      <c r="M142" s="30"/>
      <c r="N142" s="30"/>
      <c r="O142" s="30"/>
      <c r="P142" s="30"/>
      <c r="Q142" s="64"/>
      <c r="R142" s="62"/>
    </row>
    <row r="143" spans="1:18" ht="15.75">
      <c r="A143" s="1" t="s">
        <v>85</v>
      </c>
      <c r="B143" s="1" t="s">
        <v>372</v>
      </c>
      <c r="C143" s="1" t="s">
        <v>134</v>
      </c>
      <c r="D143" s="44">
        <f>'2015 pax'!Q141</f>
        <v>444469</v>
      </c>
      <c r="E143" s="30">
        <v>31790</v>
      </c>
      <c r="F143" s="30">
        <v>31789</v>
      </c>
      <c r="G143" s="30">
        <v>37599</v>
      </c>
      <c r="H143" s="30">
        <v>39469</v>
      </c>
      <c r="I143" s="30">
        <v>41540</v>
      </c>
      <c r="J143" s="30">
        <v>44700</v>
      </c>
      <c r="K143" s="30">
        <v>50964</v>
      </c>
      <c r="M143" s="30"/>
      <c r="N143" s="30"/>
      <c r="O143" s="30"/>
      <c r="P143" s="30"/>
      <c r="Q143" s="64"/>
      <c r="R143" s="62"/>
    </row>
    <row r="144" spans="1:18" ht="15.75">
      <c r="A144" s="1" t="s">
        <v>85</v>
      </c>
      <c r="B144" s="1" t="s">
        <v>373</v>
      </c>
      <c r="C144" s="1" t="s">
        <v>131</v>
      </c>
      <c r="D144" s="44">
        <f>'2015 pax'!Q142</f>
        <v>763744</v>
      </c>
      <c r="E144" s="30">
        <v>52615</v>
      </c>
      <c r="F144" s="30">
        <v>49318</v>
      </c>
      <c r="G144" s="30">
        <v>60529</v>
      </c>
      <c r="H144" s="30">
        <v>57858</v>
      </c>
      <c r="I144" s="30">
        <v>63490</v>
      </c>
      <c r="J144" s="30">
        <v>60596</v>
      </c>
      <c r="K144" s="30">
        <v>70961</v>
      </c>
      <c r="M144" s="30"/>
      <c r="N144" s="30"/>
      <c r="O144" s="30"/>
      <c r="P144" s="30"/>
      <c r="Q144" s="64"/>
      <c r="R144" s="62"/>
    </row>
    <row r="145" spans="1:18">
      <c r="A145" s="1" t="s">
        <v>85</v>
      </c>
      <c r="B145" s="1" t="s">
        <v>101</v>
      </c>
      <c r="C145" s="1" t="s">
        <v>102</v>
      </c>
      <c r="D145" s="44">
        <f>'2015 pax'!Q143</f>
        <v>265670</v>
      </c>
      <c r="E145" s="30">
        <v>24461</v>
      </c>
      <c r="F145" s="30">
        <v>22347</v>
      </c>
      <c r="G145" s="30">
        <v>25296</v>
      </c>
      <c r="H145" s="30">
        <v>24056</v>
      </c>
      <c r="I145" s="30">
        <v>24416</v>
      </c>
      <c r="J145" s="30">
        <v>24223</v>
      </c>
      <c r="K145" s="30">
        <v>27197</v>
      </c>
      <c r="L145" s="30">
        <v>25450</v>
      </c>
      <c r="M145" s="30">
        <v>23463</v>
      </c>
      <c r="N145" s="30">
        <v>25746</v>
      </c>
      <c r="O145" s="30">
        <v>28845</v>
      </c>
      <c r="P145" s="30">
        <v>33288</v>
      </c>
      <c r="Q145" s="44">
        <f>SUM(E145:P145)</f>
        <v>308788</v>
      </c>
      <c r="R145" s="62">
        <f>SUM(Q145/D145)-1</f>
        <v>0.16229909285956268</v>
      </c>
    </row>
    <row r="146" spans="1:18">
      <c r="A146" s="1" t="s">
        <v>85</v>
      </c>
      <c r="B146" s="1" t="s">
        <v>107</v>
      </c>
      <c r="C146" s="1" t="s">
        <v>108</v>
      </c>
      <c r="D146" s="44">
        <f>'2015 pax'!Q144</f>
        <v>4870200</v>
      </c>
      <c r="E146" s="30">
        <v>504000</v>
      </c>
      <c r="F146" s="30"/>
      <c r="H146" s="30"/>
      <c r="I146" s="30"/>
      <c r="K146" s="30"/>
      <c r="M146" s="30"/>
      <c r="N146" s="30"/>
      <c r="O146" s="30"/>
      <c r="P146" s="30"/>
      <c r="Q146" s="64"/>
      <c r="R146" s="62"/>
    </row>
    <row r="147" spans="1:18" ht="15.75">
      <c r="A147" s="1" t="s">
        <v>85</v>
      </c>
      <c r="B147" s="1" t="s">
        <v>374</v>
      </c>
      <c r="C147" s="1" t="s">
        <v>132</v>
      </c>
      <c r="D147" s="44">
        <f>'2015 pax'!Q145</f>
        <v>556449</v>
      </c>
      <c r="E147" s="30">
        <v>42204</v>
      </c>
      <c r="F147" s="30">
        <v>42939</v>
      </c>
      <c r="G147" s="30">
        <v>51846</v>
      </c>
      <c r="H147" s="30">
        <v>52300</v>
      </c>
      <c r="I147" s="30">
        <v>55215</v>
      </c>
      <c r="J147" s="30">
        <v>53902</v>
      </c>
      <c r="K147" s="30">
        <v>61928</v>
      </c>
      <c r="M147" s="30"/>
      <c r="N147" s="30"/>
      <c r="O147" s="30"/>
      <c r="P147" s="30"/>
      <c r="Q147" s="64"/>
      <c r="R147" s="62"/>
    </row>
    <row r="148" spans="1:18">
      <c r="A148" s="1" t="s">
        <v>85</v>
      </c>
      <c r="B148" s="1" t="s">
        <v>91</v>
      </c>
      <c r="C148" s="1" t="s">
        <v>92</v>
      </c>
      <c r="D148" s="44">
        <f>'2015 pax'!Q146</f>
        <v>1249914</v>
      </c>
      <c r="E148" s="30">
        <v>97366</v>
      </c>
      <c r="F148" s="30">
        <v>88733</v>
      </c>
      <c r="G148" s="30">
        <v>105115</v>
      </c>
      <c r="H148" s="30">
        <v>104340</v>
      </c>
      <c r="I148" s="30">
        <v>112899</v>
      </c>
      <c r="J148" s="30">
        <v>106339</v>
      </c>
      <c r="K148" s="30">
        <v>132365</v>
      </c>
      <c r="L148" s="30">
        <v>124463</v>
      </c>
      <c r="M148" s="30">
        <v>105870</v>
      </c>
      <c r="N148" s="30">
        <v>109875</v>
      </c>
      <c r="O148" s="30">
        <v>107162</v>
      </c>
      <c r="P148" s="30">
        <v>121340</v>
      </c>
      <c r="Q148" s="44">
        <f>SUM(E148:P148)</f>
        <v>1315867</v>
      </c>
      <c r="R148" s="62">
        <f>SUM(Q148/D148)-1</f>
        <v>5.2766030302884737E-2</v>
      </c>
    </row>
    <row r="149" spans="1:18">
      <c r="A149" s="1" t="s">
        <v>85</v>
      </c>
      <c r="B149" s="1" t="s">
        <v>93</v>
      </c>
      <c r="C149" s="1" t="s">
        <v>94</v>
      </c>
      <c r="D149" s="44">
        <f>'2015 pax'!Q147</f>
        <v>942895</v>
      </c>
      <c r="E149" s="30">
        <v>96997</v>
      </c>
      <c r="F149" s="30">
        <v>85636</v>
      </c>
      <c r="G149" s="30">
        <v>103724</v>
      </c>
      <c r="H149" s="30">
        <v>94709</v>
      </c>
      <c r="I149" s="30">
        <v>100647</v>
      </c>
      <c r="J149" s="30">
        <v>95833</v>
      </c>
      <c r="K149" s="30">
        <v>114514</v>
      </c>
      <c r="L149" s="30">
        <v>109153</v>
      </c>
      <c r="M149" s="30">
        <v>98886</v>
      </c>
      <c r="N149" s="30">
        <v>103711</v>
      </c>
      <c r="O149" s="30">
        <v>108204</v>
      </c>
      <c r="P149" s="30">
        <v>128781</v>
      </c>
      <c r="Q149" s="44">
        <f>SUM(E149:P149)</f>
        <v>1240795</v>
      </c>
      <c r="R149" s="62">
        <f>SUM(Q149/D149)-1</f>
        <v>0.31594185991017021</v>
      </c>
    </row>
    <row r="150" spans="1:18" ht="15.75">
      <c r="A150" s="1" t="s">
        <v>85</v>
      </c>
      <c r="B150" s="1" t="s">
        <v>375</v>
      </c>
      <c r="C150" s="1" t="s">
        <v>133</v>
      </c>
      <c r="D150" s="44">
        <f>'2015 pax'!Q148</f>
        <v>320065</v>
      </c>
      <c r="E150" s="30">
        <v>25246</v>
      </c>
      <c r="F150" s="30">
        <v>21285</v>
      </c>
      <c r="G150" s="30">
        <v>28141</v>
      </c>
      <c r="H150" s="30">
        <v>26145</v>
      </c>
      <c r="I150" s="30">
        <v>27835</v>
      </c>
      <c r="J150" s="30">
        <v>29524</v>
      </c>
      <c r="K150" s="30">
        <v>35673</v>
      </c>
      <c r="L150" s="30"/>
      <c r="M150" s="30"/>
      <c r="N150" s="30"/>
      <c r="O150" s="30"/>
      <c r="P150" s="30"/>
      <c r="Q150" s="64"/>
      <c r="R150" s="62"/>
    </row>
    <row r="151" spans="1:18" ht="15.75">
      <c r="A151" s="1" t="s">
        <v>85</v>
      </c>
      <c r="B151" s="1" t="s">
        <v>376</v>
      </c>
      <c r="C151" s="1" t="s">
        <v>130</v>
      </c>
      <c r="D151" s="44">
        <f>'2015 pax'!Q149</f>
        <v>562099</v>
      </c>
      <c r="E151" s="30">
        <v>72822</v>
      </c>
      <c r="F151" s="30">
        <v>63957</v>
      </c>
      <c r="G151" s="30">
        <v>68939</v>
      </c>
      <c r="H151" s="30">
        <v>41945</v>
      </c>
      <c r="I151" s="30">
        <v>34283</v>
      </c>
      <c r="J151" s="30">
        <v>31483</v>
      </c>
      <c r="K151" s="30">
        <v>48277</v>
      </c>
      <c r="L151" s="30"/>
      <c r="M151" s="30"/>
      <c r="N151" s="30"/>
      <c r="O151" s="30"/>
      <c r="P151" s="30"/>
      <c r="Q151" s="64"/>
      <c r="R151" s="62"/>
    </row>
    <row r="152" spans="1:18">
      <c r="A152" s="1" t="s">
        <v>512</v>
      </c>
      <c r="B152" s="1" t="s">
        <v>513</v>
      </c>
      <c r="C152" s="1" t="s">
        <v>514</v>
      </c>
      <c r="D152" s="44">
        <f>'2015 pax'!Q150</f>
        <v>13434673</v>
      </c>
      <c r="E152" s="30">
        <v>1303426</v>
      </c>
      <c r="F152" s="30">
        <v>1134770</v>
      </c>
      <c r="G152" s="30">
        <v>1172352</v>
      </c>
      <c r="H152" s="30">
        <v>1092054</v>
      </c>
      <c r="I152" s="30">
        <v>1114575</v>
      </c>
      <c r="J152" s="30">
        <v>1185675</v>
      </c>
      <c r="K152" s="30">
        <v>1402701</v>
      </c>
      <c r="L152" s="30">
        <v>1327024</v>
      </c>
      <c r="M152" s="30">
        <v>1192540</v>
      </c>
      <c r="N152" s="30">
        <v>1261504</v>
      </c>
      <c r="O152" s="30">
        <v>1211557</v>
      </c>
      <c r="P152" s="30">
        <v>1343759</v>
      </c>
      <c r="Q152" s="44">
        <f>SUM(E152:P152)</f>
        <v>14741937</v>
      </c>
      <c r="R152" s="62">
        <f>SUM(Q152/'2015 pax'!Q150)-1</f>
        <v>9.7305234001601626E-2</v>
      </c>
    </row>
    <row r="153" spans="1:18">
      <c r="A153" s="1" t="s">
        <v>414</v>
      </c>
      <c r="B153" s="1" t="s">
        <v>415</v>
      </c>
      <c r="C153" s="1" t="s">
        <v>416</v>
      </c>
      <c r="D153" s="44">
        <f>'2015 pax'!Q151</f>
        <v>911603</v>
      </c>
      <c r="E153" s="30">
        <v>95538</v>
      </c>
      <c r="F153" s="30">
        <v>81946</v>
      </c>
      <c r="G153" s="30">
        <v>87933</v>
      </c>
      <c r="H153" s="30">
        <v>76027</v>
      </c>
      <c r="I153" s="30">
        <v>78449</v>
      </c>
      <c r="J153" s="30">
        <v>78238</v>
      </c>
      <c r="K153" s="30">
        <v>95393</v>
      </c>
      <c r="L153" s="30">
        <v>91077</v>
      </c>
      <c r="M153" s="30">
        <v>86195</v>
      </c>
      <c r="N153" s="30">
        <v>88671</v>
      </c>
      <c r="O153" s="30">
        <v>80972</v>
      </c>
      <c r="P153" s="30">
        <v>92739</v>
      </c>
      <c r="Q153" s="44">
        <f>SUM(E153:P153)</f>
        <v>1033178</v>
      </c>
      <c r="R153" s="62">
        <f>SUM(Q153/'2015 pax'!Q151)-1</f>
        <v>0.13336397532697886</v>
      </c>
    </row>
    <row r="154" spans="1:18">
      <c r="A154" s="1" t="s">
        <v>414</v>
      </c>
      <c r="B154" s="1" t="s">
        <v>508</v>
      </c>
      <c r="C154" s="1" t="s">
        <v>509</v>
      </c>
      <c r="D154" s="44">
        <f>'2015 pax'!Q152</f>
        <v>27217</v>
      </c>
      <c r="E154" s="30">
        <v>2248</v>
      </c>
      <c r="F154" s="30">
        <v>3258</v>
      </c>
      <c r="G154" s="30">
        <v>3515</v>
      </c>
      <c r="H154" s="30">
        <v>3592</v>
      </c>
      <c r="I154" s="30">
        <v>3811</v>
      </c>
      <c r="J154" s="30">
        <v>3788</v>
      </c>
      <c r="K154" s="30">
        <v>4023</v>
      </c>
      <c r="L154" s="30">
        <v>4042</v>
      </c>
      <c r="M154" s="30">
        <v>4877</v>
      </c>
      <c r="N154" s="30">
        <v>3444</v>
      </c>
      <c r="O154" s="30">
        <v>3801</v>
      </c>
      <c r="P154" s="30">
        <v>3223</v>
      </c>
      <c r="Q154" s="44">
        <f>SUM(E154:P154)</f>
        <v>43622</v>
      </c>
      <c r="R154" s="62">
        <f>SUM(Q154/'2015 pax'!Q152)-1</f>
        <v>0.60274828232354771</v>
      </c>
    </row>
    <row r="155" spans="1:18">
      <c r="A155" s="1" t="s">
        <v>253</v>
      </c>
      <c r="B155" s="7" t="s">
        <v>304</v>
      </c>
      <c r="C155" s="7" t="s">
        <v>305</v>
      </c>
      <c r="D155" s="44">
        <f>'2015 pax'!Q153</f>
        <v>1492423.4</v>
      </c>
      <c r="E155" s="30">
        <v>130562</v>
      </c>
      <c r="F155" s="30">
        <v>125189</v>
      </c>
      <c r="G155" s="30">
        <v>120992</v>
      </c>
      <c r="H155" s="30">
        <v>121923</v>
      </c>
      <c r="I155" s="30">
        <v>142845</v>
      </c>
      <c r="J155" s="30">
        <v>124732</v>
      </c>
      <c r="K155" s="30">
        <v>145513</v>
      </c>
      <c r="L155" s="30">
        <v>158921</v>
      </c>
      <c r="M155" s="30">
        <v>136005</v>
      </c>
      <c r="N155" s="30">
        <v>152449</v>
      </c>
      <c r="O155" s="30">
        <v>135320</v>
      </c>
      <c r="P155" s="30">
        <v>139487</v>
      </c>
      <c r="Q155" s="44">
        <f t="shared" ref="Q155:Q172" si="3">SUM(E155:P155)</f>
        <v>1633938</v>
      </c>
      <c r="R155" s="62">
        <f>SUM(Q155/'2015 pax'!Q153)-1</f>
        <v>9.4822019006134628E-2</v>
      </c>
    </row>
    <row r="156" spans="1:18">
      <c r="A156" s="1" t="s">
        <v>253</v>
      </c>
      <c r="B156" s="7" t="s">
        <v>554</v>
      </c>
      <c r="C156" s="7" t="s">
        <v>555</v>
      </c>
      <c r="D156" s="44">
        <f>'2015 pax'!Q154</f>
        <v>141713</v>
      </c>
      <c r="E156" s="30">
        <v>12591</v>
      </c>
      <c r="F156" s="30">
        <v>14043</v>
      </c>
      <c r="G156" s="30">
        <v>15960</v>
      </c>
      <c r="H156" s="30">
        <v>14420</v>
      </c>
      <c r="I156" s="30">
        <v>17613</v>
      </c>
      <c r="J156" s="30">
        <v>16800</v>
      </c>
      <c r="K156" s="30">
        <v>16713</v>
      </c>
      <c r="L156" s="30">
        <v>18544</v>
      </c>
      <c r="M156" s="30">
        <v>16499</v>
      </c>
      <c r="N156" s="30">
        <v>18137</v>
      </c>
      <c r="O156" s="30">
        <v>16334</v>
      </c>
      <c r="P156" s="30">
        <v>16831</v>
      </c>
      <c r="Q156" s="44">
        <f t="shared" si="3"/>
        <v>194485</v>
      </c>
      <c r="R156" s="62">
        <f>SUM(Q156/'2015 pax'!Q154)-1</f>
        <v>0.37238644302216461</v>
      </c>
    </row>
    <row r="157" spans="1:18">
      <c r="A157" s="1" t="s">
        <v>253</v>
      </c>
      <c r="B157" s="7" t="s">
        <v>324</v>
      </c>
      <c r="C157" s="7" t="s">
        <v>325</v>
      </c>
      <c r="D157" s="44">
        <f>'2015 pax'!Q155</f>
        <v>271357</v>
      </c>
      <c r="E157" s="30">
        <v>21745</v>
      </c>
      <c r="F157" s="30">
        <v>26180</v>
      </c>
      <c r="G157" s="30">
        <v>24841</v>
      </c>
      <c r="H157" s="30">
        <v>23467</v>
      </c>
      <c r="I157" s="30">
        <v>28837</v>
      </c>
      <c r="J157" s="30">
        <v>26934</v>
      </c>
      <c r="K157" s="30">
        <v>30654</v>
      </c>
      <c r="L157" s="30">
        <v>30754</v>
      </c>
      <c r="M157" s="30">
        <v>28148</v>
      </c>
      <c r="N157" s="30">
        <v>29961</v>
      </c>
      <c r="O157" s="30">
        <v>25666</v>
      </c>
      <c r="P157" s="30">
        <v>24216</v>
      </c>
      <c r="Q157" s="44">
        <f t="shared" si="3"/>
        <v>321403</v>
      </c>
      <c r="R157" s="62">
        <f>SUM(Q157/'2015 pax'!Q155)-1</f>
        <v>0.18442863091794215</v>
      </c>
    </row>
    <row r="158" spans="1:18">
      <c r="A158" s="1" t="s">
        <v>253</v>
      </c>
      <c r="B158" s="7" t="s">
        <v>320</v>
      </c>
      <c r="C158" s="7" t="s">
        <v>321</v>
      </c>
      <c r="D158" s="44">
        <f>'2015 pax'!Q156</f>
        <v>432375</v>
      </c>
      <c r="E158" s="30">
        <v>38906</v>
      </c>
      <c r="F158" s="30">
        <v>42337</v>
      </c>
      <c r="G158" s="30">
        <v>40836</v>
      </c>
      <c r="H158" s="30">
        <v>39918</v>
      </c>
      <c r="I158" s="30">
        <v>44270</v>
      </c>
      <c r="J158" s="30">
        <v>42763</v>
      </c>
      <c r="K158" s="30">
        <v>45139</v>
      </c>
      <c r="L158" s="30">
        <v>47600</v>
      </c>
      <c r="M158" s="30">
        <v>44801</v>
      </c>
      <c r="N158" s="30">
        <v>47251</v>
      </c>
      <c r="O158" s="30">
        <v>40162</v>
      </c>
      <c r="P158" s="30">
        <v>42606</v>
      </c>
      <c r="Q158" s="44">
        <f t="shared" si="3"/>
        <v>516589</v>
      </c>
      <c r="R158" s="62">
        <f>SUM(Q158/'2015 pax'!Q156)-1</f>
        <v>0.1947707429893033</v>
      </c>
    </row>
    <row r="159" spans="1:18">
      <c r="A159" s="1" t="s">
        <v>253</v>
      </c>
      <c r="B159" s="7" t="s">
        <v>302</v>
      </c>
      <c r="C159" s="1" t="s">
        <v>303</v>
      </c>
      <c r="D159" s="44">
        <f>'2015 pax'!Q157</f>
        <v>2889176</v>
      </c>
      <c r="E159" s="30">
        <v>230193</v>
      </c>
      <c r="F159" s="30">
        <v>221284</v>
      </c>
      <c r="G159" s="30">
        <v>243461</v>
      </c>
      <c r="H159" s="30">
        <v>225917</v>
      </c>
      <c r="I159" s="30">
        <v>284542</v>
      </c>
      <c r="J159" s="30">
        <v>266105</v>
      </c>
      <c r="K159" s="30">
        <v>313683</v>
      </c>
      <c r="L159" s="30">
        <v>330317</v>
      </c>
      <c r="M159" s="30">
        <v>283008</v>
      </c>
      <c r="N159" s="30">
        <v>299648</v>
      </c>
      <c r="O159" s="30">
        <v>259827</v>
      </c>
      <c r="P159" s="30">
        <v>232901</v>
      </c>
      <c r="Q159" s="44">
        <f t="shared" si="3"/>
        <v>3190886</v>
      </c>
      <c r="R159" s="62">
        <f>SUM(Q159/'2015 pax'!Q157)-1</f>
        <v>0.10442769841643429</v>
      </c>
    </row>
    <row r="160" spans="1:18">
      <c r="A160" s="1" t="s">
        <v>253</v>
      </c>
      <c r="B160" s="7" t="s">
        <v>306</v>
      </c>
      <c r="C160" s="7" t="s">
        <v>307</v>
      </c>
      <c r="D160" s="44">
        <f>'2015 pax'!Q158</f>
        <v>1043130</v>
      </c>
      <c r="E160" s="30">
        <v>90916</v>
      </c>
      <c r="F160" s="30">
        <v>86757</v>
      </c>
      <c r="G160" s="30">
        <v>76759</v>
      </c>
      <c r="H160" s="30">
        <v>68944</v>
      </c>
      <c r="I160" s="30">
        <v>72753</v>
      </c>
      <c r="J160" s="30">
        <v>70525</v>
      </c>
      <c r="K160" s="30">
        <v>80008</v>
      </c>
      <c r="L160" s="30">
        <v>84458</v>
      </c>
      <c r="M160" s="30">
        <v>71869</v>
      </c>
      <c r="N160" s="30">
        <v>77799</v>
      </c>
      <c r="O160" s="30">
        <v>71564</v>
      </c>
      <c r="P160" s="30">
        <v>81679</v>
      </c>
      <c r="Q160" s="44">
        <f t="shared" si="3"/>
        <v>934031</v>
      </c>
      <c r="R160" s="62">
        <f>SUM(Q160/'2015 pax'!Q158)-1</f>
        <v>-0.10458811461658657</v>
      </c>
    </row>
    <row r="161" spans="1:18">
      <c r="A161" s="1" t="s">
        <v>253</v>
      </c>
      <c r="B161" s="7" t="s">
        <v>310</v>
      </c>
      <c r="C161" s="7" t="s">
        <v>311</v>
      </c>
      <c r="D161" s="44">
        <f>'2015 pax'!Q159</f>
        <v>434166</v>
      </c>
      <c r="E161" s="30">
        <v>34356</v>
      </c>
      <c r="F161" s="30">
        <v>39729</v>
      </c>
      <c r="G161" s="30">
        <v>36700</v>
      </c>
      <c r="H161" s="30">
        <v>35984</v>
      </c>
      <c r="I161" s="30">
        <v>41222</v>
      </c>
      <c r="J161" s="30">
        <v>38261</v>
      </c>
      <c r="K161" s="30">
        <v>39840</v>
      </c>
      <c r="L161" s="30">
        <v>41324</v>
      </c>
      <c r="M161" s="30">
        <v>40970</v>
      </c>
      <c r="N161" s="30">
        <v>42194</v>
      </c>
      <c r="O161" s="30">
        <v>36678</v>
      </c>
      <c r="P161" s="30">
        <v>35392</v>
      </c>
      <c r="Q161" s="44">
        <f t="shared" si="3"/>
        <v>462650</v>
      </c>
      <c r="R161" s="62">
        <f>SUM(Q161/'2015 pax'!Q159)-1</f>
        <v>6.5606242773501355E-2</v>
      </c>
    </row>
    <row r="162" spans="1:18">
      <c r="A162" s="1" t="s">
        <v>253</v>
      </c>
      <c r="B162" s="7" t="s">
        <v>300</v>
      </c>
      <c r="C162" s="7" t="s">
        <v>301</v>
      </c>
      <c r="D162" s="44">
        <f>'2015 pax'!Q160</f>
        <v>17531429</v>
      </c>
      <c r="E162" s="30">
        <v>1543133</v>
      </c>
      <c r="F162" s="30">
        <v>1521160</v>
      </c>
      <c r="G162" s="30">
        <v>1515551</v>
      </c>
      <c r="H162" s="30">
        <v>1416044</v>
      </c>
      <c r="I162" s="30">
        <v>1617177</v>
      </c>
      <c r="J162" s="30">
        <v>1540591</v>
      </c>
      <c r="K162" s="30">
        <v>1777025</v>
      </c>
      <c r="L162" s="30">
        <v>1800284</v>
      </c>
      <c r="M162" s="30">
        <v>1630483</v>
      </c>
      <c r="N162" s="30">
        <v>1748959</v>
      </c>
      <c r="O162" s="30">
        <v>1588734</v>
      </c>
      <c r="P162" s="30">
        <v>1627640</v>
      </c>
      <c r="Q162" s="44">
        <f t="shared" si="3"/>
        <v>19326781</v>
      </c>
      <c r="R162" s="62">
        <f>SUM(Q162/'2015 pax'!Q160)-1</f>
        <v>0.10240762461519815</v>
      </c>
    </row>
    <row r="163" spans="1:18">
      <c r="A163" s="1" t="s">
        <v>253</v>
      </c>
      <c r="B163" s="7" t="s">
        <v>556</v>
      </c>
      <c r="C163" s="7" t="s">
        <v>557</v>
      </c>
      <c r="D163" s="44">
        <f>'2015 pax'!Q161</f>
        <v>166801</v>
      </c>
      <c r="E163" s="30">
        <v>13044</v>
      </c>
      <c r="F163" s="30">
        <v>11114</v>
      </c>
      <c r="G163" s="30">
        <v>13378</v>
      </c>
      <c r="H163" s="30">
        <v>12624</v>
      </c>
      <c r="I163" s="30">
        <v>14318</v>
      </c>
      <c r="J163" s="30">
        <v>12494</v>
      </c>
      <c r="K163" s="30">
        <v>18907</v>
      </c>
      <c r="L163" s="30">
        <v>19963</v>
      </c>
      <c r="M163" s="30">
        <v>16125</v>
      </c>
      <c r="N163" s="30">
        <v>15628</v>
      </c>
      <c r="O163" s="30">
        <v>13692</v>
      </c>
      <c r="P163" s="30">
        <v>10381</v>
      </c>
      <c r="Q163" s="44">
        <f t="shared" si="3"/>
        <v>171668</v>
      </c>
      <c r="R163" s="62">
        <f>SUM(Q163/'2015 pax'!Q161)-1</f>
        <v>2.917848214339247E-2</v>
      </c>
    </row>
    <row r="164" spans="1:18">
      <c r="A164" s="1" t="s">
        <v>253</v>
      </c>
      <c r="B164" s="7" t="s">
        <v>312</v>
      </c>
      <c r="C164" s="7" t="s">
        <v>313</v>
      </c>
      <c r="D164" s="44">
        <f>'2015 pax'!Q162</f>
        <v>830851</v>
      </c>
      <c r="E164" s="30">
        <v>72668</v>
      </c>
      <c r="F164" s="30">
        <v>72959</v>
      </c>
      <c r="G164" s="30">
        <v>65651</v>
      </c>
      <c r="H164" s="30">
        <v>63739</v>
      </c>
      <c r="I164" s="30">
        <v>70900</v>
      </c>
      <c r="J164" s="30">
        <v>65451</v>
      </c>
      <c r="K164" s="30">
        <v>72077</v>
      </c>
      <c r="L164" s="30">
        <v>72112</v>
      </c>
      <c r="M164" s="30">
        <v>69873</v>
      </c>
      <c r="N164" s="30">
        <v>81668</v>
      </c>
      <c r="O164" s="30">
        <v>73488</v>
      </c>
      <c r="P164" s="30">
        <v>68802</v>
      </c>
      <c r="Q164" s="44">
        <f t="shared" si="3"/>
        <v>849388</v>
      </c>
      <c r="R164" s="62">
        <f>SUM(Q164/'2015 pax'!Q162)-1</f>
        <v>2.2310859588542398E-2</v>
      </c>
    </row>
    <row r="165" spans="1:18">
      <c r="A165" s="1" t="s">
        <v>253</v>
      </c>
      <c r="B165" s="7" t="s">
        <v>314</v>
      </c>
      <c r="C165" s="7" t="s">
        <v>315</v>
      </c>
      <c r="D165" s="44">
        <f>'2015 pax'!Q163</f>
        <v>496749</v>
      </c>
      <c r="E165" s="30">
        <v>41397</v>
      </c>
      <c r="F165" s="30">
        <v>41557</v>
      </c>
      <c r="G165" s="30">
        <v>38079</v>
      </c>
      <c r="H165" s="30">
        <v>37487</v>
      </c>
      <c r="I165" s="30">
        <v>40211</v>
      </c>
      <c r="J165" s="30">
        <v>39302</v>
      </c>
      <c r="K165" s="30">
        <v>42739</v>
      </c>
      <c r="L165" s="30">
        <v>43901</v>
      </c>
      <c r="M165" s="30">
        <v>38402</v>
      </c>
      <c r="N165" s="30">
        <v>44494</v>
      </c>
      <c r="O165" s="30">
        <v>42777</v>
      </c>
      <c r="P165" s="30">
        <v>49454</v>
      </c>
      <c r="Q165" s="44">
        <f t="shared" si="3"/>
        <v>499800</v>
      </c>
      <c r="R165" s="62">
        <f>SUM(Q165/'2015 pax'!Q163)-1</f>
        <v>6.1419348604627721E-3</v>
      </c>
    </row>
    <row r="166" spans="1:18">
      <c r="A166" s="1" t="s">
        <v>253</v>
      </c>
      <c r="B166" s="7" t="s">
        <v>308</v>
      </c>
      <c r="C166" s="7" t="s">
        <v>309</v>
      </c>
      <c r="D166" s="44">
        <f>'2015 pax'!Q164</f>
        <v>281514</v>
      </c>
      <c r="E166" s="30">
        <v>21883</v>
      </c>
      <c r="F166" s="30">
        <v>20681</v>
      </c>
      <c r="G166" s="30">
        <v>23320</v>
      </c>
      <c r="H166" s="30">
        <v>23457</v>
      </c>
      <c r="I166" s="30">
        <v>26364</v>
      </c>
      <c r="J166" s="30">
        <v>24866</v>
      </c>
      <c r="K166" s="30">
        <v>29776</v>
      </c>
      <c r="L166" s="30">
        <v>33560</v>
      </c>
      <c r="M166" s="30">
        <v>27186</v>
      </c>
      <c r="N166" s="30">
        <v>28471</v>
      </c>
      <c r="O166" s="30">
        <v>23799</v>
      </c>
      <c r="P166" s="30">
        <v>22993</v>
      </c>
      <c r="Q166" s="44">
        <f t="shared" si="3"/>
        <v>306356</v>
      </c>
      <c r="R166" s="62">
        <f>SUM(Q166/'2015 pax'!Q164)-1</f>
        <v>8.8244279147751126E-2</v>
      </c>
    </row>
    <row r="167" spans="1:18">
      <c r="A167" s="1" t="s">
        <v>253</v>
      </c>
      <c r="B167" s="7" t="s">
        <v>322</v>
      </c>
      <c r="C167" s="7" t="s">
        <v>323</v>
      </c>
      <c r="D167" s="44">
        <f>'2015 pax'!Q165</f>
        <v>383570</v>
      </c>
      <c r="E167" s="30">
        <v>34064</v>
      </c>
      <c r="F167" s="30">
        <v>38132</v>
      </c>
      <c r="G167" s="30">
        <v>32855</v>
      </c>
      <c r="H167" s="30">
        <v>29822</v>
      </c>
      <c r="I167" s="30">
        <v>32669</v>
      </c>
      <c r="J167" s="30">
        <v>29288</v>
      </c>
      <c r="K167" s="30">
        <v>32330</v>
      </c>
      <c r="L167" s="30">
        <v>34799</v>
      </c>
      <c r="M167" s="30">
        <v>32559</v>
      </c>
      <c r="N167" s="30">
        <v>35013</v>
      </c>
      <c r="O167" s="30">
        <v>33484</v>
      </c>
      <c r="P167" s="30">
        <v>34456</v>
      </c>
      <c r="Q167" s="44">
        <f t="shared" si="3"/>
        <v>399471</v>
      </c>
      <c r="R167" s="62">
        <f>SUM(Q167/'2015 pax'!Q165)-1</f>
        <v>4.1455275438642136E-2</v>
      </c>
    </row>
    <row r="168" spans="1:18">
      <c r="A168" s="1" t="s">
        <v>253</v>
      </c>
      <c r="B168" s="7" t="s">
        <v>318</v>
      </c>
      <c r="C168" s="7" t="s">
        <v>319</v>
      </c>
      <c r="D168" s="44">
        <f>'2015 pax'!Q166</f>
        <v>637862</v>
      </c>
      <c r="E168" s="30">
        <v>54916</v>
      </c>
      <c r="F168" s="30">
        <v>54834</v>
      </c>
      <c r="G168" s="30">
        <v>52691</v>
      </c>
      <c r="H168" s="30">
        <v>44772</v>
      </c>
      <c r="I168" s="30">
        <v>53978</v>
      </c>
      <c r="J168" s="30">
        <v>52947</v>
      </c>
      <c r="K168" s="30">
        <v>60100</v>
      </c>
      <c r="L168" s="30">
        <v>65497</v>
      </c>
      <c r="M168" s="30">
        <v>56418</v>
      </c>
      <c r="N168" s="30">
        <v>60394</v>
      </c>
      <c r="O168" s="30">
        <v>54489</v>
      </c>
      <c r="P168" s="30">
        <v>60540</v>
      </c>
      <c r="Q168" s="44">
        <f t="shared" si="3"/>
        <v>671576</v>
      </c>
      <c r="R168" s="62">
        <f>SUM(Q168/'2015 pax'!Q166)-1</f>
        <v>5.2854692707827056E-2</v>
      </c>
    </row>
    <row r="169" spans="1:18">
      <c r="A169" s="1" t="s">
        <v>253</v>
      </c>
      <c r="B169" s="7" t="s">
        <v>316</v>
      </c>
      <c r="C169" s="7" t="s">
        <v>317</v>
      </c>
      <c r="D169" s="44">
        <f>'2015 pax'!Q167</f>
        <v>497093</v>
      </c>
      <c r="E169" s="30">
        <v>43930</v>
      </c>
      <c r="F169" s="30">
        <v>46061</v>
      </c>
      <c r="G169" s="30">
        <v>40163</v>
      </c>
      <c r="H169" s="30">
        <v>41094</v>
      </c>
      <c r="I169" s="30">
        <v>46863</v>
      </c>
      <c r="J169" s="30">
        <v>45878</v>
      </c>
      <c r="K169" s="30">
        <v>47483</v>
      </c>
      <c r="L169" s="30">
        <v>54702</v>
      </c>
      <c r="M169" s="30">
        <v>49752</v>
      </c>
      <c r="N169" s="30">
        <v>51856</v>
      </c>
      <c r="O169" s="30">
        <v>46429</v>
      </c>
      <c r="P169" s="30">
        <v>46711</v>
      </c>
      <c r="Q169" s="44">
        <f t="shared" si="3"/>
        <v>560922</v>
      </c>
      <c r="R169" s="62">
        <f>SUM(Q169/'2015 pax'!Q167)-1</f>
        <v>0.12840454401892609</v>
      </c>
    </row>
    <row r="170" spans="1:18">
      <c r="A170" s="1" t="s">
        <v>253</v>
      </c>
      <c r="B170" s="7" t="s">
        <v>553</v>
      </c>
      <c r="C170" s="7" t="s">
        <v>552</v>
      </c>
      <c r="D170" s="44">
        <f>'2015 pax'!Q168</f>
        <v>190134</v>
      </c>
      <c r="E170" s="30">
        <v>18304</v>
      </c>
      <c r="F170" s="30">
        <v>17351</v>
      </c>
      <c r="G170" s="30">
        <v>13843</v>
      </c>
      <c r="H170" s="30">
        <v>11369</v>
      </c>
      <c r="I170" s="30">
        <v>14471</v>
      </c>
      <c r="J170" s="30">
        <v>12592</v>
      </c>
      <c r="K170" s="30">
        <v>16236</v>
      </c>
      <c r="L170" s="30">
        <v>18325</v>
      </c>
      <c r="M170" s="30">
        <v>15041</v>
      </c>
      <c r="N170" s="30">
        <v>16548</v>
      </c>
      <c r="O170" s="30">
        <v>14680</v>
      </c>
      <c r="P170" s="30">
        <v>14985</v>
      </c>
      <c r="Q170" s="44">
        <f t="shared" si="3"/>
        <v>183745</v>
      </c>
      <c r="R170" s="62">
        <f>SUM(Q170/'2015 pax'!Q168)-1</f>
        <v>-3.3602617101623045E-2</v>
      </c>
    </row>
    <row r="171" spans="1:18" s="42" customFormat="1">
      <c r="A171" s="1" t="s">
        <v>632</v>
      </c>
      <c r="B171" s="7" t="s">
        <v>635</v>
      </c>
      <c r="C171" s="7" t="s">
        <v>636</v>
      </c>
      <c r="D171" s="44">
        <f>'2015 pax'!Q169</f>
        <v>191450</v>
      </c>
      <c r="E171" s="30">
        <v>15216</v>
      </c>
      <c r="F171" s="30">
        <v>14260</v>
      </c>
      <c r="G171" s="30">
        <v>16873</v>
      </c>
      <c r="H171" s="30">
        <v>16735</v>
      </c>
      <c r="I171" s="30">
        <v>17086</v>
      </c>
      <c r="J171" s="30">
        <v>15248</v>
      </c>
      <c r="K171" s="30">
        <v>19267</v>
      </c>
      <c r="L171" s="30">
        <v>20191</v>
      </c>
      <c r="M171" s="30">
        <v>13822</v>
      </c>
      <c r="N171" s="30">
        <v>15298</v>
      </c>
      <c r="O171" s="30">
        <v>14800</v>
      </c>
      <c r="P171" s="30">
        <v>17063</v>
      </c>
      <c r="Q171" s="44">
        <f t="shared" si="3"/>
        <v>195859</v>
      </c>
      <c r="R171" s="62">
        <f>SUM(Q171/'2015 pax'!Q169)-1</f>
        <v>2.302951162183331E-2</v>
      </c>
    </row>
    <row r="172" spans="1:18" s="42" customFormat="1">
      <c r="A172" s="1" t="s">
        <v>632</v>
      </c>
      <c r="B172" s="7" t="s">
        <v>634</v>
      </c>
      <c r="C172" s="7" t="s">
        <v>633</v>
      </c>
      <c r="D172" s="44">
        <f>'2015 pax'!Q170</f>
        <v>632478</v>
      </c>
      <c r="E172" s="30">
        <v>63906</v>
      </c>
      <c r="F172" s="30">
        <v>59513</v>
      </c>
      <c r="G172" s="30">
        <v>65525</v>
      </c>
      <c r="H172" s="30">
        <v>57049</v>
      </c>
      <c r="I172" s="30">
        <v>52540</v>
      </c>
      <c r="J172" s="30">
        <v>48453</v>
      </c>
      <c r="K172" s="30">
        <v>57717</v>
      </c>
      <c r="L172" s="30">
        <v>53907</v>
      </c>
      <c r="M172" s="30">
        <v>35748</v>
      </c>
      <c r="N172" s="30">
        <v>42357</v>
      </c>
      <c r="O172" s="30">
        <v>47983</v>
      </c>
      <c r="P172" s="30">
        <v>60139</v>
      </c>
      <c r="Q172" s="44">
        <f t="shared" si="3"/>
        <v>644837</v>
      </c>
      <c r="R172" s="62">
        <f>SUM(Q172/'2015 pax'!Q170)-1</f>
        <v>1.9540600621681614E-2</v>
      </c>
    </row>
    <row r="173" spans="1:18">
      <c r="A173" s="1" t="s">
        <v>326</v>
      </c>
      <c r="B173" s="7" t="s">
        <v>327</v>
      </c>
      <c r="C173" s="7" t="s">
        <v>328</v>
      </c>
      <c r="D173" s="44">
        <f>'2015 pax'!Q171</f>
        <v>0</v>
      </c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64"/>
      <c r="R173" s="62"/>
    </row>
    <row r="174" spans="1:18">
      <c r="A174" s="1" t="s">
        <v>326</v>
      </c>
      <c r="B174" s="7" t="s">
        <v>329</v>
      </c>
      <c r="C174" s="7" t="s">
        <v>330</v>
      </c>
      <c r="D174" s="44">
        <f>'2015 pax'!Q172</f>
        <v>0</v>
      </c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64"/>
      <c r="R174" s="62"/>
    </row>
    <row r="175" spans="1:18" s="42" customFormat="1">
      <c r="A175" s="1" t="s">
        <v>16</v>
      </c>
      <c r="B175" s="7" t="s">
        <v>574</v>
      </c>
      <c r="C175" s="7" t="s">
        <v>575</v>
      </c>
      <c r="D175" s="44">
        <f>'2015 pax'!Q173</f>
        <v>1545997</v>
      </c>
      <c r="E175" s="30">
        <v>104523</v>
      </c>
      <c r="F175" s="30">
        <v>108128</v>
      </c>
      <c r="G175" s="30">
        <v>138559</v>
      </c>
      <c r="H175" s="30">
        <v>110056</v>
      </c>
      <c r="I175" s="30">
        <v>113945</v>
      </c>
      <c r="J175" s="30">
        <v>122664</v>
      </c>
      <c r="K175" s="30">
        <v>118153</v>
      </c>
      <c r="L175" s="30">
        <v>110210</v>
      </c>
      <c r="M175" s="30">
        <v>106902</v>
      </c>
      <c r="N175" s="30">
        <v>113736</v>
      </c>
      <c r="O175" s="30">
        <v>125506</v>
      </c>
      <c r="P175" s="30">
        <v>126233</v>
      </c>
      <c r="Q175" s="44">
        <f t="shared" ref="Q175:Q186" si="4">SUM(E175:P175)</f>
        <v>1398615</v>
      </c>
      <c r="R175" s="62">
        <f>SUM(Q175/'2015 pax'!Q173)-1</f>
        <v>-9.5331362221272142E-2</v>
      </c>
    </row>
    <row r="176" spans="1:18">
      <c r="A176" s="1" t="s">
        <v>16</v>
      </c>
      <c r="B176" s="1" t="s">
        <v>353</v>
      </c>
      <c r="C176" s="1" t="s">
        <v>354</v>
      </c>
      <c r="D176" s="44">
        <f>'2015 pax'!Q174</f>
        <v>4739752</v>
      </c>
      <c r="E176" s="30">
        <v>320121</v>
      </c>
      <c r="F176" s="30">
        <v>288375</v>
      </c>
      <c r="G176" s="30">
        <v>372652</v>
      </c>
      <c r="H176" s="30">
        <v>367180</v>
      </c>
      <c r="I176" s="30">
        <v>428554</v>
      </c>
      <c r="J176" s="30">
        <v>446226</v>
      </c>
      <c r="K176" s="30">
        <v>447291</v>
      </c>
      <c r="L176" s="30">
        <v>430434</v>
      </c>
      <c r="M176" s="30">
        <v>421255</v>
      </c>
      <c r="N176" s="30">
        <v>457164</v>
      </c>
      <c r="O176" s="30">
        <v>396984</v>
      </c>
      <c r="P176" s="30">
        <v>398862</v>
      </c>
      <c r="Q176" s="44">
        <f t="shared" si="4"/>
        <v>4775098</v>
      </c>
      <c r="R176" s="62">
        <f>SUM(Q176/'2015 pax'!Q174)-1</f>
        <v>7.457352199017997E-3</v>
      </c>
    </row>
    <row r="177" spans="1:18" s="42" customFormat="1">
      <c r="A177" s="1" t="s">
        <v>643</v>
      </c>
      <c r="B177" s="1" t="s">
        <v>641</v>
      </c>
      <c r="C177" s="1" t="s">
        <v>642</v>
      </c>
      <c r="D177" s="44">
        <v>4949787</v>
      </c>
      <c r="E177" s="30">
        <v>311063</v>
      </c>
      <c r="F177" s="30">
        <v>281452</v>
      </c>
      <c r="G177" s="30">
        <v>363943</v>
      </c>
      <c r="H177" s="30">
        <v>319647</v>
      </c>
      <c r="I177" s="30">
        <v>433452</v>
      </c>
      <c r="J177" s="30">
        <v>592007</v>
      </c>
      <c r="K177" s="30">
        <v>670971</v>
      </c>
      <c r="L177" s="30">
        <v>630677</v>
      </c>
      <c r="M177" s="30">
        <v>419588</v>
      </c>
      <c r="N177" s="30">
        <v>333133</v>
      </c>
      <c r="O177" s="30">
        <v>320492</v>
      </c>
      <c r="P177" s="30">
        <v>352350</v>
      </c>
      <c r="Q177" s="44">
        <f t="shared" si="4"/>
        <v>5028775</v>
      </c>
      <c r="R177" s="62">
        <f>SUM(Q177/D177)-1</f>
        <v>1.5957858388653934E-2</v>
      </c>
    </row>
    <row r="178" spans="1:18">
      <c r="A178" s="1" t="s">
        <v>16</v>
      </c>
      <c r="B178" s="1" t="s">
        <v>549</v>
      </c>
      <c r="C178" s="1" t="s">
        <v>550</v>
      </c>
      <c r="D178" s="44">
        <f>'2015 pax'!Q175</f>
        <v>1098664</v>
      </c>
      <c r="E178" s="30">
        <v>101471</v>
      </c>
      <c r="F178" s="30">
        <v>99342</v>
      </c>
      <c r="G178" s="30">
        <v>119694</v>
      </c>
      <c r="H178" s="30">
        <v>101393</v>
      </c>
      <c r="I178" s="30">
        <v>105227</v>
      </c>
      <c r="J178" s="30">
        <v>101560</v>
      </c>
      <c r="K178" s="30">
        <v>111979</v>
      </c>
      <c r="L178" s="30">
        <v>114989</v>
      </c>
      <c r="M178" s="30">
        <v>84574</v>
      </c>
      <c r="N178" s="30">
        <v>87500</v>
      </c>
      <c r="O178" s="30">
        <v>89288</v>
      </c>
      <c r="P178" s="30">
        <v>90256</v>
      </c>
      <c r="Q178" s="44">
        <f t="shared" si="4"/>
        <v>1207273</v>
      </c>
      <c r="R178" s="62">
        <f>SUM(Q178/'2015 pax'!Q175)-1</f>
        <v>9.8855519066793907E-2</v>
      </c>
    </row>
    <row r="179" spans="1:18">
      <c r="A179" s="1" t="s">
        <v>16</v>
      </c>
      <c r="B179" s="1" t="s">
        <v>17</v>
      </c>
      <c r="C179" s="1" t="s">
        <v>18</v>
      </c>
      <c r="D179" s="44">
        <f>'2015 pax'!Q176</f>
        <v>101489887</v>
      </c>
      <c r="E179" s="30">
        <v>7748428</v>
      </c>
      <c r="F179" s="30">
        <v>7431314</v>
      </c>
      <c r="G179" s="30">
        <v>8672611</v>
      </c>
      <c r="H179" s="30">
        <v>8713502</v>
      </c>
      <c r="I179" s="30">
        <v>9430556</v>
      </c>
      <c r="J179" s="30">
        <v>9297255</v>
      </c>
      <c r="K179" s="30">
        <v>9423101</v>
      </c>
      <c r="L179" s="30">
        <v>8814070</v>
      </c>
      <c r="M179" s="30">
        <v>8528801</v>
      </c>
      <c r="N179" s="30">
        <v>9072295</v>
      </c>
      <c r="O179" s="30">
        <v>8616273</v>
      </c>
      <c r="P179" s="30">
        <v>8423472</v>
      </c>
      <c r="Q179" s="44">
        <f t="shared" si="4"/>
        <v>104171678</v>
      </c>
      <c r="R179" s="62">
        <f>SUM(Q179/'2015 pax'!Q176)-1</f>
        <v>2.6424218996322191E-2</v>
      </c>
    </row>
    <row r="180" spans="1:18" ht="15.75">
      <c r="A180" s="1" t="s">
        <v>16</v>
      </c>
      <c r="B180" s="1" t="s">
        <v>382</v>
      </c>
      <c r="C180" s="1" t="s">
        <v>348</v>
      </c>
      <c r="D180" s="44">
        <f>'2015 pax'!Q177</f>
        <v>11897959</v>
      </c>
      <c r="E180" s="30">
        <v>873560</v>
      </c>
      <c r="F180" s="30">
        <v>839213</v>
      </c>
      <c r="G180" s="30">
        <v>1066146</v>
      </c>
      <c r="H180" s="30">
        <v>1028337</v>
      </c>
      <c r="I180" s="30">
        <v>1081450</v>
      </c>
      <c r="J180" s="30">
        <v>1135796</v>
      </c>
      <c r="K180" s="30">
        <v>1133641</v>
      </c>
      <c r="L180" s="30">
        <v>1054496</v>
      </c>
      <c r="M180" s="30">
        <v>1018292</v>
      </c>
      <c r="N180" s="30">
        <v>1101284</v>
      </c>
      <c r="O180" s="30">
        <v>1070567</v>
      </c>
      <c r="P180" s="30">
        <v>1034067</v>
      </c>
      <c r="Q180" s="44">
        <f t="shared" si="4"/>
        <v>12436849</v>
      </c>
      <c r="R180" s="62">
        <f>SUM(Q180/'2015 pax'!Q177)-1</f>
        <v>4.5292642208634382E-2</v>
      </c>
    </row>
    <row r="181" spans="1:18" ht="15.75">
      <c r="A181" s="1" t="s">
        <v>16</v>
      </c>
      <c r="B181" s="1" t="s">
        <v>383</v>
      </c>
      <c r="C181" s="1" t="s">
        <v>53</v>
      </c>
      <c r="D181" s="44">
        <f>'2015 pax'!Q178</f>
        <v>23823532</v>
      </c>
      <c r="E181" s="30">
        <v>1619713</v>
      </c>
      <c r="F181" s="30">
        <v>1596603</v>
      </c>
      <c r="G181" s="30">
        <v>2080117</v>
      </c>
      <c r="H181" s="30">
        <v>2095013</v>
      </c>
      <c r="I181" s="30">
        <v>2281427</v>
      </c>
      <c r="J181" s="30">
        <v>2347077</v>
      </c>
      <c r="K181" s="30">
        <v>2403094</v>
      </c>
      <c r="L181" s="30">
        <v>2257288</v>
      </c>
      <c r="M181" s="30">
        <v>2048489</v>
      </c>
      <c r="N181" s="30">
        <v>2155375</v>
      </c>
      <c r="O181" s="30">
        <v>2137702</v>
      </c>
      <c r="P181" s="30">
        <v>2099689</v>
      </c>
      <c r="Q181" s="44">
        <f t="shared" si="4"/>
        <v>25121587</v>
      </c>
      <c r="R181" s="62">
        <f>SUM(Q181/'2015 pax'!Q178)-1</f>
        <v>5.4486253339764978E-2</v>
      </c>
    </row>
    <row r="182" spans="1:18" ht="15.75">
      <c r="A182" s="1" t="s">
        <v>16</v>
      </c>
      <c r="B182" s="1" t="s">
        <v>489</v>
      </c>
      <c r="C182" s="1" t="s">
        <v>431</v>
      </c>
      <c r="D182" s="44">
        <f>'2015 pax'!Q179</f>
        <v>1290850</v>
      </c>
      <c r="E182" s="30">
        <v>86636</v>
      </c>
      <c r="F182" s="30">
        <v>87159</v>
      </c>
      <c r="G182" s="30">
        <v>102835</v>
      </c>
      <c r="H182" s="30">
        <v>105107</v>
      </c>
      <c r="I182" s="30">
        <v>123425</v>
      </c>
      <c r="J182" s="30">
        <v>128883</v>
      </c>
      <c r="K182" s="30">
        <v>126785</v>
      </c>
      <c r="L182" s="30">
        <v>120658</v>
      </c>
      <c r="M182" s="30">
        <v>116467</v>
      </c>
      <c r="N182" s="30">
        <v>122650</v>
      </c>
      <c r="O182" s="30">
        <v>109023</v>
      </c>
      <c r="P182" s="30">
        <v>108414</v>
      </c>
      <c r="Q182" s="44">
        <f t="shared" si="4"/>
        <v>1338042</v>
      </c>
      <c r="R182" s="62">
        <f>SUM(Q182/'2015 pax'!Q179)-1</f>
        <v>3.6558856567378006E-2</v>
      </c>
    </row>
    <row r="183" spans="1:18" s="42" customFormat="1">
      <c r="A183" s="1" t="s">
        <v>16</v>
      </c>
      <c r="B183" s="1" t="s">
        <v>568</v>
      </c>
      <c r="C183" s="1" t="s">
        <v>569</v>
      </c>
      <c r="D183" s="44"/>
      <c r="E183" s="30">
        <v>197561</v>
      </c>
      <c r="F183" s="30">
        <v>187523</v>
      </c>
      <c r="G183" s="30">
        <v>221360</v>
      </c>
      <c r="H183" s="30">
        <v>216085</v>
      </c>
      <c r="I183" s="30">
        <v>243777</v>
      </c>
      <c r="J183" s="30">
        <v>235766</v>
      </c>
      <c r="K183" s="30">
        <v>232128</v>
      </c>
      <c r="L183" s="30">
        <v>207202</v>
      </c>
      <c r="M183" s="30">
        <v>220222</v>
      </c>
      <c r="N183" s="30">
        <v>239741</v>
      </c>
      <c r="O183" s="30">
        <v>233596</v>
      </c>
      <c r="P183" s="30">
        <v>217272</v>
      </c>
      <c r="Q183" s="44">
        <f t="shared" si="4"/>
        <v>2652233</v>
      </c>
      <c r="R183" s="62">
        <f>SUM(Q183/'2015 pax'!Q180)-1</f>
        <v>-1.6058868047723607E-2</v>
      </c>
    </row>
    <row r="184" spans="1:18">
      <c r="A184" s="1" t="s">
        <v>16</v>
      </c>
      <c r="B184" s="1" t="s">
        <v>423</v>
      </c>
      <c r="C184" s="1" t="s">
        <v>424</v>
      </c>
      <c r="D184" s="44">
        <f>'2015 pax'!Q181</f>
        <v>2978281</v>
      </c>
      <c r="E184" s="30">
        <v>240717</v>
      </c>
      <c r="F184" s="30">
        <v>230875</v>
      </c>
      <c r="G184" s="30">
        <v>256678</v>
      </c>
      <c r="H184" s="30">
        <v>239695</v>
      </c>
      <c r="I184" s="30">
        <v>271717</v>
      </c>
      <c r="J184" s="30">
        <v>302404</v>
      </c>
      <c r="K184" s="30">
        <v>295949</v>
      </c>
      <c r="L184" s="30">
        <v>290338</v>
      </c>
      <c r="M184" s="30">
        <v>267698</v>
      </c>
      <c r="N184" s="30">
        <v>278165</v>
      </c>
      <c r="O184" s="30">
        <v>271865</v>
      </c>
      <c r="P184" s="30">
        <v>284777</v>
      </c>
      <c r="Q184" s="44">
        <f t="shared" si="4"/>
        <v>3230878</v>
      </c>
      <c r="R184" s="62">
        <f>SUM(Q184/'2015 pax'!Q181)-1</f>
        <v>8.4813017979163075E-2</v>
      </c>
    </row>
    <row r="185" spans="1:18" ht="15.75">
      <c r="A185" s="1" t="s">
        <v>16</v>
      </c>
      <c r="B185" s="1" t="s">
        <v>452</v>
      </c>
      <c r="C185" s="1" t="s">
        <v>48</v>
      </c>
      <c r="D185" s="44">
        <f>'2015 pax'!Q182</f>
        <v>33449580</v>
      </c>
      <c r="E185" s="30">
        <v>2342969</v>
      </c>
      <c r="F185" s="30">
        <v>2297530</v>
      </c>
      <c r="G185" s="30">
        <v>2878649</v>
      </c>
      <c r="H185" s="30">
        <v>2987158</v>
      </c>
      <c r="I185" s="30">
        <v>3245967</v>
      </c>
      <c r="J185" s="30">
        <v>3406989</v>
      </c>
      <c r="K185" s="30">
        <v>3563829</v>
      </c>
      <c r="L185" s="30">
        <v>3555757</v>
      </c>
      <c r="M185" s="30">
        <v>3091550</v>
      </c>
      <c r="N185" s="30">
        <v>3198834</v>
      </c>
      <c r="O185" s="30">
        <v>2921196</v>
      </c>
      <c r="P185" s="30">
        <v>2797614</v>
      </c>
      <c r="Q185" s="44">
        <f t="shared" si="4"/>
        <v>36288042</v>
      </c>
      <c r="R185" s="62">
        <f>SUM(Q185/'2015 pax'!Q182)-1</f>
        <v>8.4857926467238221E-2</v>
      </c>
    </row>
    <row r="186" spans="1:18">
      <c r="A186" s="1" t="s">
        <v>16</v>
      </c>
      <c r="B186" s="1" t="s">
        <v>535</v>
      </c>
      <c r="C186" s="1" t="s">
        <v>536</v>
      </c>
      <c r="D186" s="44">
        <f>'2015 pax'!Q183</f>
        <v>0</v>
      </c>
      <c r="E186" s="30">
        <v>292585</v>
      </c>
      <c r="F186" s="30">
        <v>299321</v>
      </c>
      <c r="G186" s="30">
        <v>396801</v>
      </c>
      <c r="H186" s="30">
        <v>371455</v>
      </c>
      <c r="I186" s="30">
        <v>431950</v>
      </c>
      <c r="J186" s="30">
        <v>415370</v>
      </c>
      <c r="K186" s="30">
        <v>449497</v>
      </c>
      <c r="L186" s="30">
        <v>444334</v>
      </c>
      <c r="M186" s="30">
        <v>395093</v>
      </c>
      <c r="N186" s="30">
        <v>408783</v>
      </c>
      <c r="O186" s="30">
        <v>357972</v>
      </c>
      <c r="P186" s="30">
        <v>343297</v>
      </c>
      <c r="Q186" s="44">
        <f t="shared" si="4"/>
        <v>4606458</v>
      </c>
      <c r="R186" s="62"/>
    </row>
    <row r="187" spans="1:18" ht="15.75">
      <c r="A187" s="1" t="s">
        <v>16</v>
      </c>
      <c r="B187" s="1" t="s">
        <v>417</v>
      </c>
      <c r="C187" s="1" t="s">
        <v>407</v>
      </c>
      <c r="D187" s="44">
        <f>'2015 pax'!Q184</f>
        <v>3943629</v>
      </c>
      <c r="E187" s="30">
        <v>296100</v>
      </c>
      <c r="F187" s="30">
        <v>299360</v>
      </c>
      <c r="G187" s="30">
        <v>338334</v>
      </c>
      <c r="H187" s="30">
        <v>331499</v>
      </c>
      <c r="I187" s="30">
        <v>351043</v>
      </c>
      <c r="J187" s="30">
        <v>347482</v>
      </c>
      <c r="K187" s="30">
        <v>340413</v>
      </c>
      <c r="L187" s="30">
        <v>367527</v>
      </c>
      <c r="M187" s="30">
        <v>355341</v>
      </c>
      <c r="N187" s="30">
        <v>375456</v>
      </c>
      <c r="O187" s="30">
        <v>375432</v>
      </c>
      <c r="P187" s="30">
        <v>364956</v>
      </c>
      <c r="Q187" s="44">
        <f t="shared" ref="Q187:Q193" si="5">SUM(E187:P187)</f>
        <v>4142943</v>
      </c>
      <c r="R187" s="62">
        <f>SUM(Q187/'2015 pax'!Q184)-1</f>
        <v>5.0540758271125474E-2</v>
      </c>
    </row>
    <row r="188" spans="1:18">
      <c r="A188" s="1" t="s">
        <v>16</v>
      </c>
      <c r="B188" s="1" t="s">
        <v>439</v>
      </c>
      <c r="C188" s="1" t="s">
        <v>440</v>
      </c>
      <c r="D188" s="44">
        <f>'2015 pax'!Q185</f>
        <v>3415952</v>
      </c>
      <c r="E188" s="30">
        <v>225413</v>
      </c>
      <c r="F188" s="30">
        <v>239285</v>
      </c>
      <c r="G188" s="30">
        <v>302791</v>
      </c>
      <c r="H188" s="30">
        <v>331963</v>
      </c>
      <c r="I188" s="30">
        <v>357633</v>
      </c>
      <c r="J188" s="30">
        <v>354250</v>
      </c>
      <c r="K188" s="30">
        <v>348243</v>
      </c>
      <c r="L188" s="30">
        <v>330850</v>
      </c>
      <c r="M188" s="30">
        <v>321880</v>
      </c>
      <c r="N188" s="30">
        <v>293278</v>
      </c>
      <c r="O188" s="30">
        <v>319165</v>
      </c>
      <c r="P188" s="30">
        <v>281660</v>
      </c>
      <c r="Q188" s="44">
        <f t="shared" si="5"/>
        <v>3706411</v>
      </c>
      <c r="R188" s="62">
        <f>SUM(Q188/'2015 pax'!Q185)-1</f>
        <v>8.5030176068047858E-2</v>
      </c>
    </row>
    <row r="189" spans="1:18">
      <c r="A189" s="1" t="s">
        <v>16</v>
      </c>
      <c r="B189" s="1" t="s">
        <v>34</v>
      </c>
      <c r="C189" s="1" t="s">
        <v>35</v>
      </c>
      <c r="D189" s="44">
        <f>'2015 pax'!Q186</f>
        <v>44876639</v>
      </c>
      <c r="E189" s="30">
        <v>3279917</v>
      </c>
      <c r="F189" s="30">
        <v>3131765</v>
      </c>
      <c r="G189" s="30">
        <v>3805669</v>
      </c>
      <c r="H189" s="30">
        <v>3793230</v>
      </c>
      <c r="I189" s="30">
        <v>4028620</v>
      </c>
      <c r="J189" s="30">
        <v>4042158</v>
      </c>
      <c r="K189" s="30">
        <v>4040519</v>
      </c>
      <c r="L189" s="30">
        <v>3922610</v>
      </c>
      <c r="M189" s="30">
        <v>3511231</v>
      </c>
      <c r="N189" s="30">
        <v>3660137</v>
      </c>
      <c r="O189" s="30">
        <v>3549661</v>
      </c>
      <c r="P189" s="30">
        <v>3661557</v>
      </c>
      <c r="Q189" s="44">
        <f t="shared" si="5"/>
        <v>44427074</v>
      </c>
      <c r="R189" s="62">
        <f>SUM(Q189/'2015 pax'!Q186)-1</f>
        <v>-1.0017795673156416E-2</v>
      </c>
    </row>
    <row r="190" spans="1:18" ht="15.75">
      <c r="A190" s="1" t="s">
        <v>16</v>
      </c>
      <c r="B190" s="1" t="s">
        <v>384</v>
      </c>
      <c r="C190" s="1" t="s">
        <v>57</v>
      </c>
      <c r="D190" s="44">
        <f>'2015 pax'!Q187</f>
        <v>22221499</v>
      </c>
      <c r="E190" s="30">
        <v>1497632</v>
      </c>
      <c r="F190" s="30">
        <v>1382043</v>
      </c>
      <c r="G190" s="30">
        <v>1837913</v>
      </c>
      <c r="H190" s="30">
        <v>1918127</v>
      </c>
      <c r="I190" s="30">
        <v>2047145</v>
      </c>
      <c r="J190" s="30">
        <v>2145261</v>
      </c>
      <c r="K190" s="30">
        <v>2149147</v>
      </c>
      <c r="L190" s="30">
        <v>2107052</v>
      </c>
      <c r="M190" s="30">
        <v>1977400</v>
      </c>
      <c r="N190" s="30">
        <v>2059224</v>
      </c>
      <c r="O190" s="30">
        <v>1833040</v>
      </c>
      <c r="P190" s="30">
        <v>1723605</v>
      </c>
      <c r="Q190" s="44">
        <f t="shared" si="5"/>
        <v>22677589</v>
      </c>
      <c r="R190" s="62">
        <f>SUM(Q190/'2015 pax'!Q187)-1</f>
        <v>2.0524717976946549E-2</v>
      </c>
    </row>
    <row r="191" spans="1:18" ht="15.75">
      <c r="A191" s="1" t="s">
        <v>16</v>
      </c>
      <c r="B191" s="1" t="s">
        <v>385</v>
      </c>
      <c r="C191" s="1" t="s">
        <v>19</v>
      </c>
      <c r="D191" s="44">
        <f>'2015 pax'!Q188</f>
        <v>76938270</v>
      </c>
      <c r="E191" s="30">
        <v>5551043</v>
      </c>
      <c r="F191" s="30">
        <v>5108012</v>
      </c>
      <c r="G191" s="30">
        <v>6356937</v>
      </c>
      <c r="H191" s="30">
        <v>6315785</v>
      </c>
      <c r="I191" s="30">
        <v>6893561</v>
      </c>
      <c r="J191" s="30">
        <v>7329084</v>
      </c>
      <c r="K191" s="30">
        <v>7386346</v>
      </c>
      <c r="L191" s="30">
        <v>7385487</v>
      </c>
      <c r="M191" s="30">
        <v>6846363</v>
      </c>
      <c r="N191" s="30">
        <v>7020039</v>
      </c>
      <c r="O191" s="30">
        <v>6229046</v>
      </c>
      <c r="P191" s="30">
        <v>5857451</v>
      </c>
      <c r="Q191" s="44">
        <f t="shared" si="5"/>
        <v>78279154</v>
      </c>
      <c r="R191" s="62">
        <f>SUM(Q191/'2015 pax'!Q188)-1</f>
        <v>1.7428049785886746E-2</v>
      </c>
    </row>
    <row r="192" spans="1:18">
      <c r="A192" s="1" t="s">
        <v>16</v>
      </c>
      <c r="B192" s="1" t="s">
        <v>349</v>
      </c>
      <c r="C192" s="1" t="s">
        <v>350</v>
      </c>
      <c r="D192" s="44">
        <f>'2015 pax'!Q189</f>
        <v>6316617</v>
      </c>
      <c r="E192" s="30">
        <v>447825</v>
      </c>
      <c r="F192" s="30">
        <v>442751</v>
      </c>
      <c r="G192" s="30">
        <v>558205</v>
      </c>
      <c r="H192" s="30">
        <v>559040</v>
      </c>
      <c r="I192" s="30">
        <v>618422</v>
      </c>
      <c r="J192" s="30">
        <v>643006</v>
      </c>
      <c r="K192" s="30">
        <v>629359</v>
      </c>
      <c r="L192" s="30">
        <v>592098</v>
      </c>
      <c r="M192" s="30">
        <v>562263</v>
      </c>
      <c r="N192" s="30">
        <v>609924</v>
      </c>
      <c r="O192" s="30">
        <v>564446</v>
      </c>
      <c r="P192" s="30">
        <v>546932</v>
      </c>
      <c r="Q192" s="44">
        <f t="shared" si="5"/>
        <v>6774271</v>
      </c>
      <c r="R192" s="62">
        <f>SUM(Q192/'2015 pax'!Q189)-1</f>
        <v>7.2452390258899602E-2</v>
      </c>
    </row>
    <row r="193" spans="1:20">
      <c r="A193" s="1" t="s">
        <v>16</v>
      </c>
      <c r="B193" s="1" t="s">
        <v>544</v>
      </c>
      <c r="C193" s="1" t="s">
        <v>543</v>
      </c>
      <c r="D193" s="44">
        <f>'2015 pax'!Q190</f>
        <v>8100073</v>
      </c>
      <c r="E193" s="30">
        <v>597897</v>
      </c>
      <c r="F193" s="30">
        <v>586203</v>
      </c>
      <c r="G193" s="30">
        <v>708617</v>
      </c>
      <c r="H193" s="30">
        <v>681708</v>
      </c>
      <c r="I193" s="30">
        <v>743016</v>
      </c>
      <c r="J193" s="30">
        <v>789449</v>
      </c>
      <c r="K193" s="30">
        <v>791995</v>
      </c>
      <c r="L193" s="30">
        <v>766685</v>
      </c>
      <c r="M193" s="30">
        <v>711783</v>
      </c>
      <c r="N193" s="30">
        <v>741363</v>
      </c>
      <c r="O193" s="30">
        <v>671921</v>
      </c>
      <c r="P193" s="30">
        <v>632039</v>
      </c>
      <c r="Q193" s="44">
        <f t="shared" si="5"/>
        <v>8422676</v>
      </c>
      <c r="R193" s="62">
        <f>SUM(Q193/'2015 pax'!Q190)-1</f>
        <v>3.9827171927956595E-2</v>
      </c>
      <c r="S193" s="48"/>
      <c r="T193" s="48"/>
    </row>
    <row r="194" spans="1:20" ht="15.75">
      <c r="A194" s="1" t="s">
        <v>16</v>
      </c>
      <c r="B194" s="1" t="s">
        <v>451</v>
      </c>
      <c r="C194" s="1" t="s">
        <v>434</v>
      </c>
      <c r="D194" s="44">
        <f>'2015 pax'!Q191</f>
        <v>0</v>
      </c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44"/>
      <c r="R194" s="62"/>
    </row>
    <row r="195" spans="1:20">
      <c r="A195" s="1" t="s">
        <v>16</v>
      </c>
      <c r="B195" s="1" t="s">
        <v>517</v>
      </c>
      <c r="C195" s="1" t="s">
        <v>518</v>
      </c>
      <c r="D195" s="44">
        <f>'2015 pax'!Q192</f>
        <v>1102011</v>
      </c>
      <c r="E195" s="30">
        <v>89773</v>
      </c>
      <c r="F195" s="30">
        <v>84708</v>
      </c>
      <c r="G195" s="30">
        <v>91287</v>
      </c>
      <c r="H195" s="30">
        <v>98123</v>
      </c>
      <c r="I195" s="30">
        <v>107658</v>
      </c>
      <c r="J195" s="30">
        <v>98060</v>
      </c>
      <c r="K195" s="30">
        <v>96588</v>
      </c>
      <c r="L195" s="30">
        <v>98214</v>
      </c>
      <c r="M195" s="30">
        <v>94336</v>
      </c>
      <c r="N195" s="30">
        <v>97870</v>
      </c>
      <c r="O195" s="30">
        <v>91444</v>
      </c>
      <c r="P195" s="30">
        <v>84268</v>
      </c>
      <c r="Q195" s="44">
        <f t="shared" ref="Q195:Q200" si="6">SUM(E195:P195)</f>
        <v>1132329</v>
      </c>
      <c r="R195" s="62">
        <f>SUM(Q195/'2015 pax'!Q192)-1</f>
        <v>2.7511522117292797E-2</v>
      </c>
    </row>
    <row r="196" spans="1:20">
      <c r="A196" s="1" t="s">
        <v>16</v>
      </c>
      <c r="B196" s="1" t="s">
        <v>403</v>
      </c>
      <c r="C196" s="1" t="s">
        <v>404</v>
      </c>
      <c r="D196" s="44">
        <f>'2015 pax'!Q193</f>
        <v>6767788</v>
      </c>
      <c r="E196" s="30">
        <v>495101</v>
      </c>
      <c r="F196" s="30">
        <v>493231</v>
      </c>
      <c r="G196" s="30">
        <v>627428</v>
      </c>
      <c r="H196" s="30">
        <v>577523</v>
      </c>
      <c r="I196" s="30">
        <v>648020</v>
      </c>
      <c r="J196" s="30">
        <v>685707</v>
      </c>
      <c r="K196" s="30">
        <v>674347</v>
      </c>
      <c r="L196" s="30">
        <v>614639</v>
      </c>
      <c r="M196" s="30">
        <v>614129</v>
      </c>
      <c r="N196" s="30">
        <v>645841</v>
      </c>
      <c r="O196" s="30">
        <v>625672</v>
      </c>
      <c r="P196" s="30">
        <v>586392</v>
      </c>
      <c r="Q196" s="44">
        <f t="shared" si="6"/>
        <v>7288030</v>
      </c>
      <c r="R196" s="62">
        <f>SUM(Q196/'2015 pax'!Q193)-1</f>
        <v>7.6870315677737056E-2</v>
      </c>
    </row>
    <row r="197" spans="1:20">
      <c r="A197" s="1" t="s">
        <v>16</v>
      </c>
      <c r="B197" s="1" t="s">
        <v>22</v>
      </c>
      <c r="C197" s="1" t="s">
        <v>23</v>
      </c>
      <c r="D197" s="44">
        <f>'2015 pax'!Q194</f>
        <v>64072468</v>
      </c>
      <c r="E197" s="30">
        <v>4970961</v>
      </c>
      <c r="F197" s="30">
        <v>4678430</v>
      </c>
      <c r="G197" s="30">
        <v>5411144</v>
      </c>
      <c r="H197" s="30">
        <v>5221068</v>
      </c>
      <c r="I197" s="30">
        <v>5649507</v>
      </c>
      <c r="J197" s="30">
        <v>5884667</v>
      </c>
      <c r="K197" s="30">
        <v>6122997</v>
      </c>
      <c r="L197" s="30">
        <v>5695407</v>
      </c>
      <c r="M197" s="30">
        <v>5451557</v>
      </c>
      <c r="N197" s="30">
        <v>5617818</v>
      </c>
      <c r="O197" s="30">
        <v>5186056</v>
      </c>
      <c r="P197" s="30">
        <v>5324018</v>
      </c>
      <c r="Q197" s="44">
        <f t="shared" si="6"/>
        <v>65213630</v>
      </c>
      <c r="R197" s="62">
        <f>SUM(Q197/'2015 pax'!Q194)-1</f>
        <v>1.781048921043582E-2</v>
      </c>
    </row>
    <row r="198" spans="1:20" ht="15.75">
      <c r="A198" s="1" t="s">
        <v>16</v>
      </c>
      <c r="B198" s="1" t="s">
        <v>505</v>
      </c>
      <c r="C198" s="1" t="s">
        <v>495</v>
      </c>
      <c r="D198" s="44">
        <f>'2015 pax'!Q195</f>
        <v>14497498</v>
      </c>
      <c r="E198" s="30">
        <v>1196357</v>
      </c>
      <c r="F198" s="30">
        <v>1142788</v>
      </c>
      <c r="G198" s="30">
        <v>1336097</v>
      </c>
      <c r="H198" s="30">
        <v>1290794</v>
      </c>
      <c r="I198" s="30">
        <v>1359889</v>
      </c>
      <c r="J198" s="30">
        <v>1324533</v>
      </c>
      <c r="K198" s="30">
        <v>1289835</v>
      </c>
      <c r="L198" s="30">
        <v>1277098</v>
      </c>
      <c r="M198" s="30">
        <v>1324807</v>
      </c>
      <c r="N198" s="30">
        <v>1393310</v>
      </c>
      <c r="O198" s="30">
        <v>1326232</v>
      </c>
      <c r="P198" s="30">
        <v>1300998</v>
      </c>
      <c r="Q198" s="44">
        <f t="shared" si="6"/>
        <v>15562738</v>
      </c>
      <c r="R198" s="62">
        <f>SUM(Q198/'2015 pax'!Q195)-1</f>
        <v>7.3477506256596881E-2</v>
      </c>
    </row>
    <row r="199" spans="1:20" s="42" customFormat="1">
      <c r="A199" s="1" t="s">
        <v>16</v>
      </c>
      <c r="B199" s="1" t="s">
        <v>570</v>
      </c>
      <c r="C199" s="1" t="s">
        <v>571</v>
      </c>
      <c r="D199" s="44">
        <f>'2015 pax'!Q196</f>
        <v>1072620</v>
      </c>
      <c r="E199" s="30">
        <v>72704</v>
      </c>
      <c r="F199" s="30">
        <v>73602</v>
      </c>
      <c r="G199" s="30">
        <v>88581</v>
      </c>
      <c r="H199" s="30">
        <v>84912</v>
      </c>
      <c r="I199" s="30">
        <v>96224</v>
      </c>
      <c r="J199" s="30">
        <v>92606</v>
      </c>
      <c r="K199" s="30">
        <v>89402</v>
      </c>
      <c r="L199" s="30">
        <v>86922</v>
      </c>
      <c r="M199" s="30">
        <v>89380</v>
      </c>
      <c r="N199" s="30">
        <v>92987</v>
      </c>
      <c r="O199" s="30">
        <v>87482</v>
      </c>
      <c r="P199" s="30">
        <v>80461</v>
      </c>
      <c r="Q199" s="44">
        <f t="shared" si="6"/>
        <v>1035263</v>
      </c>
      <c r="R199" s="62">
        <f>SUM(Q199/'2015 pax'!Q196)-1</f>
        <v>-3.4827804814379748E-2</v>
      </c>
    </row>
    <row r="200" spans="1:20" ht="15.75">
      <c r="A200" s="1" t="s">
        <v>16</v>
      </c>
      <c r="B200" s="1" t="s">
        <v>386</v>
      </c>
      <c r="C200" s="1" t="s">
        <v>24</v>
      </c>
      <c r="D200" s="44">
        <f>'2015 pax'!Q197</f>
        <v>54013736</v>
      </c>
      <c r="E200" s="30">
        <v>4289432</v>
      </c>
      <c r="F200" s="30">
        <v>4069006</v>
      </c>
      <c r="G200" s="30">
        <v>4689761</v>
      </c>
      <c r="H200" s="30">
        <v>4377597</v>
      </c>
      <c r="I200" s="30">
        <v>4901890</v>
      </c>
      <c r="J200" s="30">
        <v>5208947</v>
      </c>
      <c r="K200" s="30">
        <v>5474503</v>
      </c>
      <c r="L200" s="30">
        <v>5395910</v>
      </c>
      <c r="M200" s="30">
        <v>5112271</v>
      </c>
      <c r="N200" s="30">
        <v>5226077</v>
      </c>
      <c r="O200" s="30">
        <v>4695897</v>
      </c>
      <c r="P200" s="30">
        <v>4825224</v>
      </c>
      <c r="Q200" s="44">
        <f t="shared" si="6"/>
        <v>58266515</v>
      </c>
      <c r="R200" s="62">
        <f>SUM(Q200/'2015 pax'!Q197)-1</f>
        <v>7.8735138780253955E-2</v>
      </c>
    </row>
    <row r="201" spans="1:20">
      <c r="A201" s="1" t="s">
        <v>16</v>
      </c>
      <c r="B201" s="1" t="s">
        <v>437</v>
      </c>
      <c r="C201" s="1" t="s">
        <v>438</v>
      </c>
      <c r="D201" s="44">
        <f>'2015 pax'!Q198</f>
        <v>2365643</v>
      </c>
      <c r="E201" s="30">
        <v>195334</v>
      </c>
      <c r="F201" s="30">
        <v>189838</v>
      </c>
      <c r="G201" s="30">
        <v>210298</v>
      </c>
      <c r="H201" s="30">
        <v>190470</v>
      </c>
      <c r="I201" s="30">
        <v>220557</v>
      </c>
      <c r="J201" s="30">
        <v>224091</v>
      </c>
      <c r="K201" s="30">
        <v>217167</v>
      </c>
      <c r="L201" s="30">
        <v>213413</v>
      </c>
      <c r="M201" s="30">
        <v>206083</v>
      </c>
      <c r="N201" s="30">
        <v>217867</v>
      </c>
      <c r="O201" s="30">
        <v>204417</v>
      </c>
      <c r="P201" s="30">
        <v>193938</v>
      </c>
      <c r="Q201" s="44">
        <f t="shared" ref="Q201:Q268" si="7">SUM(E201:P201)</f>
        <v>2483473</v>
      </c>
      <c r="R201" s="62">
        <f>SUM(Q201/'2015 pax'!Q198)-1</f>
        <v>4.9808868032919618E-2</v>
      </c>
    </row>
    <row r="202" spans="1:20">
      <c r="A202" s="1" t="s">
        <v>16</v>
      </c>
      <c r="B202" s="1" t="s">
        <v>42</v>
      </c>
      <c r="C202" s="1" t="s">
        <v>43</v>
      </c>
      <c r="D202" s="44">
        <f>'2015 pax'!Q199</f>
        <v>33440112</v>
      </c>
      <c r="E202" s="30">
        <v>2480343</v>
      </c>
      <c r="F202" s="30">
        <v>2398860</v>
      </c>
      <c r="G202" s="30">
        <v>2899158</v>
      </c>
      <c r="H202" s="30">
        <v>2873434</v>
      </c>
      <c r="I202" s="30">
        <v>3134124</v>
      </c>
      <c r="J202" s="30">
        <v>3089889</v>
      </c>
      <c r="K202" s="30">
        <v>3152983</v>
      </c>
      <c r="L202" s="30">
        <v>3074127</v>
      </c>
      <c r="M202" s="30">
        <v>2830531</v>
      </c>
      <c r="N202" s="30">
        <v>2979481</v>
      </c>
      <c r="O202" s="30">
        <v>2780045</v>
      </c>
      <c r="P202" s="30">
        <v>2698855</v>
      </c>
      <c r="Q202" s="44">
        <f t="shared" si="7"/>
        <v>34391830</v>
      </c>
      <c r="R202" s="62">
        <f>SUM(Q202/'2015 pax'!Q199)-1</f>
        <v>2.8460371185359712E-2</v>
      </c>
    </row>
    <row r="203" spans="1:20">
      <c r="A203" s="1" t="s">
        <v>16</v>
      </c>
      <c r="B203" s="1" t="s">
        <v>421</v>
      </c>
      <c r="C203" s="1" t="s">
        <v>422</v>
      </c>
      <c r="D203" s="44">
        <f>'2015 pax'!Q200</f>
        <v>2763213</v>
      </c>
      <c r="E203" s="30">
        <v>197032</v>
      </c>
      <c r="F203" s="30">
        <v>182767</v>
      </c>
      <c r="G203" s="30">
        <v>232009</v>
      </c>
      <c r="H203" s="30">
        <v>208673</v>
      </c>
      <c r="I203" s="30">
        <v>246517</v>
      </c>
      <c r="J203" s="30">
        <v>256161</v>
      </c>
      <c r="K203" s="30">
        <v>261064</v>
      </c>
      <c r="L203" s="30">
        <v>240264</v>
      </c>
      <c r="M203" s="30">
        <v>233468</v>
      </c>
      <c r="N203" s="30">
        <v>248987</v>
      </c>
      <c r="O203" s="30">
        <v>245587</v>
      </c>
      <c r="P203" s="30">
        <v>255205</v>
      </c>
      <c r="Q203" s="44">
        <f t="shared" si="7"/>
        <v>2807734</v>
      </c>
      <c r="R203" s="62">
        <f>SUM(Q203/'2015 pax'!Q200)-1</f>
        <v>1.6112040584638221E-2</v>
      </c>
    </row>
    <row r="204" spans="1:20" s="42" customFormat="1">
      <c r="A204" s="1" t="s">
        <v>16</v>
      </c>
      <c r="B204" s="1" t="s">
        <v>644</v>
      </c>
      <c r="C204" s="1" t="s">
        <v>645</v>
      </c>
      <c r="D204" s="44">
        <v>820708</v>
      </c>
      <c r="E204" s="45">
        <v>61384</v>
      </c>
      <c r="F204" s="45">
        <v>64903</v>
      </c>
      <c r="G204" s="45">
        <v>79894</v>
      </c>
      <c r="H204" s="45">
        <v>67560</v>
      </c>
      <c r="I204" s="45">
        <v>64421</v>
      </c>
      <c r="J204" s="45">
        <v>63116</v>
      </c>
      <c r="K204" s="45">
        <v>70467</v>
      </c>
      <c r="L204" s="45">
        <v>72806</v>
      </c>
      <c r="M204" s="45">
        <v>67015</v>
      </c>
      <c r="N204" s="45">
        <v>69497</v>
      </c>
      <c r="O204" s="45">
        <v>64953</v>
      </c>
      <c r="P204" s="45">
        <v>59006</v>
      </c>
      <c r="Q204" s="44">
        <f t="shared" si="7"/>
        <v>805022</v>
      </c>
      <c r="R204" s="62"/>
    </row>
    <row r="205" spans="1:20">
      <c r="A205" s="1" t="s">
        <v>16</v>
      </c>
      <c r="B205" s="1" t="s">
        <v>51</v>
      </c>
      <c r="C205" s="1" t="s">
        <v>52</v>
      </c>
      <c r="D205" s="44">
        <f>'2015 pax'!Q201</f>
        <v>26941511</v>
      </c>
      <c r="E205" s="30">
        <v>2572187</v>
      </c>
      <c r="F205" s="30">
        <v>2437622</v>
      </c>
      <c r="G205" s="30">
        <v>2876672</v>
      </c>
      <c r="H205" s="30">
        <v>2463673</v>
      </c>
      <c r="I205" s="30">
        <v>2393023</v>
      </c>
      <c r="J205" s="30">
        <v>2351147</v>
      </c>
      <c r="K205" s="30">
        <v>2490684</v>
      </c>
      <c r="L205" s="30">
        <v>2333911</v>
      </c>
      <c r="M205" s="30">
        <v>1966307</v>
      </c>
      <c r="N205" s="30">
        <v>2027350</v>
      </c>
      <c r="O205" s="30">
        <v>2494486</v>
      </c>
      <c r="P205" s="30">
        <v>2806727</v>
      </c>
      <c r="Q205" s="44">
        <f t="shared" si="7"/>
        <v>29213789</v>
      </c>
      <c r="R205" s="62">
        <f>SUM(Q205/'2015 pax'!Q201)-1</f>
        <v>8.4341149239921975E-2</v>
      </c>
    </row>
    <row r="206" spans="1:20">
      <c r="A206" s="1" t="s">
        <v>16</v>
      </c>
      <c r="B206" s="1" t="s">
        <v>398</v>
      </c>
      <c r="C206" s="1" t="s">
        <v>399</v>
      </c>
      <c r="D206" s="44">
        <f>'2015 pax'!Q202</f>
        <v>8371801</v>
      </c>
      <c r="E206" s="30">
        <v>918929</v>
      </c>
      <c r="F206" s="30">
        <v>989845</v>
      </c>
      <c r="G206" s="30">
        <v>1269961</v>
      </c>
      <c r="H206" s="30">
        <v>900594</v>
      </c>
      <c r="I206" s="30">
        <v>606833</v>
      </c>
      <c r="J206" s="30">
        <v>492413</v>
      </c>
      <c r="K206" s="30">
        <v>484074</v>
      </c>
      <c r="L206" s="30">
        <v>431729</v>
      </c>
      <c r="M206" s="30">
        <v>391844</v>
      </c>
      <c r="N206" s="30">
        <v>550316</v>
      </c>
      <c r="O206" s="30">
        <v>727634</v>
      </c>
      <c r="P206" s="30">
        <v>840501</v>
      </c>
      <c r="Q206" s="44">
        <f t="shared" si="7"/>
        <v>8604673</v>
      </c>
      <c r="R206" s="62">
        <f>SUM(Q206/'2015 pax'!Q202)-1</f>
        <v>2.781623691246371E-2</v>
      </c>
    </row>
    <row r="207" spans="1:20">
      <c r="A207" s="1" t="s">
        <v>16</v>
      </c>
      <c r="B207" s="1" t="s">
        <v>537</v>
      </c>
      <c r="C207" s="1" t="s">
        <v>538</v>
      </c>
      <c r="D207" s="44">
        <f>'2015 pax'!Q203</f>
        <v>1381980</v>
      </c>
      <c r="E207" s="30">
        <v>113861</v>
      </c>
      <c r="F207" s="30">
        <v>103249</v>
      </c>
      <c r="G207" s="30">
        <v>119372</v>
      </c>
      <c r="H207" s="30"/>
      <c r="I207" s="30"/>
      <c r="J207" s="30"/>
      <c r="K207" s="30">
        <v>149103</v>
      </c>
      <c r="L207" s="30"/>
      <c r="M207" s="30"/>
      <c r="N207" s="30"/>
      <c r="O207" s="30"/>
      <c r="P207" s="30"/>
      <c r="Q207" s="44"/>
      <c r="R207" s="62"/>
    </row>
    <row r="208" spans="1:20">
      <c r="A208" s="1" t="s">
        <v>16</v>
      </c>
      <c r="B208" s="1" t="s">
        <v>432</v>
      </c>
      <c r="C208" s="1" t="s">
        <v>433</v>
      </c>
      <c r="D208" s="44">
        <f>'2015 pax'!Q204</f>
        <v>2550193</v>
      </c>
      <c r="E208" s="30">
        <v>200271</v>
      </c>
      <c r="F208" s="30">
        <v>197446</v>
      </c>
      <c r="G208" s="30">
        <v>231063</v>
      </c>
      <c r="H208" s="30">
        <v>216364</v>
      </c>
      <c r="I208" s="30">
        <v>226075</v>
      </c>
      <c r="J208" s="30">
        <v>228009</v>
      </c>
      <c r="K208" s="30">
        <v>238237</v>
      </c>
      <c r="L208" s="30">
        <v>229666</v>
      </c>
      <c r="M208" s="30">
        <v>219044</v>
      </c>
      <c r="N208" s="30">
        <v>232260</v>
      </c>
      <c r="O208" s="30">
        <v>219178</v>
      </c>
      <c r="P208" s="30">
        <v>216017</v>
      </c>
      <c r="Q208" s="44">
        <f t="shared" si="7"/>
        <v>2653630</v>
      </c>
      <c r="R208" s="62">
        <f>SUM(Q208/'2015 pax'!Q204)-1</f>
        <v>4.056045954168952E-2</v>
      </c>
      <c r="S208" s="42"/>
      <c r="T208" s="42"/>
    </row>
    <row r="209" spans="1:20">
      <c r="A209" s="1" t="s">
        <v>16</v>
      </c>
      <c r="B209" s="1" t="s">
        <v>447</v>
      </c>
      <c r="C209" s="1" t="s">
        <v>448</v>
      </c>
      <c r="D209" s="44">
        <f>'2015 pax'!Q205</f>
        <v>1940037</v>
      </c>
      <c r="E209" s="30">
        <v>144183</v>
      </c>
      <c r="F209" s="30">
        <v>139250</v>
      </c>
      <c r="G209" s="30">
        <v>159013</v>
      </c>
      <c r="H209" s="30">
        <v>165371</v>
      </c>
      <c r="I209" s="30">
        <v>179235</v>
      </c>
      <c r="J209" s="30">
        <v>174465</v>
      </c>
      <c r="K209" s="30">
        <v>172990</v>
      </c>
      <c r="L209" s="30">
        <v>177965</v>
      </c>
      <c r="M209" s="30">
        <v>179910</v>
      </c>
      <c r="N209" s="30">
        <v>188787</v>
      </c>
      <c r="O209" s="30">
        <v>178454</v>
      </c>
      <c r="P209" s="30">
        <v>158696</v>
      </c>
      <c r="Q209" s="44">
        <f t="shared" si="7"/>
        <v>2018319</v>
      </c>
      <c r="R209" s="62">
        <f>SUM(Q209/'2015 pax'!Q205)-1</f>
        <v>4.0350776815081257E-2</v>
      </c>
    </row>
    <row r="210" spans="1:20">
      <c r="A210" s="1" t="s">
        <v>16</v>
      </c>
      <c r="B210" s="1" t="s">
        <v>496</v>
      </c>
      <c r="C210" s="1" t="s">
        <v>497</v>
      </c>
      <c r="D210" s="44">
        <f>'2015 pax'!Q206</f>
        <v>5933897</v>
      </c>
      <c r="E210" s="30">
        <v>434494</v>
      </c>
      <c r="F210" s="30">
        <v>425504</v>
      </c>
      <c r="G210" s="30">
        <v>491548</v>
      </c>
      <c r="H210" s="30">
        <v>531730</v>
      </c>
      <c r="I210" s="30">
        <v>539737</v>
      </c>
      <c r="J210" s="30">
        <v>520798</v>
      </c>
      <c r="K210" s="30">
        <v>540200</v>
      </c>
      <c r="L210" s="30">
        <v>533282</v>
      </c>
      <c r="M210" s="30">
        <v>475482</v>
      </c>
      <c r="N210" s="30">
        <v>539783</v>
      </c>
      <c r="O210" s="30">
        <v>499786</v>
      </c>
      <c r="P210" s="30">
        <v>480018</v>
      </c>
      <c r="Q210" s="44">
        <f t="shared" si="7"/>
        <v>6012362</v>
      </c>
      <c r="R210" s="62">
        <f>SUM(Q210/'2015 pax'!Q206)-1</f>
        <v>1.322318199995709E-2</v>
      </c>
    </row>
    <row r="211" spans="1:20">
      <c r="A211" s="1" t="s">
        <v>16</v>
      </c>
      <c r="B211" s="1" t="s">
        <v>559</v>
      </c>
      <c r="C211" s="1" t="s">
        <v>27</v>
      </c>
      <c r="D211" s="44">
        <f>'2015 pax'!Q207</f>
        <v>42975102</v>
      </c>
      <c r="E211" s="30">
        <v>3445969</v>
      </c>
      <c r="F211" s="30">
        <v>3133966</v>
      </c>
      <c r="G211" s="30">
        <v>3560536</v>
      </c>
      <c r="H211" s="30">
        <v>3230108</v>
      </c>
      <c r="I211" s="30">
        <v>3543559</v>
      </c>
      <c r="J211" s="30">
        <v>3783813</v>
      </c>
      <c r="K211" s="30">
        <v>3896106</v>
      </c>
      <c r="L211" s="30">
        <v>3546645</v>
      </c>
      <c r="M211" s="30">
        <v>3160232</v>
      </c>
      <c r="N211" s="30">
        <v>3426317</v>
      </c>
      <c r="O211" s="30">
        <v>3287973</v>
      </c>
      <c r="P211" s="30">
        <v>3555267</v>
      </c>
      <c r="Q211" s="44">
        <f t="shared" si="7"/>
        <v>41570491</v>
      </c>
      <c r="R211" s="62">
        <f>SUM(Q211/'2015 pax'!Q207)-1</f>
        <v>-3.2684297061121526E-2</v>
      </c>
    </row>
    <row r="212" spans="1:20">
      <c r="A212" s="1" t="s">
        <v>16</v>
      </c>
      <c r="B212" s="7" t="s">
        <v>64</v>
      </c>
      <c r="C212" s="7" t="s">
        <v>65</v>
      </c>
      <c r="D212" s="44">
        <f>'2015 pax'!Q208</f>
        <v>12146313</v>
      </c>
      <c r="E212" s="30">
        <v>992353</v>
      </c>
      <c r="F212" s="30">
        <v>932315</v>
      </c>
      <c r="G212" s="30">
        <v>1097786</v>
      </c>
      <c r="H212" s="30">
        <v>1029186</v>
      </c>
      <c r="I212" s="30">
        <v>1091879</v>
      </c>
      <c r="J212" s="30">
        <v>1164507</v>
      </c>
      <c r="K212" s="30">
        <v>1162290</v>
      </c>
      <c r="L212" s="30">
        <v>1058492</v>
      </c>
      <c r="M212" s="30">
        <v>1013469</v>
      </c>
      <c r="N212" s="30">
        <v>1082939</v>
      </c>
      <c r="O212" s="30">
        <v>1132490</v>
      </c>
      <c r="P212" s="30">
        <v>1151271</v>
      </c>
      <c r="Q212" s="44">
        <f t="shared" si="7"/>
        <v>12908977</v>
      </c>
      <c r="R212" s="62">
        <f>SUM(Q212/'2015 pax'!Q208)-1</f>
        <v>6.2789753565547057E-2</v>
      </c>
    </row>
    <row r="213" spans="1:20">
      <c r="A213" s="1" t="s">
        <v>16</v>
      </c>
      <c r="B213" s="1" t="s">
        <v>351</v>
      </c>
      <c r="C213" s="1" t="s">
        <v>352</v>
      </c>
      <c r="D213" s="44">
        <f>'2015 pax'!Q209</f>
        <v>7923725</v>
      </c>
      <c r="E213" s="30">
        <v>596640</v>
      </c>
      <c r="F213" s="30">
        <v>613761</v>
      </c>
      <c r="G213" s="30">
        <v>754416</v>
      </c>
      <c r="H213" s="30">
        <v>725885</v>
      </c>
      <c r="I213" s="30">
        <v>753803</v>
      </c>
      <c r="J213" s="30">
        <v>808647</v>
      </c>
      <c r="K213" s="30">
        <v>762063</v>
      </c>
      <c r="L213" s="30">
        <v>666591</v>
      </c>
      <c r="M213" s="30">
        <v>680150</v>
      </c>
      <c r="N213" s="30">
        <v>766768</v>
      </c>
      <c r="O213" s="30">
        <v>690970</v>
      </c>
      <c r="P213" s="30">
        <v>687368</v>
      </c>
      <c r="Q213" s="44">
        <f t="shared" si="7"/>
        <v>8507062</v>
      </c>
      <c r="R213" s="62">
        <f>SUM(Q213/'2015 pax'!Q209)-1</f>
        <v>7.3619036501140656E-2</v>
      </c>
    </row>
    <row r="214" spans="1:20">
      <c r="A214" s="1" t="s">
        <v>16</v>
      </c>
      <c r="B214" s="1" t="s">
        <v>449</v>
      </c>
      <c r="C214" s="1" t="s">
        <v>450</v>
      </c>
      <c r="D214" s="44">
        <f>'2015 pax'!Q210</f>
        <v>995161</v>
      </c>
      <c r="E214" s="30">
        <v>69731</v>
      </c>
      <c r="F214" s="30">
        <v>70890</v>
      </c>
      <c r="G214" s="30">
        <v>79847</v>
      </c>
      <c r="H214" s="30">
        <v>79057</v>
      </c>
      <c r="I214" s="30">
        <v>92242</v>
      </c>
      <c r="J214" s="30">
        <v>89581</v>
      </c>
      <c r="K214" s="30">
        <v>90309</v>
      </c>
      <c r="L214" s="30">
        <v>83664</v>
      </c>
      <c r="M214" s="30">
        <v>81212</v>
      </c>
      <c r="N214" s="30">
        <v>88638</v>
      </c>
      <c r="O214" s="30">
        <v>82179</v>
      </c>
      <c r="P214" s="30">
        <v>78100</v>
      </c>
      <c r="Q214" s="44">
        <f t="shared" si="7"/>
        <v>985450</v>
      </c>
      <c r="R214" s="62">
        <f>SUM(Q214/'2015 pax'!Q210)-1</f>
        <v>-9.7582200267092301E-3</v>
      </c>
    </row>
    <row r="215" spans="1:20">
      <c r="A215" s="1" t="s">
        <v>16</v>
      </c>
      <c r="B215" s="1" t="s">
        <v>486</v>
      </c>
      <c r="C215" s="1" t="s">
        <v>487</v>
      </c>
      <c r="D215" s="44">
        <f>'2015 pax'!Q211</f>
        <v>5501669</v>
      </c>
      <c r="E215" s="30">
        <v>389213</v>
      </c>
      <c r="F215" s="30">
        <v>399881</v>
      </c>
      <c r="G215" s="30">
        <v>493254</v>
      </c>
      <c r="H215" s="30">
        <v>475889</v>
      </c>
      <c r="I215" s="30">
        <v>508475</v>
      </c>
      <c r="J215" s="30">
        <v>505589</v>
      </c>
      <c r="K215" s="30">
        <v>499184</v>
      </c>
      <c r="L215" s="30">
        <v>466464</v>
      </c>
      <c r="M215" s="30">
        <v>448414</v>
      </c>
      <c r="N215" s="30">
        <v>428715</v>
      </c>
      <c r="O215" s="30">
        <v>471260</v>
      </c>
      <c r="P215" s="30">
        <v>462926</v>
      </c>
      <c r="Q215" s="44">
        <v>5591886</v>
      </c>
      <c r="R215" s="62">
        <f>SUM(Q215/'2015 pax'!Q211)-1</f>
        <v>1.6398114826609911E-2</v>
      </c>
    </row>
    <row r="216" spans="1:20" s="42" customFormat="1">
      <c r="A216" s="1" t="s">
        <v>16</v>
      </c>
      <c r="B216" s="1" t="s">
        <v>646</v>
      </c>
      <c r="C216" s="1" t="s">
        <v>647</v>
      </c>
      <c r="D216" s="44">
        <v>244878</v>
      </c>
      <c r="E216" s="60">
        <v>20254</v>
      </c>
      <c r="F216" s="60">
        <v>22116</v>
      </c>
      <c r="G216" s="60">
        <v>24346</v>
      </c>
      <c r="H216" s="60">
        <v>26544</v>
      </c>
      <c r="I216" s="60">
        <v>29549</v>
      </c>
      <c r="J216" s="60">
        <v>29423</v>
      </c>
      <c r="K216" s="60">
        <v>28481</v>
      </c>
      <c r="L216" s="60">
        <v>30471</v>
      </c>
      <c r="M216" s="60">
        <v>27821</v>
      </c>
      <c r="N216" s="60">
        <v>29105</v>
      </c>
      <c r="O216" s="60">
        <v>26000</v>
      </c>
      <c r="P216" s="60">
        <v>21427</v>
      </c>
      <c r="Q216" s="44">
        <v>315537</v>
      </c>
      <c r="R216" s="62">
        <f>SUM(Q216/D216)-1</f>
        <v>0.28854776664298143</v>
      </c>
    </row>
    <row r="217" spans="1:20" ht="15.75">
      <c r="A217" s="1" t="s">
        <v>16</v>
      </c>
      <c r="B217" s="1" t="s">
        <v>418</v>
      </c>
      <c r="C217" s="1" t="s">
        <v>506</v>
      </c>
      <c r="D217" s="44">
        <f>'2015 pax'!Q212</f>
        <v>10467605</v>
      </c>
      <c r="E217" s="30">
        <v>768930</v>
      </c>
      <c r="F217" s="30">
        <v>733718</v>
      </c>
      <c r="G217" s="30">
        <v>904643</v>
      </c>
      <c r="H217" s="30">
        <v>879142</v>
      </c>
      <c r="I217" s="30">
        <v>999418</v>
      </c>
      <c r="J217" s="30">
        <v>1028759</v>
      </c>
      <c r="K217" s="30">
        <v>1049360</v>
      </c>
      <c r="L217" s="30">
        <v>945618</v>
      </c>
      <c r="M217" s="30">
        <v>933242</v>
      </c>
      <c r="N217" s="30">
        <v>969599</v>
      </c>
      <c r="O217" s="30">
        <v>926293</v>
      </c>
      <c r="P217" s="30">
        <v>897445</v>
      </c>
      <c r="Q217" s="44">
        <f t="shared" si="7"/>
        <v>11036167</v>
      </c>
      <c r="R217" s="62">
        <f>SUM(Q217/'2015 pax'!Q212)-1</f>
        <v>5.4316340748432834E-2</v>
      </c>
    </row>
    <row r="218" spans="1:20">
      <c r="A218" s="1" t="s">
        <v>16</v>
      </c>
      <c r="B218" s="1" t="s">
        <v>445</v>
      </c>
      <c r="C218" s="1" t="s">
        <v>446</v>
      </c>
      <c r="D218" s="44">
        <f>'2015 pax'!Q213</f>
        <v>1765735</v>
      </c>
      <c r="E218" s="30">
        <v>119081</v>
      </c>
      <c r="F218" s="30">
        <v>114583</v>
      </c>
      <c r="G218" s="30">
        <v>135891</v>
      </c>
      <c r="H218" s="30">
        <v>135755</v>
      </c>
      <c r="I218" s="30">
        <v>163598</v>
      </c>
      <c r="J218" s="30">
        <v>172828</v>
      </c>
      <c r="K218" s="30">
        <v>173682</v>
      </c>
      <c r="L218" s="30">
        <v>159806</v>
      </c>
      <c r="M218" s="30">
        <v>159134</v>
      </c>
      <c r="N218" s="30">
        <v>185153</v>
      </c>
      <c r="O218" s="30">
        <v>159115</v>
      </c>
      <c r="P218" s="30">
        <v>149603</v>
      </c>
      <c r="Q218" s="44">
        <f t="shared" si="7"/>
        <v>1828229</v>
      </c>
      <c r="R218" s="62">
        <f>SUM(Q218/'2015 pax'!Q213)-1</f>
        <v>3.5392626866432408E-2</v>
      </c>
    </row>
    <row r="219" spans="1:20">
      <c r="A219" s="1" t="s">
        <v>16</v>
      </c>
      <c r="B219" s="1" t="s">
        <v>28</v>
      </c>
      <c r="C219" s="1" t="s">
        <v>29</v>
      </c>
      <c r="D219" s="44">
        <f>'2015 pax'!Q214</f>
        <v>45389074</v>
      </c>
      <c r="E219" s="30">
        <v>3551697</v>
      </c>
      <c r="F219" s="30">
        <v>3443923</v>
      </c>
      <c r="G219" s="30">
        <v>4074257</v>
      </c>
      <c r="H219" s="30">
        <v>3912116</v>
      </c>
      <c r="I219" s="30">
        <v>4149513</v>
      </c>
      <c r="J219" s="30">
        <v>4133764</v>
      </c>
      <c r="K219" s="30">
        <v>4168391</v>
      </c>
      <c r="L219" s="30">
        <v>4098084</v>
      </c>
      <c r="M219" s="30">
        <v>4053362</v>
      </c>
      <c r="N219" s="30">
        <v>4277985</v>
      </c>
      <c r="O219" s="30">
        <v>3865110</v>
      </c>
      <c r="P219" s="30">
        <v>3707438</v>
      </c>
      <c r="Q219" s="44">
        <f t="shared" si="7"/>
        <v>47435640</v>
      </c>
      <c r="R219" s="62">
        <f>SUM(Q219/'2015 pax'!Q214)-1</f>
        <v>4.5089397505664097E-2</v>
      </c>
    </row>
    <row r="220" spans="1:20">
      <c r="A220" s="1" t="s">
        <v>16</v>
      </c>
      <c r="B220" s="1" t="s">
        <v>429</v>
      </c>
      <c r="C220" s="1" t="s">
        <v>430</v>
      </c>
      <c r="D220" s="44">
        <f>'2015 pax'!Q215</f>
        <v>1987155</v>
      </c>
      <c r="E220" s="30">
        <v>136557</v>
      </c>
      <c r="F220" s="30">
        <v>135224</v>
      </c>
      <c r="G220" s="30">
        <v>159936</v>
      </c>
      <c r="H220" s="30">
        <v>159545</v>
      </c>
      <c r="I220" s="30">
        <v>185921</v>
      </c>
      <c r="J220" s="30">
        <v>193742</v>
      </c>
      <c r="K220" s="30">
        <v>183634</v>
      </c>
      <c r="L220" s="30">
        <v>166095</v>
      </c>
      <c r="M220" s="30">
        <v>164948</v>
      </c>
      <c r="N220" s="30">
        <v>178812</v>
      </c>
      <c r="O220" s="30">
        <v>165963</v>
      </c>
      <c r="P220" s="30">
        <v>161127</v>
      </c>
      <c r="Q220" s="44">
        <f t="shared" si="7"/>
        <v>1991504</v>
      </c>
      <c r="R220" s="62">
        <f>SUM(Q220/'2015 pax'!Q215)-1</f>
        <v>2.1885560009158311E-3</v>
      </c>
      <c r="S220" s="48"/>
      <c r="T220" s="23"/>
    </row>
    <row r="221" spans="1:20">
      <c r="A221" s="1" t="s">
        <v>16</v>
      </c>
      <c r="B221" s="1" t="s">
        <v>427</v>
      </c>
      <c r="C221" s="1" t="s">
        <v>428</v>
      </c>
      <c r="D221" s="44">
        <f>'2015 pax'!Q216</f>
        <v>2523577</v>
      </c>
      <c r="E221" s="30">
        <v>190216</v>
      </c>
      <c r="F221" s="30">
        <v>188374</v>
      </c>
      <c r="G221" s="30">
        <v>206997</v>
      </c>
      <c r="H221" s="30">
        <v>201442</v>
      </c>
      <c r="I221" s="30">
        <v>224192</v>
      </c>
      <c r="J221" s="30">
        <v>250421</v>
      </c>
      <c r="K221" s="30">
        <v>264162</v>
      </c>
      <c r="L221" s="30">
        <v>271509</v>
      </c>
      <c r="M221" s="30">
        <v>247231</v>
      </c>
      <c r="N221" s="30">
        <v>264666</v>
      </c>
      <c r="O221" s="30">
        <v>259805</v>
      </c>
      <c r="P221" s="30">
        <v>277268</v>
      </c>
      <c r="Q221" s="44">
        <f t="shared" si="7"/>
        <v>2846283</v>
      </c>
      <c r="R221" s="62">
        <f>SUM(Q221/'2015 pax'!Q216)-1</f>
        <v>0.1278764230296916</v>
      </c>
      <c r="T221" s="23"/>
    </row>
    <row r="222" spans="1:20">
      <c r="A222" s="1" t="s">
        <v>16</v>
      </c>
      <c r="B222" s="1" t="s">
        <v>20</v>
      </c>
      <c r="C222" s="1" t="s">
        <v>21</v>
      </c>
      <c r="D222" s="44">
        <f>'2015 pax'!Q217</f>
        <v>74681560</v>
      </c>
      <c r="E222" s="30">
        <v>6051758</v>
      </c>
      <c r="F222" s="30">
        <v>5458393</v>
      </c>
      <c r="G222" s="30">
        <v>6476274</v>
      </c>
      <c r="H222" s="30">
        <v>6305765</v>
      </c>
      <c r="I222" s="30">
        <v>6783981</v>
      </c>
      <c r="J222" s="30">
        <v>7489678</v>
      </c>
      <c r="K222" s="30">
        <v>7889395</v>
      </c>
      <c r="L222" s="30">
        <v>7597854</v>
      </c>
      <c r="M222" s="30">
        <v>6603107</v>
      </c>
      <c r="N222" s="30">
        <v>6865242</v>
      </c>
      <c r="O222" s="30">
        <v>6494118</v>
      </c>
      <c r="P222" s="30">
        <v>6872261</v>
      </c>
      <c r="Q222" s="44">
        <f t="shared" si="7"/>
        <v>80887826</v>
      </c>
      <c r="R222" s="62">
        <f>SUM(Q222/'2015 pax'!Q217)-1</f>
        <v>8.3103057836499294E-2</v>
      </c>
    </row>
    <row r="223" spans="1:20">
      <c r="A223" s="34" t="s">
        <v>16</v>
      </c>
      <c r="B223" s="34" t="s">
        <v>507</v>
      </c>
      <c r="C223" s="34" t="s">
        <v>402</v>
      </c>
      <c r="D223" s="44">
        <f>'2015 pax'!Q218</f>
        <v>4209311</v>
      </c>
      <c r="E223" s="30">
        <v>312413</v>
      </c>
      <c r="F223" s="30">
        <v>304270</v>
      </c>
      <c r="G223" s="30">
        <v>357590</v>
      </c>
      <c r="H223" s="30">
        <v>354384</v>
      </c>
      <c r="I223" s="30">
        <v>364063</v>
      </c>
      <c r="J223" s="30">
        <v>356952</v>
      </c>
      <c r="K223" s="30">
        <v>350969</v>
      </c>
      <c r="L223" s="30">
        <v>357854</v>
      </c>
      <c r="M223" s="30">
        <v>349434</v>
      </c>
      <c r="N223" s="30">
        <v>391996</v>
      </c>
      <c r="O223" s="30">
        <v>377937</v>
      </c>
      <c r="P223" s="30">
        <v>374041</v>
      </c>
      <c r="Q223" s="44">
        <f t="shared" si="7"/>
        <v>4251903</v>
      </c>
      <c r="R223" s="62">
        <f>SUM(Q223/'2015 pax'!Q218)-1</f>
        <v>1.0118520584485147E-2</v>
      </c>
    </row>
    <row r="224" spans="1:20">
      <c r="A224" s="1" t="s">
        <v>16</v>
      </c>
      <c r="B224" s="1" t="s">
        <v>500</v>
      </c>
      <c r="C224" s="1" t="s">
        <v>501</v>
      </c>
      <c r="D224" s="44">
        <f>'2015 pax'!Q219</f>
        <v>3359472</v>
      </c>
      <c r="E224" s="30">
        <v>236530</v>
      </c>
      <c r="F224" s="30">
        <v>229575</v>
      </c>
      <c r="G224" s="30">
        <v>272613</v>
      </c>
      <c r="H224" s="30">
        <v>280884</v>
      </c>
      <c r="I224" s="30">
        <v>312195</v>
      </c>
      <c r="J224" s="30">
        <v>313461</v>
      </c>
      <c r="K224" s="30">
        <v>302235</v>
      </c>
      <c r="L224" s="30">
        <v>262197</v>
      </c>
      <c r="M224" s="30">
        <v>281223</v>
      </c>
      <c r="N224" s="30">
        <v>317206</v>
      </c>
      <c r="O224" s="30">
        <v>278469</v>
      </c>
      <c r="P224" s="30">
        <v>259957</v>
      </c>
      <c r="Q224" s="44">
        <f t="shared" si="7"/>
        <v>3346545</v>
      </c>
      <c r="R224" s="62">
        <f>SUM(Q224/'2015 pax'!Q219)-1</f>
        <v>-3.8479261026732603E-3</v>
      </c>
    </row>
    <row r="225" spans="1:20" s="42" customFormat="1">
      <c r="A225" s="1" t="s">
        <v>16</v>
      </c>
      <c r="B225" s="1" t="s">
        <v>572</v>
      </c>
      <c r="C225" s="1" t="s">
        <v>573</v>
      </c>
      <c r="D225" s="44">
        <v>2073071</v>
      </c>
      <c r="E225" s="30">
        <v>135587</v>
      </c>
      <c r="F225" s="30">
        <v>147649</v>
      </c>
      <c r="G225" s="30">
        <v>165286</v>
      </c>
      <c r="H225" s="30">
        <v>185795</v>
      </c>
      <c r="I225" s="30">
        <v>183771</v>
      </c>
      <c r="J225" s="30">
        <v>170250</v>
      </c>
      <c r="K225" s="30">
        <v>174674</v>
      </c>
      <c r="L225" s="30">
        <v>196183</v>
      </c>
      <c r="M225" s="30">
        <v>170360</v>
      </c>
      <c r="N225" s="30">
        <v>185968</v>
      </c>
      <c r="O225" s="30">
        <v>161458</v>
      </c>
      <c r="P225" s="30">
        <v>144298</v>
      </c>
      <c r="Q225" s="44">
        <f t="shared" si="7"/>
        <v>2021279</v>
      </c>
      <c r="R225" s="62">
        <f>SUM(Q225/'2016 pax'!D225)-1</f>
        <v>-2.4983225369512141E-2</v>
      </c>
    </row>
    <row r="226" spans="1:20">
      <c r="A226" s="1" t="s">
        <v>16</v>
      </c>
      <c r="B226" s="1" t="s">
        <v>522</v>
      </c>
      <c r="C226" s="1" t="s">
        <v>523</v>
      </c>
      <c r="D226" s="44">
        <f>'2015 pax'!Q220</f>
        <v>3757060</v>
      </c>
      <c r="E226" s="30">
        <v>285260</v>
      </c>
      <c r="F226" s="30">
        <v>263260</v>
      </c>
      <c r="G226" s="30">
        <v>332399</v>
      </c>
      <c r="H226" s="30">
        <v>325752</v>
      </c>
      <c r="I226" s="30">
        <v>367111</v>
      </c>
      <c r="J226" s="30">
        <v>375126</v>
      </c>
      <c r="K226" s="30">
        <v>358599</v>
      </c>
      <c r="L226" s="30">
        <v>320332</v>
      </c>
      <c r="M226" s="30">
        <v>340386</v>
      </c>
      <c r="N226" s="30">
        <v>369425</v>
      </c>
      <c r="O226" s="30">
        <v>342821</v>
      </c>
      <c r="P226" s="30">
        <v>320546</v>
      </c>
      <c r="Q226" s="44">
        <f t="shared" si="7"/>
        <v>4001017</v>
      </c>
      <c r="R226" s="62">
        <f>SUM(Q226/'2015 pax'!Q220)-1</f>
        <v>6.4932952894018126E-2</v>
      </c>
    </row>
    <row r="227" spans="1:20">
      <c r="A227" s="1" t="s">
        <v>16</v>
      </c>
      <c r="B227" s="1" t="s">
        <v>36</v>
      </c>
      <c r="C227" s="1" t="s">
        <v>37</v>
      </c>
      <c r="D227" s="44">
        <f>'2015 pax'!Q221</f>
        <v>44350250</v>
      </c>
      <c r="E227" s="30">
        <v>3966784</v>
      </c>
      <c r="F227" s="30">
        <v>3518798</v>
      </c>
      <c r="G227" s="30">
        <v>4007903</v>
      </c>
      <c r="H227" s="30">
        <v>3670090</v>
      </c>
      <c r="I227" s="30">
        <v>3746216</v>
      </c>
      <c r="J227" s="30">
        <v>3713892</v>
      </c>
      <c r="K227" s="30">
        <v>4098996</v>
      </c>
      <c r="L227" s="30">
        <v>3843522</v>
      </c>
      <c r="M227" s="30">
        <v>3167150</v>
      </c>
      <c r="N227" s="30">
        <v>3302088</v>
      </c>
      <c r="O227" s="30">
        <v>3519283</v>
      </c>
      <c r="P227" s="30">
        <v>4029881</v>
      </c>
      <c r="Q227" s="44">
        <f t="shared" si="7"/>
        <v>44584603</v>
      </c>
      <c r="R227" s="62">
        <f>SUM(Q227/'2015 pax'!Q221)-1</f>
        <v>5.2841415775559675E-3</v>
      </c>
    </row>
    <row r="228" spans="1:20">
      <c r="A228" s="1" t="s">
        <v>16</v>
      </c>
      <c r="B228" s="1" t="s">
        <v>346</v>
      </c>
      <c r="C228" s="1" t="s">
        <v>347</v>
      </c>
      <c r="D228" s="44">
        <f>'2015 pax'!Q222</f>
        <v>6549353</v>
      </c>
      <c r="E228" s="30">
        <v>493180</v>
      </c>
      <c r="F228" s="30">
        <v>499518</v>
      </c>
      <c r="G228" s="30">
        <v>651546</v>
      </c>
      <c r="H228" s="30">
        <v>558643</v>
      </c>
      <c r="I228" s="30">
        <v>570643</v>
      </c>
      <c r="J228" s="30">
        <v>611001</v>
      </c>
      <c r="K228" s="30">
        <v>614755</v>
      </c>
      <c r="L228" s="30">
        <v>586916</v>
      </c>
      <c r="M228" s="30">
        <v>540629</v>
      </c>
      <c r="N228" s="30">
        <v>580416</v>
      </c>
      <c r="O228" s="30">
        <v>537433</v>
      </c>
      <c r="P228" s="30">
        <v>512677</v>
      </c>
      <c r="Q228" s="44">
        <f t="shared" si="7"/>
        <v>6757357</v>
      </c>
      <c r="R228" s="62">
        <f>SUM(Q228/'2015 pax'!Q222)-1</f>
        <v>3.1759473034969954E-2</v>
      </c>
    </row>
    <row r="229" spans="1:20" ht="15.75">
      <c r="A229" s="1" t="s">
        <v>16</v>
      </c>
      <c r="B229" s="1" t="s">
        <v>387</v>
      </c>
      <c r="C229" s="1" t="s">
        <v>41</v>
      </c>
      <c r="D229" s="44">
        <f>'2015 pax'!Q223</f>
        <v>36418385</v>
      </c>
      <c r="E229" s="30">
        <v>2700336</v>
      </c>
      <c r="F229" s="30">
        <v>2651118</v>
      </c>
      <c r="G229" s="30">
        <v>3316223</v>
      </c>
      <c r="H229" s="30">
        <v>3002942</v>
      </c>
      <c r="I229" s="30">
        <v>3164249</v>
      </c>
      <c r="J229" s="30">
        <v>3456864</v>
      </c>
      <c r="K229" s="30">
        <v>3646755</v>
      </c>
      <c r="L229" s="30">
        <v>3545556</v>
      </c>
      <c r="M229" s="30">
        <v>3078948</v>
      </c>
      <c r="N229" s="30">
        <v>3197811</v>
      </c>
      <c r="O229" s="30">
        <v>2870348</v>
      </c>
      <c r="P229" s="30">
        <v>2886420</v>
      </c>
      <c r="Q229" s="44">
        <f t="shared" si="7"/>
        <v>37517570</v>
      </c>
      <c r="R229" s="62">
        <f>SUM(Q229/'2015 pax'!Q223)-1</f>
        <v>3.0182145638802949E-2</v>
      </c>
    </row>
    <row r="230" spans="1:20">
      <c r="A230" s="1" t="s">
        <v>16</v>
      </c>
      <c r="B230" s="1" t="s">
        <v>515</v>
      </c>
      <c r="C230" s="1" t="s">
        <v>516</v>
      </c>
      <c r="D230" s="44">
        <f>'2015 pax'!Q224</f>
        <v>1830065</v>
      </c>
      <c r="E230" s="30">
        <v>65078</v>
      </c>
      <c r="F230" s="30">
        <v>82987</v>
      </c>
      <c r="G230" s="30">
        <v>139473</v>
      </c>
      <c r="H230" s="30">
        <v>170261</v>
      </c>
      <c r="I230" s="30">
        <v>207838</v>
      </c>
      <c r="J230" s="30">
        <v>232873</v>
      </c>
      <c r="K230" s="30">
        <v>266943</v>
      </c>
      <c r="L230" s="30">
        <v>247307</v>
      </c>
      <c r="M230" s="30">
        <v>195570</v>
      </c>
      <c r="N230" s="30">
        <v>143242</v>
      </c>
      <c r="O230" s="30">
        <v>106608</v>
      </c>
      <c r="P230" s="30">
        <v>84747</v>
      </c>
      <c r="Q230" s="44">
        <f t="shared" si="7"/>
        <v>1942927</v>
      </c>
      <c r="R230" s="62">
        <f>SUM(Q230/'2015 pax'!Q224)-1</f>
        <v>6.1671033542524345E-2</v>
      </c>
    </row>
    <row r="231" spans="1:20">
      <c r="A231" s="1" t="s">
        <v>16</v>
      </c>
      <c r="B231" s="1" t="s">
        <v>359</v>
      </c>
      <c r="C231" s="1" t="s">
        <v>360</v>
      </c>
      <c r="D231" s="44">
        <f>'2015 pax'!Q225</f>
        <v>11332381</v>
      </c>
      <c r="E231" s="30">
        <v>833382</v>
      </c>
      <c r="F231" s="30">
        <v>836046</v>
      </c>
      <c r="G231" s="30">
        <v>1047230</v>
      </c>
      <c r="H231" s="30">
        <v>1058155</v>
      </c>
      <c r="I231" s="30">
        <v>1172109</v>
      </c>
      <c r="J231" s="30">
        <v>1206083</v>
      </c>
      <c r="K231" s="30">
        <v>1184163</v>
      </c>
      <c r="L231" s="30">
        <v>1116174</v>
      </c>
      <c r="M231" s="30">
        <v>1128864</v>
      </c>
      <c r="N231" s="30">
        <v>1217173</v>
      </c>
      <c r="O231" s="30">
        <v>1122544</v>
      </c>
      <c r="P231" s="30">
        <v>1054059</v>
      </c>
      <c r="Q231" s="44">
        <f t="shared" si="7"/>
        <v>12975982</v>
      </c>
      <c r="R231" s="62">
        <f>SUM(Q231/'2015 pax'!Q225)-1</f>
        <v>0.145035804920431</v>
      </c>
      <c r="T231" s="48"/>
    </row>
    <row r="232" spans="1:20">
      <c r="A232" s="1" t="s">
        <v>16</v>
      </c>
      <c r="B232" s="1" t="s">
        <v>405</v>
      </c>
      <c r="C232" s="1" t="s">
        <v>406</v>
      </c>
      <c r="D232" s="44">
        <f>'2015 pax'!Q226</f>
        <v>10671875</v>
      </c>
      <c r="E232" s="30">
        <v>805213</v>
      </c>
      <c r="F232" s="30">
        <v>874546</v>
      </c>
      <c r="G232" s="30">
        <v>985401</v>
      </c>
      <c r="H232" s="30">
        <v>987299</v>
      </c>
      <c r="I232" s="30">
        <v>1058621</v>
      </c>
      <c r="J232" s="30">
        <v>950639</v>
      </c>
      <c r="K232" s="30">
        <v>896900</v>
      </c>
      <c r="L232" s="30">
        <v>790818</v>
      </c>
      <c r="M232" s="30">
        <v>873375</v>
      </c>
      <c r="N232" s="30">
        <v>1016876</v>
      </c>
      <c r="O232" s="30">
        <v>983270</v>
      </c>
      <c r="P232" s="30">
        <v>916463</v>
      </c>
      <c r="Q232" s="44">
        <f t="shared" si="7"/>
        <v>11139421</v>
      </c>
      <c r="R232" s="62">
        <f>SUM(Q232/'2015 pax'!Q226)-1</f>
        <v>4.3811045387994074E-2</v>
      </c>
    </row>
    <row r="233" spans="1:20" ht="15.75">
      <c r="A233" s="1" t="s">
        <v>16</v>
      </c>
      <c r="B233" s="1" t="s">
        <v>388</v>
      </c>
      <c r="C233" s="1" t="s">
        <v>25</v>
      </c>
      <c r="D233" s="44">
        <f>'2015 pax'!Q227</f>
        <v>56186667</v>
      </c>
      <c r="E233" s="30">
        <v>4229694</v>
      </c>
      <c r="F233" s="30">
        <v>3875364</v>
      </c>
      <c r="G233" s="30">
        <v>4745503</v>
      </c>
      <c r="H233" s="30">
        <v>4730077</v>
      </c>
      <c r="I233" s="30">
        <v>5113902</v>
      </c>
      <c r="J233" s="30">
        <v>5318256</v>
      </c>
      <c r="K233" s="30">
        <v>5668514</v>
      </c>
      <c r="L233" s="30">
        <v>5820281</v>
      </c>
      <c r="M233" s="30">
        <v>5131470</v>
      </c>
      <c r="N233" s="30">
        <v>4915779</v>
      </c>
      <c r="O233" s="30">
        <v>4469336</v>
      </c>
      <c r="P233" s="30">
        <v>4810935</v>
      </c>
      <c r="Q233" s="44">
        <f t="shared" si="7"/>
        <v>58829111</v>
      </c>
      <c r="R233" s="62">
        <f>SUM(Q233/'2015 pax'!Q227)-1</f>
        <v>4.7029733940260332E-2</v>
      </c>
    </row>
    <row r="234" spans="1:20" ht="15.75">
      <c r="A234" s="1" t="s">
        <v>16</v>
      </c>
      <c r="B234" s="1" t="s">
        <v>389</v>
      </c>
      <c r="C234" s="1" t="s">
        <v>49</v>
      </c>
      <c r="D234" s="44">
        <f>'2015 pax'!Q228</f>
        <v>28165919</v>
      </c>
      <c r="E234" s="30">
        <v>2019637</v>
      </c>
      <c r="F234" s="30">
        <v>1982412</v>
      </c>
      <c r="G234" s="30">
        <v>2517652</v>
      </c>
      <c r="H234" s="30">
        <v>2453899</v>
      </c>
      <c r="I234" s="30">
        <v>2656321</v>
      </c>
      <c r="J234" s="30">
        <v>2699395</v>
      </c>
      <c r="K234" s="30">
        <v>2606427</v>
      </c>
      <c r="L234" s="30">
        <v>2679296</v>
      </c>
      <c r="M234" s="30">
        <v>2726885</v>
      </c>
      <c r="N234" s="30">
        <v>2548512</v>
      </c>
      <c r="O234" s="30">
        <v>2451972</v>
      </c>
      <c r="P234" s="30">
        <v>2438394</v>
      </c>
      <c r="Q234" s="44">
        <f t="shared" si="7"/>
        <v>29780802</v>
      </c>
      <c r="R234" s="62">
        <f>SUM(Q234/'2015 pax'!Q228)-1</f>
        <v>5.7334646172915615E-2</v>
      </c>
    </row>
    <row r="235" spans="1:20" ht="15.75">
      <c r="A235" s="1" t="s">
        <v>16</v>
      </c>
      <c r="B235" s="1" t="s">
        <v>390</v>
      </c>
      <c r="C235" s="1" t="s">
        <v>40</v>
      </c>
      <c r="D235" s="44">
        <f>'2015 pax'!Q229</f>
        <v>36971723</v>
      </c>
      <c r="E235" s="30">
        <v>2694855</v>
      </c>
      <c r="F235" s="30">
        <v>2755861</v>
      </c>
      <c r="G235" s="30">
        <v>3338378</v>
      </c>
      <c r="H235" s="30">
        <v>3357881</v>
      </c>
      <c r="I235" s="30">
        <v>3473940</v>
      </c>
      <c r="J235" s="30">
        <v>3560431</v>
      </c>
      <c r="K235" s="30">
        <v>3720302</v>
      </c>
      <c r="L235" s="30">
        <v>3787577</v>
      </c>
      <c r="M235" s="30">
        <v>3312041</v>
      </c>
      <c r="N235" s="30">
        <v>3368588</v>
      </c>
      <c r="O235" s="30">
        <v>3331547</v>
      </c>
      <c r="P235" s="30">
        <v>3528428</v>
      </c>
      <c r="Q235" s="44">
        <f t="shared" si="7"/>
        <v>40229829</v>
      </c>
      <c r="R235" s="62">
        <f>SUM(Q235/'2015 pax'!Q229)-1</f>
        <v>8.8124267294764635E-2</v>
      </c>
    </row>
    <row r="236" spans="1:20">
      <c r="A236" s="1" t="s">
        <v>16</v>
      </c>
      <c r="B236" s="1" t="s">
        <v>419</v>
      </c>
      <c r="C236" s="1" t="s">
        <v>420</v>
      </c>
      <c r="D236" s="44">
        <f>'2015 pax'!Q230</f>
        <v>3054407</v>
      </c>
      <c r="E236" s="30">
        <v>212772</v>
      </c>
      <c r="F236" s="30">
        <v>198064</v>
      </c>
      <c r="G236" s="30">
        <v>244224</v>
      </c>
      <c r="H236" s="30">
        <v>263284</v>
      </c>
      <c r="I236" s="30">
        <v>302116</v>
      </c>
      <c r="J236" s="30">
        <v>302963</v>
      </c>
      <c r="K236" s="30">
        <v>312158</v>
      </c>
      <c r="L236" s="30">
        <v>302549</v>
      </c>
      <c r="M236" s="30">
        <v>271366</v>
      </c>
      <c r="N236" s="30">
        <v>272053</v>
      </c>
      <c r="O236" s="30">
        <v>266639</v>
      </c>
      <c r="P236" s="30">
        <v>260997</v>
      </c>
      <c r="Q236" s="44">
        <f t="shared" si="7"/>
        <v>3209185</v>
      </c>
      <c r="R236" s="62">
        <f>SUM(Q236/'2015 pax'!Q230)-1</f>
        <v>5.0673665952179814E-2</v>
      </c>
    </row>
    <row r="237" spans="1:20">
      <c r="A237" s="1" t="s">
        <v>16</v>
      </c>
      <c r="B237" s="1" t="s">
        <v>357</v>
      </c>
      <c r="C237" s="1" t="s">
        <v>358</v>
      </c>
      <c r="D237" s="44">
        <f>'2015 pax'!Q231</f>
        <v>11205063</v>
      </c>
      <c r="E237" s="30">
        <v>843073</v>
      </c>
      <c r="F237" s="30">
        <v>805109</v>
      </c>
      <c r="G237" s="30">
        <v>962258</v>
      </c>
      <c r="H237" s="30">
        <v>941248</v>
      </c>
      <c r="I237" s="30">
        <v>1000752</v>
      </c>
      <c r="J237" s="30">
        <v>1113508</v>
      </c>
      <c r="K237" s="30">
        <v>1132191</v>
      </c>
      <c r="L237" s="30">
        <v>1110385</v>
      </c>
      <c r="M237" s="30">
        <v>1017790</v>
      </c>
      <c r="N237" s="30">
        <v>1076759</v>
      </c>
      <c r="O237" s="30">
        <v>1037378</v>
      </c>
      <c r="P237" s="30">
        <v>1030516</v>
      </c>
      <c r="Q237" s="44">
        <f t="shared" si="7"/>
        <v>12070967</v>
      </c>
      <c r="R237" s="62">
        <f>SUM(Q237/'2015 pax'!Q231)-1</f>
        <v>7.7277923381599889E-2</v>
      </c>
    </row>
    <row r="238" spans="1:20">
      <c r="A238" s="1" t="s">
        <v>16</v>
      </c>
      <c r="B238" s="1" t="s">
        <v>453</v>
      </c>
      <c r="C238" s="1" t="s">
        <v>454</v>
      </c>
      <c r="D238" s="44">
        <f>'2015 pax'!Q232</f>
        <v>3720455</v>
      </c>
      <c r="E238" s="30">
        <v>262420</v>
      </c>
      <c r="F238" s="30">
        <v>250038</v>
      </c>
      <c r="G238" s="30">
        <v>290875</v>
      </c>
      <c r="H238" s="30">
        <v>289487</v>
      </c>
      <c r="I238" s="30">
        <v>343261</v>
      </c>
      <c r="J238" s="30">
        <v>352254</v>
      </c>
      <c r="K238" s="30">
        <v>347341</v>
      </c>
      <c r="L238" s="30">
        <v>314174</v>
      </c>
      <c r="M238" s="30">
        <v>316903</v>
      </c>
      <c r="N238" s="30">
        <v>333193</v>
      </c>
      <c r="O238" s="30">
        <v>309603</v>
      </c>
      <c r="P238" s="30">
        <v>305825</v>
      </c>
      <c r="Q238" s="44">
        <f t="shared" si="7"/>
        <v>3715374</v>
      </c>
      <c r="R238" s="62">
        <f>SUM(Q238/'2015 pax'!Q232)-1</f>
        <v>-1.3656931746250933E-3</v>
      </c>
    </row>
    <row r="239" spans="1:20">
      <c r="A239" s="1" t="s">
        <v>16</v>
      </c>
      <c r="B239" s="1" t="s">
        <v>412</v>
      </c>
      <c r="C239" s="1" t="s">
        <v>413</v>
      </c>
      <c r="D239" s="44">
        <f>'2015 pax'!Q233</f>
        <v>4169467</v>
      </c>
      <c r="E239" s="30">
        <v>306265</v>
      </c>
      <c r="F239" s="30">
        <v>301994</v>
      </c>
      <c r="G239" s="30">
        <v>371282</v>
      </c>
      <c r="H239" s="30">
        <v>338524</v>
      </c>
      <c r="I239" s="30">
        <v>387157</v>
      </c>
      <c r="J239" s="30">
        <v>424104</v>
      </c>
      <c r="K239" s="30">
        <v>400059</v>
      </c>
      <c r="L239" s="30">
        <v>360045</v>
      </c>
      <c r="M239" s="30">
        <v>366228</v>
      </c>
      <c r="N239" s="30">
        <v>385361</v>
      </c>
      <c r="O239" s="30">
        <v>359274</v>
      </c>
      <c r="P239" s="30">
        <v>349193</v>
      </c>
      <c r="Q239" s="44">
        <f t="shared" si="7"/>
        <v>4349486</v>
      </c>
      <c r="R239" s="62">
        <f>SUM(Q239/'2015 pax'!Q233)-1</f>
        <v>4.3175542581342041E-2</v>
      </c>
    </row>
    <row r="240" spans="1:20">
      <c r="A240" s="1" t="s">
        <v>16</v>
      </c>
      <c r="B240" s="1" t="s">
        <v>38</v>
      </c>
      <c r="C240" s="1" t="s">
        <v>39</v>
      </c>
      <c r="D240" s="44">
        <f>'2015 pax'!Q234</f>
        <v>38727777</v>
      </c>
      <c r="E240" s="30">
        <v>3482853</v>
      </c>
      <c r="F240" s="30">
        <v>3322195</v>
      </c>
      <c r="G240" s="30">
        <v>3959782</v>
      </c>
      <c r="H240" s="30">
        <v>3637241</v>
      </c>
      <c r="I240" s="30">
        <v>3553926</v>
      </c>
      <c r="J240" s="30">
        <v>3508291</v>
      </c>
      <c r="K240" s="30">
        <v>3774048</v>
      </c>
      <c r="L240" s="30">
        <v>3449103</v>
      </c>
      <c r="M240" s="30">
        <v>2939518</v>
      </c>
      <c r="N240" s="30">
        <v>3181115</v>
      </c>
      <c r="O240" s="30">
        <v>3435433</v>
      </c>
      <c r="P240" s="30">
        <v>3680050</v>
      </c>
      <c r="Q240" s="44">
        <f t="shared" si="7"/>
        <v>41923555</v>
      </c>
      <c r="R240" s="62">
        <f>SUM(Q240/'2015 pax'!Q234)-1</f>
        <v>8.2519014711327277E-2</v>
      </c>
    </row>
    <row r="241" spans="1:20">
      <c r="A241" s="1" t="s">
        <v>16</v>
      </c>
      <c r="B241" s="1" t="s">
        <v>441</v>
      </c>
      <c r="C241" s="1" t="s">
        <v>442</v>
      </c>
      <c r="D241" s="44">
        <f>'2015 pax'!Q235</f>
        <v>2480122</v>
      </c>
      <c r="E241" s="30">
        <v>185837</v>
      </c>
      <c r="F241" s="30">
        <v>200949</v>
      </c>
      <c r="G241" s="30">
        <v>264861</v>
      </c>
      <c r="H241" s="30">
        <v>223918</v>
      </c>
      <c r="I241" s="30">
        <v>233516</v>
      </c>
      <c r="J241" s="30">
        <v>276484</v>
      </c>
      <c r="K241" s="30">
        <v>305686</v>
      </c>
      <c r="L241" s="30">
        <v>224384</v>
      </c>
      <c r="M241" s="30">
        <v>175185</v>
      </c>
      <c r="N241" s="30">
        <v>210717</v>
      </c>
      <c r="O241" s="30">
        <v>210435</v>
      </c>
      <c r="P241" s="30">
        <v>240438</v>
      </c>
      <c r="Q241" s="44">
        <f t="shared" si="7"/>
        <v>2752410</v>
      </c>
      <c r="R241" s="62">
        <f>SUM(Q241/'2015 pax'!Q235)-1</f>
        <v>0.10978814751854959</v>
      </c>
    </row>
    <row r="242" spans="1:20">
      <c r="A242" s="1" t="s">
        <v>16</v>
      </c>
      <c r="B242" s="1" t="s">
        <v>400</v>
      </c>
      <c r="C242" s="1" t="s">
        <v>401</v>
      </c>
      <c r="D242" s="44">
        <f>'2015 pax'!Q236</f>
        <v>6265530</v>
      </c>
      <c r="E242" s="30">
        <v>603146</v>
      </c>
      <c r="F242" s="30">
        <v>622187</v>
      </c>
      <c r="G242" s="30">
        <v>758484</v>
      </c>
      <c r="H242" s="30">
        <v>622588</v>
      </c>
      <c r="I242" s="30">
        <v>494643</v>
      </c>
      <c r="J242" s="30">
        <v>426663</v>
      </c>
      <c r="K242" s="30">
        <v>418250</v>
      </c>
      <c r="L242" s="30">
        <v>417683</v>
      </c>
      <c r="M242" s="30">
        <v>372508</v>
      </c>
      <c r="N242" s="30">
        <v>397322</v>
      </c>
      <c r="O242" s="30">
        <v>526897</v>
      </c>
      <c r="P242" s="30">
        <v>604026</v>
      </c>
      <c r="Q242" s="44">
        <f t="shared" si="7"/>
        <v>6264397</v>
      </c>
      <c r="R242" s="62">
        <f>SUM(Q242/'2015 pax'!Q236)-1</f>
        <v>-1.8083067194629709E-4</v>
      </c>
    </row>
    <row r="243" spans="1:20">
      <c r="A243" s="1" t="s">
        <v>16</v>
      </c>
      <c r="B243" s="1" t="s">
        <v>455</v>
      </c>
      <c r="C243" s="1" t="s">
        <v>456</v>
      </c>
      <c r="D243" s="44">
        <f>'2015 pax'!Q237</f>
        <v>1888657</v>
      </c>
      <c r="E243" s="30">
        <v>206612</v>
      </c>
      <c r="F243" s="30">
        <v>254685</v>
      </c>
      <c r="G243" s="30">
        <v>301638</v>
      </c>
      <c r="H243" s="30">
        <v>228157</v>
      </c>
      <c r="I243" s="30">
        <v>142865</v>
      </c>
      <c r="J243" s="30">
        <v>80155</v>
      </c>
      <c r="K243" s="30">
        <v>74015</v>
      </c>
      <c r="L243" s="30">
        <v>77222</v>
      </c>
      <c r="M243" s="30">
        <v>89953</v>
      </c>
      <c r="N243" s="30">
        <v>147577</v>
      </c>
      <c r="O243" s="30">
        <v>202089</v>
      </c>
      <c r="P243" s="30">
        <v>193238</v>
      </c>
      <c r="Q243" s="44">
        <f t="shared" si="7"/>
        <v>1998206</v>
      </c>
      <c r="R243" s="62">
        <f>SUM(Q243/'2015 pax'!Q237)-1</f>
        <v>5.8003650212823166E-2</v>
      </c>
    </row>
    <row r="244" spans="1:20" s="42" customFormat="1">
      <c r="A244" s="1" t="s">
        <v>16</v>
      </c>
      <c r="B244" s="1" t="s">
        <v>577</v>
      </c>
      <c r="C244" s="1" t="s">
        <v>578</v>
      </c>
      <c r="D244" s="44">
        <f>'2015 pax'!Q238</f>
        <v>1613310</v>
      </c>
      <c r="E244" s="30">
        <v>106948</v>
      </c>
      <c r="F244" s="30">
        <v>107649</v>
      </c>
      <c r="G244" s="30">
        <v>131454</v>
      </c>
      <c r="H244" s="30">
        <v>134313</v>
      </c>
      <c r="I244" s="30">
        <v>151674</v>
      </c>
      <c r="J244" s="30">
        <v>151450</v>
      </c>
      <c r="K244" s="30">
        <v>155545</v>
      </c>
      <c r="L244" s="30">
        <v>143103</v>
      </c>
      <c r="M244" s="30">
        <v>134412</v>
      </c>
      <c r="N244" s="30">
        <v>141162</v>
      </c>
      <c r="O244" s="30">
        <v>128313</v>
      </c>
      <c r="P244" s="30">
        <v>123042</v>
      </c>
      <c r="Q244" s="44">
        <f t="shared" si="7"/>
        <v>1609065</v>
      </c>
      <c r="R244" s="62">
        <f>SUM(Q244/'2015 pax'!Q238)-1</f>
        <v>-2.6312364021793266E-3</v>
      </c>
    </row>
    <row r="245" spans="1:20">
      <c r="A245" s="1" t="s">
        <v>16</v>
      </c>
      <c r="B245" s="1" t="s">
        <v>46</v>
      </c>
      <c r="C245" s="1" t="s">
        <v>47</v>
      </c>
      <c r="D245" s="44">
        <f>'2015 pax'!Q239</f>
        <v>31443004</v>
      </c>
      <c r="E245" s="30">
        <v>2125252</v>
      </c>
      <c r="F245" s="30">
        <v>2052016</v>
      </c>
      <c r="G245" s="30">
        <v>2596006</v>
      </c>
      <c r="H245" s="30">
        <v>2532246</v>
      </c>
      <c r="I245" s="30">
        <v>2733657</v>
      </c>
      <c r="J245" s="30">
        <v>2797648</v>
      </c>
      <c r="K245" s="30">
        <v>2863515</v>
      </c>
      <c r="L245" s="30">
        <v>2837139</v>
      </c>
      <c r="M245" s="30">
        <v>2486921</v>
      </c>
      <c r="N245" s="30">
        <v>2560420</v>
      </c>
      <c r="O245" s="30">
        <v>2311559</v>
      </c>
      <c r="P245" s="30">
        <v>2258711</v>
      </c>
      <c r="Q245" s="44">
        <f t="shared" si="7"/>
        <v>30155090</v>
      </c>
      <c r="R245" s="62">
        <f>SUM(Q245/'2015 pax'!Q239)-1</f>
        <v>-4.0960272116493668E-2</v>
      </c>
    </row>
    <row r="246" spans="1:20">
      <c r="A246" s="1" t="s">
        <v>16</v>
      </c>
      <c r="B246" s="1" t="s">
        <v>32</v>
      </c>
      <c r="C246" s="1" t="s">
        <v>33</v>
      </c>
      <c r="D246" s="44">
        <f>'2015 pax'!Q240</f>
        <v>44068514</v>
      </c>
      <c r="E246" s="30">
        <v>3487219</v>
      </c>
      <c r="F246" s="30">
        <v>3400020</v>
      </c>
      <c r="G246" s="30">
        <v>4296524</v>
      </c>
      <c r="H246" s="30">
        <v>3735189</v>
      </c>
      <c r="I246" s="30">
        <v>3736179</v>
      </c>
      <c r="J246" s="30">
        <v>3720986</v>
      </c>
      <c r="K246" s="30">
        <v>3690679</v>
      </c>
      <c r="L246" s="30">
        <v>3367271</v>
      </c>
      <c r="M246" s="30">
        <v>3170238</v>
      </c>
      <c r="N246" s="30">
        <v>3564888</v>
      </c>
      <c r="O246" s="30">
        <v>3556974</v>
      </c>
      <c r="P246" s="30">
        <v>3657361</v>
      </c>
      <c r="Q246" s="44">
        <f t="shared" si="7"/>
        <v>43383528</v>
      </c>
      <c r="R246" s="62">
        <f>SUM(Q246/'2015 pax'!Q240)-1</f>
        <v>-1.5543660038094265E-2</v>
      </c>
    </row>
    <row r="247" spans="1:20">
      <c r="A247" s="1" t="s">
        <v>16</v>
      </c>
      <c r="B247" s="1" t="s">
        <v>510</v>
      </c>
      <c r="C247" s="1" t="s">
        <v>511</v>
      </c>
      <c r="D247" s="44">
        <f>'2015 pax'!Q241</f>
        <v>1282116</v>
      </c>
      <c r="E247" s="30">
        <v>105315</v>
      </c>
      <c r="F247" s="30">
        <v>118430</v>
      </c>
      <c r="G247" s="30">
        <v>161022</v>
      </c>
      <c r="H247" s="30">
        <v>109319</v>
      </c>
      <c r="I247" s="30">
        <v>107621</v>
      </c>
      <c r="J247" s="30">
        <v>126798</v>
      </c>
      <c r="K247" s="30">
        <v>132334</v>
      </c>
      <c r="L247" s="30">
        <v>95605</v>
      </c>
      <c r="M247" s="30">
        <v>80991</v>
      </c>
      <c r="N247" s="30">
        <v>100891</v>
      </c>
      <c r="O247" s="30">
        <v>100029</v>
      </c>
      <c r="P247" s="30">
        <v>114383</v>
      </c>
      <c r="Q247" s="44">
        <f t="shared" si="7"/>
        <v>1352738</v>
      </c>
      <c r="R247" s="62">
        <f>SUM(Q247/'2015 pax'!Q241)-1</f>
        <v>5.5082379441485863E-2</v>
      </c>
    </row>
    <row r="248" spans="1:20">
      <c r="A248" s="1" t="s">
        <v>16</v>
      </c>
      <c r="B248" s="1" t="s">
        <v>344</v>
      </c>
      <c r="C248" s="1" t="s">
        <v>345</v>
      </c>
      <c r="D248" s="44">
        <f>'2015 pax'!Q242</f>
        <v>8128187</v>
      </c>
      <c r="E248" s="30">
        <v>560047</v>
      </c>
      <c r="F248" s="30">
        <v>554846</v>
      </c>
      <c r="G248" s="30">
        <v>685248</v>
      </c>
      <c r="H248" s="30">
        <v>648165</v>
      </c>
      <c r="I248" s="30">
        <v>732633</v>
      </c>
      <c r="J248" s="30">
        <v>780863</v>
      </c>
      <c r="K248" s="30">
        <v>777747</v>
      </c>
      <c r="L248" s="30">
        <v>743791</v>
      </c>
      <c r="M248" s="30">
        <v>708895</v>
      </c>
      <c r="N248" s="30">
        <v>756583</v>
      </c>
      <c r="O248" s="30">
        <v>702345</v>
      </c>
      <c r="P248" s="30">
        <v>658591</v>
      </c>
      <c r="Q248" s="44">
        <f t="shared" si="7"/>
        <v>8309754</v>
      </c>
      <c r="R248" s="62">
        <f>SUM(Q248/'2015 pax'!Q242)-1</f>
        <v>2.2337945719014485E-2</v>
      </c>
    </row>
    <row r="249" spans="1:20">
      <c r="A249" s="1" t="s">
        <v>16</v>
      </c>
      <c r="B249" s="1" t="s">
        <v>62</v>
      </c>
      <c r="C249" s="1" t="s">
        <v>63</v>
      </c>
      <c r="D249" s="44">
        <f>'2015 pax'!Q243</f>
        <v>16850750</v>
      </c>
      <c r="E249" s="30">
        <v>1224665</v>
      </c>
      <c r="F249" s="30">
        <v>1175585</v>
      </c>
      <c r="G249" s="30">
        <v>1419144</v>
      </c>
      <c r="H249" s="30">
        <v>1411130</v>
      </c>
      <c r="I249" s="30">
        <v>1528094</v>
      </c>
      <c r="J249" s="30">
        <v>1702727</v>
      </c>
      <c r="K249" s="30">
        <v>1834928</v>
      </c>
      <c r="L249" s="30">
        <v>1822575</v>
      </c>
      <c r="M249" s="30">
        <v>1592259</v>
      </c>
      <c r="N249" s="30">
        <v>1595354</v>
      </c>
      <c r="O249" s="30">
        <v>1507059</v>
      </c>
      <c r="P249" s="30">
        <v>1539247</v>
      </c>
      <c r="Q249" s="44">
        <f t="shared" si="7"/>
        <v>18352767</v>
      </c>
      <c r="R249" s="62">
        <f>SUM(Q249/'2015 pax'!Q243)-1</f>
        <v>8.9136507277124188E-2</v>
      </c>
    </row>
    <row r="250" spans="1:20">
      <c r="A250" s="1" t="s">
        <v>16</v>
      </c>
      <c r="B250" s="1" t="s">
        <v>408</v>
      </c>
      <c r="C250" s="1" t="s">
        <v>409</v>
      </c>
      <c r="D250" s="44">
        <f>'2015 pax'!Q244</f>
        <v>3566105</v>
      </c>
      <c r="E250" s="30">
        <v>253488</v>
      </c>
      <c r="F250" s="30">
        <v>246978</v>
      </c>
      <c r="G250" s="30">
        <v>305039</v>
      </c>
      <c r="H250" s="30">
        <v>317364</v>
      </c>
      <c r="I250" s="30">
        <v>324393</v>
      </c>
      <c r="J250" s="30">
        <v>317417</v>
      </c>
      <c r="K250" s="30">
        <v>326359</v>
      </c>
      <c r="L250" s="30">
        <v>337336</v>
      </c>
      <c r="M250" s="30">
        <v>302381</v>
      </c>
      <c r="N250" s="30">
        <v>324582</v>
      </c>
      <c r="O250" s="30">
        <v>308158</v>
      </c>
      <c r="P250" s="30">
        <v>289534</v>
      </c>
      <c r="Q250" s="44">
        <f t="shared" si="7"/>
        <v>3653029</v>
      </c>
      <c r="R250" s="62">
        <f>SUM(Q250/'2015 pax'!Q244)-1</f>
        <v>2.4375053454679607E-2</v>
      </c>
    </row>
    <row r="251" spans="1:20">
      <c r="A251" s="1" t="s">
        <v>16</v>
      </c>
      <c r="B251" s="1" t="s">
        <v>355</v>
      </c>
      <c r="C251" s="1" t="s">
        <v>356</v>
      </c>
      <c r="D251" s="44">
        <f>'2015 pax'!Q245</f>
        <v>9943260</v>
      </c>
      <c r="E251" s="30">
        <v>689243</v>
      </c>
      <c r="F251" s="30">
        <v>690614</v>
      </c>
      <c r="G251" s="30">
        <v>862597</v>
      </c>
      <c r="H251" s="30">
        <v>877972</v>
      </c>
      <c r="I251" s="30">
        <v>1017538</v>
      </c>
      <c r="J251" s="30">
        <v>1018399</v>
      </c>
      <c r="K251" s="30">
        <v>1015002</v>
      </c>
      <c r="L251" s="30">
        <v>984930</v>
      </c>
      <c r="M251" s="30">
        <v>910337</v>
      </c>
      <c r="N251" s="30">
        <v>989231</v>
      </c>
      <c r="O251" s="30">
        <v>955820</v>
      </c>
      <c r="P251" s="30">
        <v>941104</v>
      </c>
      <c r="Q251" s="44">
        <f t="shared" si="7"/>
        <v>10952787</v>
      </c>
      <c r="R251" s="62">
        <f>SUM(Q251/'2015 pax'!Q245)-1</f>
        <v>0.1015287742651807</v>
      </c>
    </row>
    <row r="252" spans="1:20">
      <c r="A252" s="1" t="s">
        <v>16</v>
      </c>
      <c r="B252" s="1" t="s">
        <v>410</v>
      </c>
      <c r="C252" s="1" t="s">
        <v>411</v>
      </c>
      <c r="D252" s="44">
        <f>'2015 pax'!Q246</f>
        <v>3415071</v>
      </c>
      <c r="E252" s="30">
        <v>259868</v>
      </c>
      <c r="F252" s="30">
        <v>269807</v>
      </c>
      <c r="G252" s="30">
        <v>311974</v>
      </c>
      <c r="H252" s="30">
        <v>273707</v>
      </c>
      <c r="I252" s="30">
        <v>288763</v>
      </c>
      <c r="J252" s="30">
        <v>338954</v>
      </c>
      <c r="K252" s="30">
        <v>356768</v>
      </c>
      <c r="L252" s="30">
        <v>349934</v>
      </c>
      <c r="M252" s="30">
        <v>325698</v>
      </c>
      <c r="N252" s="30">
        <v>304447</v>
      </c>
      <c r="O252" s="30">
        <v>270367</v>
      </c>
      <c r="P252" s="30">
        <v>300543</v>
      </c>
      <c r="Q252" s="44">
        <f t="shared" si="7"/>
        <v>3650830</v>
      </c>
      <c r="R252" s="62">
        <f>SUM(Q252/'2015 pax'!Q246)-1</f>
        <v>6.90348751167984E-2</v>
      </c>
    </row>
    <row r="253" spans="1:20">
      <c r="A253" s="1" t="s">
        <v>16</v>
      </c>
      <c r="B253" s="1" t="s">
        <v>425</v>
      </c>
      <c r="C253" s="1" t="s">
        <v>426</v>
      </c>
      <c r="D253" s="44">
        <f>'2015 pax'!Q247</f>
        <v>3513142</v>
      </c>
      <c r="E253" s="30">
        <v>230187</v>
      </c>
      <c r="F253" s="30">
        <v>238984</v>
      </c>
      <c r="G253" s="30">
        <v>287999</v>
      </c>
      <c r="H253" s="30">
        <v>297036</v>
      </c>
      <c r="I253" s="30">
        <v>319562</v>
      </c>
      <c r="J253" s="30">
        <v>323681</v>
      </c>
      <c r="K253" s="30">
        <v>327028</v>
      </c>
      <c r="L253" s="30">
        <v>324011</v>
      </c>
      <c r="M253" s="30">
        <v>301895</v>
      </c>
      <c r="N253" s="30">
        <v>322267</v>
      </c>
      <c r="O253" s="30">
        <v>301305</v>
      </c>
      <c r="P253" s="30">
        <v>285097</v>
      </c>
      <c r="Q253" s="44">
        <f t="shared" si="7"/>
        <v>3559052</v>
      </c>
      <c r="R253" s="62">
        <f>SUM(Q253/'2015 pax'!Q247)-1</f>
        <v>1.3068074105743621E-2</v>
      </c>
    </row>
    <row r="254" spans="1:20">
      <c r="A254" s="1" t="s">
        <v>16</v>
      </c>
      <c r="B254" s="1" t="s">
        <v>519</v>
      </c>
      <c r="C254" s="1" t="s">
        <v>520</v>
      </c>
      <c r="D254" s="44">
        <f>'2015 pax'!Q248</f>
        <v>9648063</v>
      </c>
      <c r="E254" s="30">
        <v>714874</v>
      </c>
      <c r="F254" s="30">
        <v>687860</v>
      </c>
      <c r="G254" s="30">
        <v>820897</v>
      </c>
      <c r="H254" s="30">
        <v>795340</v>
      </c>
      <c r="I254" s="30">
        <v>879252</v>
      </c>
      <c r="J254" s="30">
        <v>931936</v>
      </c>
      <c r="K254" s="30">
        <v>935483</v>
      </c>
      <c r="L254" s="30">
        <v>908151</v>
      </c>
      <c r="M254" s="30">
        <v>848199</v>
      </c>
      <c r="N254" s="30">
        <v>895315</v>
      </c>
      <c r="O254" s="30">
        <v>853530</v>
      </c>
      <c r="P254" s="30">
        <v>847958</v>
      </c>
      <c r="Q254" s="44">
        <f t="shared" si="7"/>
        <v>10118795</v>
      </c>
      <c r="R254" s="62">
        <f>SUM(Q254/'2015 pax'!Q248)-1</f>
        <v>4.8790311588968738E-2</v>
      </c>
    </row>
    <row r="255" spans="1:20">
      <c r="A255" s="1" t="s">
        <v>16</v>
      </c>
      <c r="B255" s="1" t="s">
        <v>54</v>
      </c>
      <c r="C255" s="1" t="s">
        <v>55</v>
      </c>
      <c r="D255" s="44">
        <f>'2015 pax'!Q249</f>
        <v>22152498</v>
      </c>
      <c r="E255" s="30">
        <v>1738542</v>
      </c>
      <c r="F255" s="30">
        <v>1698679</v>
      </c>
      <c r="G255" s="30">
        <v>2000579</v>
      </c>
      <c r="H255" s="30">
        <v>1794648</v>
      </c>
      <c r="I255" s="30">
        <v>1946627</v>
      </c>
      <c r="J255" s="30">
        <v>2135773</v>
      </c>
      <c r="K255" s="30">
        <v>2185149</v>
      </c>
      <c r="L255" s="30">
        <v>2101551</v>
      </c>
      <c r="M255" s="30">
        <v>1917344</v>
      </c>
      <c r="N255" s="30">
        <v>1948017</v>
      </c>
      <c r="O255" s="30">
        <v>1800066</v>
      </c>
      <c r="P255" s="30">
        <v>1888552</v>
      </c>
      <c r="Q255" s="44">
        <f t="shared" si="7"/>
        <v>23155527</v>
      </c>
      <c r="R255" s="62">
        <f>SUM(Q255/'2015 pax'!Q249)-1</f>
        <v>4.5278369960805254E-2</v>
      </c>
    </row>
    <row r="256" spans="1:20">
      <c r="A256" s="1" t="s">
        <v>16</v>
      </c>
      <c r="B256" s="1" t="s">
        <v>396</v>
      </c>
      <c r="C256" s="1" t="s">
        <v>397</v>
      </c>
      <c r="D256" s="44">
        <f>'2015 pax'!Q250</f>
        <v>8498247</v>
      </c>
      <c r="E256" s="30">
        <v>640614</v>
      </c>
      <c r="F256" s="30">
        <v>595286</v>
      </c>
      <c r="G256" s="30">
        <v>711596</v>
      </c>
      <c r="H256" s="30">
        <v>699203</v>
      </c>
      <c r="I256" s="30">
        <v>754257</v>
      </c>
      <c r="J256" s="30">
        <v>800107</v>
      </c>
      <c r="K256" s="30">
        <v>802345</v>
      </c>
      <c r="L256" s="30">
        <v>719761</v>
      </c>
      <c r="M256" s="30">
        <v>683488</v>
      </c>
      <c r="N256" s="30">
        <v>739620</v>
      </c>
      <c r="O256" s="30">
        <v>741311</v>
      </c>
      <c r="P256" s="30">
        <v>730551</v>
      </c>
      <c r="Q256" s="44">
        <f t="shared" si="7"/>
        <v>8618139</v>
      </c>
      <c r="R256" s="62">
        <f>SUM(Q256/'2015 pax'!Q250)-1</f>
        <v>1.4107850713211745E-2</v>
      </c>
      <c r="T256" s="42"/>
    </row>
    <row r="257" spans="1:20">
      <c r="A257" s="1" t="s">
        <v>16</v>
      </c>
      <c r="B257" s="1" t="s">
        <v>58</v>
      </c>
      <c r="C257" s="1" t="s">
        <v>59</v>
      </c>
      <c r="D257" s="44">
        <f>'2015 pax'!Q251</f>
        <v>20011626</v>
      </c>
      <c r="E257" s="30">
        <v>1513433</v>
      </c>
      <c r="F257" s="30">
        <v>1438239</v>
      </c>
      <c r="G257" s="30">
        <v>1718883</v>
      </c>
      <c r="H257" s="30">
        <v>1692742</v>
      </c>
      <c r="I257" s="30">
        <v>1739050</v>
      </c>
      <c r="J257" s="30">
        <v>1819976</v>
      </c>
      <c r="K257" s="30">
        <v>1937256</v>
      </c>
      <c r="L257" s="30">
        <v>1904809</v>
      </c>
      <c r="M257" s="30">
        <v>1723314</v>
      </c>
      <c r="N257" s="30">
        <v>1771609</v>
      </c>
      <c r="O257" s="30">
        <v>1688944</v>
      </c>
      <c r="P257" s="30">
        <v>1711277</v>
      </c>
      <c r="Q257" s="44">
        <f t="shared" si="7"/>
        <v>20659532</v>
      </c>
      <c r="R257" s="62">
        <f>SUM(Q257/'2015 pax'!Q251)-1</f>
        <v>3.2376479552436166E-2</v>
      </c>
      <c r="T257" s="65"/>
    </row>
    <row r="258" spans="1:20">
      <c r="A258" s="1" t="s">
        <v>16</v>
      </c>
      <c r="B258" s="1" t="s">
        <v>30</v>
      </c>
      <c r="C258" s="1" t="s">
        <v>31</v>
      </c>
      <c r="D258" s="44">
        <f>'2015 pax'!Q252</f>
        <v>50067094</v>
      </c>
      <c r="E258" s="30">
        <v>3749417</v>
      </c>
      <c r="F258" s="30">
        <v>3543751</v>
      </c>
      <c r="G258" s="30">
        <v>4138030</v>
      </c>
      <c r="H258" s="30">
        <v>4172707</v>
      </c>
      <c r="I258" s="30">
        <v>4574399</v>
      </c>
      <c r="J258" s="30">
        <v>4922320</v>
      </c>
      <c r="K258" s="30">
        <v>5169044</v>
      </c>
      <c r="L258" s="30">
        <v>5112250</v>
      </c>
      <c r="M258" s="30">
        <v>4544856</v>
      </c>
      <c r="N258" s="30">
        <v>4572106</v>
      </c>
      <c r="O258" s="30">
        <v>4267820</v>
      </c>
      <c r="P258" s="30">
        <v>4339805</v>
      </c>
      <c r="Q258" s="44">
        <f t="shared" si="7"/>
        <v>53106505</v>
      </c>
      <c r="R258" s="62">
        <f>SUM(Q258/'2015 pax'!Q252)-1</f>
        <v>6.0706758814482065E-2</v>
      </c>
    </row>
    <row r="259" spans="1:20">
      <c r="A259" s="1" t="s">
        <v>16</v>
      </c>
      <c r="B259" s="1" t="s">
        <v>493</v>
      </c>
      <c r="C259" s="1" t="s">
        <v>494</v>
      </c>
      <c r="D259" s="44">
        <f>'2015 pax'!Q253</f>
        <v>9799427</v>
      </c>
      <c r="E259" s="30">
        <v>742833</v>
      </c>
      <c r="F259" s="30">
        <v>768864</v>
      </c>
      <c r="G259" s="30">
        <v>877553</v>
      </c>
      <c r="H259" s="30">
        <v>861164</v>
      </c>
      <c r="I259" s="30">
        <v>921233</v>
      </c>
      <c r="J259" s="30">
        <v>902673</v>
      </c>
      <c r="K259" s="30">
        <v>999694</v>
      </c>
      <c r="L259" s="30">
        <v>936059</v>
      </c>
      <c r="M259" s="30">
        <v>918347</v>
      </c>
      <c r="N259" s="30">
        <v>967860</v>
      </c>
      <c r="O259" s="30">
        <v>957001</v>
      </c>
      <c r="P259" s="30">
        <v>935271</v>
      </c>
      <c r="Q259" s="44">
        <f t="shared" si="7"/>
        <v>10788552</v>
      </c>
      <c r="R259" s="62">
        <f>SUM(Q259/'2015 pax'!Q253)-1</f>
        <v>0.10093702417498496</v>
      </c>
    </row>
    <row r="260" spans="1:20" ht="15.75">
      <c r="A260" s="1" t="s">
        <v>16</v>
      </c>
      <c r="B260" s="1" t="s">
        <v>504</v>
      </c>
      <c r="C260" s="1" t="s">
        <v>492</v>
      </c>
      <c r="D260" s="44">
        <f>'2015 pax'!Q254</f>
        <v>10180258</v>
      </c>
      <c r="E260" s="30">
        <v>784248</v>
      </c>
      <c r="F260" s="30">
        <v>793553</v>
      </c>
      <c r="G260" s="30">
        <v>907005</v>
      </c>
      <c r="H260" s="30">
        <v>890723</v>
      </c>
      <c r="I260" s="30">
        <v>949280</v>
      </c>
      <c r="J260" s="30">
        <v>902673</v>
      </c>
      <c r="K260" s="30">
        <v>903955</v>
      </c>
      <c r="L260" s="30">
        <v>936059</v>
      </c>
      <c r="M260" s="30">
        <v>867073</v>
      </c>
      <c r="N260" s="30">
        <v>918116</v>
      </c>
      <c r="O260" s="30">
        <v>884617</v>
      </c>
      <c r="P260" s="30">
        <v>870956</v>
      </c>
      <c r="Q260" s="44">
        <f t="shared" si="7"/>
        <v>10608258</v>
      </c>
      <c r="R260" s="62">
        <f>SUM(Q260/'2015 pax'!Q254)-1</f>
        <v>4.2042156495444516E-2</v>
      </c>
    </row>
    <row r="261" spans="1:20">
      <c r="A261" s="1" t="s">
        <v>16</v>
      </c>
      <c r="B261" s="1" t="s">
        <v>541</v>
      </c>
      <c r="C261" s="1" t="s">
        <v>542</v>
      </c>
      <c r="D261" s="44">
        <f>'2015 pax'!Q255</f>
        <v>1220363</v>
      </c>
      <c r="E261" s="30">
        <v>107299</v>
      </c>
      <c r="F261" s="30">
        <v>119958</v>
      </c>
      <c r="G261" s="30">
        <v>155673</v>
      </c>
      <c r="H261" s="30">
        <v>127941</v>
      </c>
      <c r="I261" s="30">
        <v>95793</v>
      </c>
      <c r="J261" s="30">
        <v>77651</v>
      </c>
      <c r="K261" s="30">
        <v>74312</v>
      </c>
      <c r="L261" s="30">
        <v>72495</v>
      </c>
      <c r="M261" s="30">
        <v>68946</v>
      </c>
      <c r="N261" s="30">
        <v>88422</v>
      </c>
      <c r="O261" s="30">
        <v>90996</v>
      </c>
      <c r="P261" s="30">
        <v>106933</v>
      </c>
      <c r="Q261" s="44">
        <f t="shared" si="7"/>
        <v>1186419</v>
      </c>
      <c r="R261" s="62">
        <f>SUM(Q261/'2015 pax'!Q255)-1</f>
        <v>-2.7814674813969265E-2</v>
      </c>
    </row>
    <row r="262" spans="1:20">
      <c r="A262" s="1" t="s">
        <v>16</v>
      </c>
      <c r="B262" s="1" t="s">
        <v>435</v>
      </c>
      <c r="C262" s="1" t="s">
        <v>436</v>
      </c>
      <c r="D262" s="44">
        <f>'2015 pax'!Q256</f>
        <v>2027292</v>
      </c>
      <c r="E262" s="30">
        <v>123647</v>
      </c>
      <c r="F262" s="30">
        <v>135878</v>
      </c>
      <c r="G262" s="30">
        <v>186769</v>
      </c>
      <c r="H262" s="30">
        <v>202003</v>
      </c>
      <c r="I262" s="30">
        <v>211536</v>
      </c>
      <c r="J262" s="30">
        <v>208246</v>
      </c>
      <c r="K262" s="30">
        <v>210707</v>
      </c>
      <c r="L262" s="30">
        <v>192129</v>
      </c>
      <c r="M262" s="30">
        <v>195795</v>
      </c>
      <c r="N262" s="30">
        <v>171937</v>
      </c>
      <c r="O262" s="30">
        <v>185573</v>
      </c>
      <c r="P262" s="30">
        <v>166186</v>
      </c>
      <c r="Q262" s="44">
        <f t="shared" si="7"/>
        <v>2190406</v>
      </c>
      <c r="R262" s="62">
        <f>SUM(Q262/'2015 pax'!Q256)-1</f>
        <v>8.0459055725568884E-2</v>
      </c>
    </row>
    <row r="263" spans="1:20">
      <c r="A263" s="1" t="s">
        <v>16</v>
      </c>
      <c r="B263" s="1" t="s">
        <v>567</v>
      </c>
      <c r="C263" s="1" t="s">
        <v>45</v>
      </c>
      <c r="D263" s="44">
        <f>'2015 pax'!Q257</f>
        <v>42340537</v>
      </c>
      <c r="E263" s="30">
        <v>3105565</v>
      </c>
      <c r="F263" s="30">
        <v>3028844</v>
      </c>
      <c r="G263" s="30">
        <v>3459518</v>
      </c>
      <c r="H263" s="30">
        <v>3588645</v>
      </c>
      <c r="I263" s="30">
        <v>3932040</v>
      </c>
      <c r="J263" s="30">
        <v>4391369</v>
      </c>
      <c r="K263" s="30">
        <v>4732100</v>
      </c>
      <c r="L263" s="30">
        <v>4796143</v>
      </c>
      <c r="M263" s="30">
        <v>3895866</v>
      </c>
      <c r="N263" s="30">
        <v>3722226</v>
      </c>
      <c r="O263" s="30">
        <v>3374636</v>
      </c>
      <c r="P263" s="30">
        <v>3709748</v>
      </c>
      <c r="Q263" s="44">
        <f t="shared" si="7"/>
        <v>45736700</v>
      </c>
      <c r="R263" s="62">
        <f>SUM(Q263/'2015 pax'!Q257)-1</f>
        <v>8.0210673756924811E-2</v>
      </c>
    </row>
    <row r="264" spans="1:20">
      <c r="A264" s="1" t="s">
        <v>16</v>
      </c>
      <c r="B264" s="1" t="s">
        <v>502</v>
      </c>
      <c r="C264" s="1" t="s">
        <v>503</v>
      </c>
      <c r="D264" s="44">
        <f>'2015 pax'!Q258</f>
        <v>3133118</v>
      </c>
      <c r="E264" s="30">
        <v>230576</v>
      </c>
      <c r="F264" s="30">
        <v>220343</v>
      </c>
      <c r="G264" s="30">
        <v>250881</v>
      </c>
      <c r="H264" s="30">
        <v>251955</v>
      </c>
      <c r="I264" s="30">
        <v>263144</v>
      </c>
      <c r="J264" s="30">
        <v>294561</v>
      </c>
      <c r="K264" s="30">
        <v>311274</v>
      </c>
      <c r="L264" s="30">
        <v>313002</v>
      </c>
      <c r="M264" s="30">
        <v>272675</v>
      </c>
      <c r="N264" s="30">
        <v>272060</v>
      </c>
      <c r="O264" s="30">
        <v>273663</v>
      </c>
      <c r="P264" s="30">
        <v>279961</v>
      </c>
      <c r="Q264" s="44">
        <f t="shared" si="7"/>
        <v>3234095</v>
      </c>
      <c r="R264" s="62">
        <f>SUM(Q264/'2015 pax'!Q258)-1</f>
        <v>3.2228917008551905E-2</v>
      </c>
    </row>
    <row r="265" spans="1:20">
      <c r="A265" s="1" t="s">
        <v>16</v>
      </c>
      <c r="B265" s="1" t="s">
        <v>443</v>
      </c>
      <c r="C265" s="1" t="s">
        <v>444</v>
      </c>
      <c r="D265" s="44">
        <f>'2015 pax'!Q259</f>
        <v>919248</v>
      </c>
      <c r="E265" s="30">
        <v>59656</v>
      </c>
      <c r="F265" s="30">
        <v>56887</v>
      </c>
      <c r="G265" s="30">
        <v>69688</v>
      </c>
      <c r="H265" s="30">
        <v>69498</v>
      </c>
      <c r="I265" s="30">
        <v>81896</v>
      </c>
      <c r="J265" s="30">
        <v>94124</v>
      </c>
      <c r="K265" s="30">
        <v>98112</v>
      </c>
      <c r="L265" s="30">
        <v>88904</v>
      </c>
      <c r="M265" s="30">
        <v>85296</v>
      </c>
      <c r="N265" s="30">
        <v>91393</v>
      </c>
      <c r="O265" s="30">
        <v>80527</v>
      </c>
      <c r="P265" s="30">
        <v>76722</v>
      </c>
      <c r="Q265" s="44">
        <f t="shared" si="7"/>
        <v>952703</v>
      </c>
      <c r="R265" s="62">
        <f>SUM(Q265/'2015 pax'!Q259)-1</f>
        <v>3.63938784745792E-2</v>
      </c>
    </row>
    <row r="266" spans="1:20">
      <c r="A266" s="1" t="s">
        <v>16</v>
      </c>
      <c r="B266" s="1" t="s">
        <v>394</v>
      </c>
      <c r="C266" s="1" t="s">
        <v>395</v>
      </c>
      <c r="D266" s="44">
        <f>'2015 pax'!Q260</f>
        <v>12719038</v>
      </c>
      <c r="E266" s="30">
        <v>966831</v>
      </c>
      <c r="F266" s="30">
        <v>960003</v>
      </c>
      <c r="G266" s="30">
        <v>1150344</v>
      </c>
      <c r="H266" s="30">
        <v>1137464</v>
      </c>
      <c r="I266" s="30">
        <v>1253876</v>
      </c>
      <c r="J266" s="30">
        <v>1290938</v>
      </c>
      <c r="K266" s="30">
        <v>1286216</v>
      </c>
      <c r="L266" s="30">
        <v>1198062</v>
      </c>
      <c r="M266" s="30">
        <v>1170166</v>
      </c>
      <c r="N266" s="30">
        <v>1236199</v>
      </c>
      <c r="O266" s="30">
        <v>1185406</v>
      </c>
      <c r="P266" s="30">
        <v>1148735</v>
      </c>
      <c r="Q266" s="44">
        <f t="shared" si="7"/>
        <v>13984240</v>
      </c>
      <c r="R266" s="62">
        <f>SUM(Q266/'2015 pax'!Q260)-1</f>
        <v>9.947308908110819E-2</v>
      </c>
    </row>
    <row r="267" spans="1:20">
      <c r="A267" s="1" t="s">
        <v>16</v>
      </c>
      <c r="B267" s="7" t="s">
        <v>564</v>
      </c>
      <c r="C267" s="7" t="s">
        <v>337</v>
      </c>
      <c r="D267" s="44">
        <f>'2015 pax'!Q261</f>
        <v>281754</v>
      </c>
      <c r="E267" s="30">
        <v>20991</v>
      </c>
      <c r="F267" s="30">
        <v>19540</v>
      </c>
      <c r="G267" s="30">
        <v>22719</v>
      </c>
      <c r="H267" s="30">
        <v>22059</v>
      </c>
      <c r="I267" s="30">
        <v>22003</v>
      </c>
      <c r="J267" s="30">
        <v>22564</v>
      </c>
      <c r="K267" s="30">
        <v>26346</v>
      </c>
      <c r="L267" s="30">
        <v>25969</v>
      </c>
      <c r="M267" s="30">
        <v>24106</v>
      </c>
      <c r="N267" s="30">
        <v>20735</v>
      </c>
      <c r="O267" s="30">
        <v>21989</v>
      </c>
      <c r="P267" s="30">
        <v>23698</v>
      </c>
      <c r="Q267" s="44">
        <f t="shared" si="7"/>
        <v>272719</v>
      </c>
      <c r="R267" s="62">
        <f>SUM(Q267/'2015 pax'!Q261)-1</f>
        <v>-3.2066980415539792E-2</v>
      </c>
    </row>
    <row r="268" spans="1:20">
      <c r="A268" s="1" t="s">
        <v>16</v>
      </c>
      <c r="B268" s="1" t="s">
        <v>60</v>
      </c>
      <c r="C268" s="1" t="s">
        <v>61</v>
      </c>
      <c r="D268" s="44">
        <f>'2015 pax'!Q262</f>
        <v>18815425</v>
      </c>
      <c r="E268" s="30">
        <v>1542386</v>
      </c>
      <c r="F268" s="30">
        <v>1552130</v>
      </c>
      <c r="G268" s="30">
        <v>1970018</v>
      </c>
      <c r="H268" s="30">
        <v>1704689</v>
      </c>
      <c r="I268" s="30">
        <v>1615632</v>
      </c>
      <c r="J268" s="30">
        <v>1544605</v>
      </c>
      <c r="K268" s="30">
        <v>1574389</v>
      </c>
      <c r="L268" s="30">
        <v>1426705</v>
      </c>
      <c r="M268" s="30">
        <v>1279482</v>
      </c>
      <c r="N268" s="30">
        <v>1473642</v>
      </c>
      <c r="O268" s="30">
        <v>1597554</v>
      </c>
      <c r="P268" s="30">
        <v>1650546</v>
      </c>
      <c r="Q268" s="44">
        <f t="shared" si="7"/>
        <v>18931778</v>
      </c>
      <c r="R268" s="62">
        <f>SUM(Q268/'2015 pax'!Q262)-1</f>
        <v>6.1839155905327736E-3</v>
      </c>
    </row>
    <row r="269" spans="1:20">
      <c r="A269" s="1" t="s">
        <v>16</v>
      </c>
      <c r="B269" s="1" t="s">
        <v>498</v>
      </c>
      <c r="C269" s="1" t="s">
        <v>499</v>
      </c>
      <c r="D269" s="44">
        <f>'2015 pax'!Q263</f>
        <v>3178210</v>
      </c>
      <c r="E269" s="30">
        <v>267465</v>
      </c>
      <c r="F269" s="30">
        <v>274374</v>
      </c>
      <c r="G269" s="30">
        <v>315852</v>
      </c>
      <c r="H269" s="30">
        <v>279697</v>
      </c>
      <c r="I269" s="30">
        <v>284645</v>
      </c>
      <c r="J269" s="30">
        <v>254013</v>
      </c>
      <c r="K269" s="30">
        <v>249485</v>
      </c>
      <c r="L269" s="30">
        <v>232801</v>
      </c>
      <c r="M269" s="30">
        <v>245355</v>
      </c>
      <c r="N269" s="30">
        <v>293112</v>
      </c>
      <c r="O269" s="30">
        <v>295271</v>
      </c>
      <c r="P269" s="30">
        <v>293584</v>
      </c>
      <c r="Q269" s="44">
        <f>SUM(E269:P269)</f>
        <v>3285654</v>
      </c>
      <c r="R269" s="62">
        <f>SUM(Q269/'2015 pax'!Q263)-1</f>
        <v>3.3806450800922594E-2</v>
      </c>
    </row>
    <row r="270" spans="1:20">
      <c r="A270" s="1" t="s">
        <v>16</v>
      </c>
      <c r="B270" s="1" t="s">
        <v>539</v>
      </c>
      <c r="C270" s="1" t="s">
        <v>540</v>
      </c>
      <c r="D270" s="44">
        <f>'2015 pax'!Q264</f>
        <v>2816967</v>
      </c>
      <c r="E270" s="30">
        <v>199057</v>
      </c>
      <c r="F270" s="30">
        <v>191039</v>
      </c>
      <c r="G270" s="30">
        <v>223191</v>
      </c>
      <c r="H270" s="30">
        <v>215329</v>
      </c>
      <c r="I270" s="30">
        <v>261420</v>
      </c>
      <c r="J270" s="30">
        <v>268531</v>
      </c>
      <c r="K270" s="30">
        <v>255366</v>
      </c>
      <c r="L270" s="30">
        <v>236485</v>
      </c>
      <c r="M270" s="30">
        <v>231494</v>
      </c>
      <c r="N270" s="30">
        <v>248092</v>
      </c>
      <c r="O270" s="30">
        <v>242355</v>
      </c>
      <c r="P270" s="30">
        <v>237983</v>
      </c>
      <c r="Q270" s="44">
        <v>2810537</v>
      </c>
      <c r="R270" s="62">
        <f>SUM(Q270/'2015 pax'!Q264)-1</f>
        <v>-2.2825968497323101E-3</v>
      </c>
    </row>
    <row r="271" spans="1:20" ht="15.75">
      <c r="A271" s="1" t="s">
        <v>16</v>
      </c>
      <c r="B271" s="1" t="s">
        <v>392</v>
      </c>
      <c r="C271" s="1" t="s">
        <v>50</v>
      </c>
      <c r="D271" s="44">
        <f>'2015 pax'!Q265</f>
        <v>21606882</v>
      </c>
      <c r="E271" s="30">
        <v>1397269</v>
      </c>
      <c r="F271" s="30">
        <v>1294559</v>
      </c>
      <c r="G271" s="30">
        <v>1689743</v>
      </c>
      <c r="H271" s="30">
        <v>1700889</v>
      </c>
      <c r="I271" s="30">
        <v>1958788</v>
      </c>
      <c r="J271" s="30">
        <v>2064766</v>
      </c>
      <c r="K271" s="30">
        <v>2198132</v>
      </c>
      <c r="L271" s="30">
        <v>2153994</v>
      </c>
      <c r="M271" s="30">
        <v>1906312</v>
      </c>
      <c r="N271" s="30">
        <v>1948074</v>
      </c>
      <c r="O271" s="30">
        <v>1756990</v>
      </c>
      <c r="P271" s="30">
        <v>1790269</v>
      </c>
      <c r="Q271" s="44">
        <f>SUM(E271:P271)</f>
        <v>21859785</v>
      </c>
      <c r="R271" s="62">
        <f>SUM(Q271/'2015 pax'!Q265)-1</f>
        <v>1.1704742961062164E-2</v>
      </c>
    </row>
    <row r="272" spans="1:20" ht="15.75">
      <c r="A272" s="1" t="s">
        <v>16</v>
      </c>
      <c r="B272" s="1" t="s">
        <v>393</v>
      </c>
      <c r="C272" s="1" t="s">
        <v>56</v>
      </c>
      <c r="D272" s="44">
        <f>'2015 pax'!Q266</f>
        <v>22443556</v>
      </c>
      <c r="E272" s="30">
        <v>1554329</v>
      </c>
      <c r="F272" s="30">
        <v>1635281</v>
      </c>
      <c r="G272" s="30">
        <v>2084311</v>
      </c>
      <c r="H272" s="30">
        <v>2039136</v>
      </c>
      <c r="I272" s="30">
        <v>2146482</v>
      </c>
      <c r="J272" s="30">
        <v>2089168</v>
      </c>
      <c r="K272" s="30">
        <v>2063014</v>
      </c>
      <c r="L272" s="30">
        <v>2052697</v>
      </c>
      <c r="M272" s="30">
        <v>1961976</v>
      </c>
      <c r="N272" s="30">
        <v>2107734</v>
      </c>
      <c r="O272" s="30">
        <v>1974704</v>
      </c>
      <c r="P272" s="30">
        <v>1855347</v>
      </c>
      <c r="Q272" s="44">
        <f>SUM(E272:P272)</f>
        <v>23564179</v>
      </c>
      <c r="R272" s="62">
        <f>SUM(Q272/'2015 pax'!Q266)-1</f>
        <v>4.993072399044074E-2</v>
      </c>
    </row>
    <row r="273" spans="1:18">
      <c r="A273" s="1" t="s">
        <v>16</v>
      </c>
      <c r="B273" s="1" t="s">
        <v>526</v>
      </c>
      <c r="C273" s="1" t="s">
        <v>527</v>
      </c>
      <c r="D273" s="44">
        <f>'2015 pax'!Q267</f>
        <v>1571834</v>
      </c>
      <c r="E273" s="30">
        <v>112423</v>
      </c>
      <c r="F273" s="30">
        <v>106208</v>
      </c>
      <c r="G273" s="30">
        <v>125542</v>
      </c>
      <c r="H273" s="30">
        <v>126586</v>
      </c>
      <c r="I273" s="30">
        <v>148114</v>
      </c>
      <c r="J273" s="30">
        <v>157607</v>
      </c>
      <c r="K273" s="30">
        <v>152770</v>
      </c>
      <c r="L273" s="30">
        <v>134715</v>
      </c>
      <c r="M273" s="30">
        <v>135294</v>
      </c>
      <c r="N273" s="30">
        <v>140495</v>
      </c>
      <c r="O273" s="30">
        <v>135236</v>
      </c>
      <c r="P273" s="30">
        <v>127401</v>
      </c>
      <c r="Q273" s="44">
        <f>SUM(E273:P273)</f>
        <v>1602391</v>
      </c>
      <c r="R273" s="62">
        <f>SUM(Q273/'2015 pax'!Q267)-1</f>
        <v>1.9440348026572796E-2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7"/>
  <sheetViews>
    <sheetView tabSelected="1" zoomScaleNormal="100" workbookViewId="0">
      <pane ySplit="1" topLeftCell="A259" activePane="bottomLeft" state="frozen"/>
      <selection pane="bottomLeft" activeCell="B268" sqref="B268"/>
    </sheetView>
  </sheetViews>
  <sheetFormatPr defaultRowHeight="15"/>
  <cols>
    <col min="1" max="1" width="26.42578125" customWidth="1"/>
    <col min="2" max="2" width="41.7109375" customWidth="1"/>
    <col min="4" max="4" width="22.5703125" customWidth="1"/>
    <col min="5" max="5" width="12.5703125" customWidth="1"/>
    <col min="6" max="6" width="12.42578125" customWidth="1"/>
    <col min="7" max="7" width="11.42578125" customWidth="1"/>
    <col min="8" max="8" width="10.7109375" style="41" customWidth="1"/>
    <col min="9" max="9" width="11.42578125" customWidth="1"/>
    <col min="10" max="10" width="10.7109375" customWidth="1"/>
    <col min="11" max="11" width="11" customWidth="1"/>
    <col min="12" max="13" width="11.7109375" customWidth="1"/>
    <col min="14" max="14" width="11.140625" customWidth="1"/>
    <col min="15" max="15" width="10.7109375" customWidth="1"/>
    <col min="16" max="16" width="10.85546875" customWidth="1"/>
    <col min="17" max="17" width="15.7109375" customWidth="1"/>
    <col min="19" max="19" width="13.28515625" customWidth="1"/>
    <col min="20" max="20" width="12.140625" customWidth="1"/>
    <col min="21" max="21" width="11.5703125" bestFit="1" customWidth="1"/>
  </cols>
  <sheetData>
    <row r="1" spans="1:18" s="42" customFormat="1">
      <c r="A1" s="4" t="s">
        <v>0</v>
      </c>
      <c r="B1" s="4" t="s">
        <v>1</v>
      </c>
      <c r="C1" s="4" t="s">
        <v>2</v>
      </c>
      <c r="D1" s="8" t="s">
        <v>532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8" t="s">
        <v>545</v>
      </c>
      <c r="R1" s="16" t="s">
        <v>339</v>
      </c>
    </row>
    <row r="2" spans="1:18" s="29" customFormat="1">
      <c r="A2" s="1" t="s">
        <v>629</v>
      </c>
      <c r="B2" s="1" t="s">
        <v>631</v>
      </c>
      <c r="C2" s="1" t="s">
        <v>630</v>
      </c>
      <c r="D2" s="6">
        <v>1860024</v>
      </c>
      <c r="E2" s="30">
        <v>214091</v>
      </c>
      <c r="F2" s="30">
        <v>193634</v>
      </c>
      <c r="G2" s="30">
        <v>195859</v>
      </c>
      <c r="H2" s="30">
        <v>157756</v>
      </c>
      <c r="I2" s="30">
        <v>131675</v>
      </c>
      <c r="J2" s="30">
        <v>125243</v>
      </c>
      <c r="K2" s="30">
        <v>162546</v>
      </c>
      <c r="L2" s="30">
        <v>165928</v>
      </c>
      <c r="M2" s="30">
        <v>112256</v>
      </c>
      <c r="N2" s="30">
        <v>119544</v>
      </c>
      <c r="O2" s="30">
        <v>178710</v>
      </c>
      <c r="P2" s="30">
        <v>209547</v>
      </c>
      <c r="Q2" s="44">
        <f>SUM(E2:P2)</f>
        <v>1966789</v>
      </c>
      <c r="R2" s="46">
        <f t="shared" ref="R2:R51" si="0">Q2/D2-1</f>
        <v>5.7399796991866703E-2</v>
      </c>
    </row>
    <row r="3" spans="1:18">
      <c r="A3" s="1" t="s">
        <v>137</v>
      </c>
      <c r="B3" s="1" t="s">
        <v>138</v>
      </c>
      <c r="C3" s="1" t="s">
        <v>139</v>
      </c>
      <c r="D3" s="6">
        <f>'2014 pax'!Q2</f>
        <v>1370847</v>
      </c>
      <c r="E3" s="30">
        <v>129969</v>
      </c>
      <c r="F3" s="30">
        <v>98996</v>
      </c>
      <c r="G3" s="30">
        <v>106823</v>
      </c>
      <c r="H3" s="45">
        <v>100121</v>
      </c>
      <c r="I3" s="30">
        <v>99708</v>
      </c>
      <c r="J3" s="30">
        <v>99577</v>
      </c>
      <c r="K3" s="30">
        <v>111946</v>
      </c>
      <c r="L3" s="30">
        <v>97045</v>
      </c>
      <c r="M3" s="30">
        <v>104009</v>
      </c>
      <c r="N3" s="30">
        <v>105045</v>
      </c>
      <c r="O3" s="30">
        <v>100844</v>
      </c>
      <c r="P3" s="30">
        <v>125923</v>
      </c>
      <c r="Q3" s="44">
        <f>SUM(E3:P3)</f>
        <v>1280006</v>
      </c>
      <c r="R3" s="46">
        <f t="shared" si="0"/>
        <v>-6.6266330232330861E-2</v>
      </c>
    </row>
    <row r="4" spans="1:18">
      <c r="A4" s="1" t="s">
        <v>137</v>
      </c>
      <c r="B4" s="1" t="s">
        <v>172</v>
      </c>
      <c r="C4" s="1" t="s">
        <v>173</v>
      </c>
      <c r="D4" s="6">
        <f>'2014 pax'!Q3</f>
        <v>3888524</v>
      </c>
      <c r="E4" s="30">
        <v>355117</v>
      </c>
      <c r="F4" s="30">
        <v>266862</v>
      </c>
      <c r="G4" s="30">
        <v>286234</v>
      </c>
      <c r="H4" s="45">
        <v>305609</v>
      </c>
      <c r="I4" s="30">
        <v>309712</v>
      </c>
      <c r="J4" s="30">
        <v>303014</v>
      </c>
      <c r="K4" s="30">
        <v>379715</v>
      </c>
      <c r="L4" s="30">
        <v>310905</v>
      </c>
      <c r="M4" s="30">
        <v>297694</v>
      </c>
      <c r="N4" s="30">
        <v>306127</v>
      </c>
      <c r="O4" s="30">
        <v>277791</v>
      </c>
      <c r="P4" s="30">
        <v>311320</v>
      </c>
      <c r="Q4" s="44">
        <f>SUM(E4:P4)</f>
        <v>3710100</v>
      </c>
      <c r="R4" s="46">
        <f t="shared" si="0"/>
        <v>-4.5884762444567628E-2</v>
      </c>
    </row>
    <row r="5" spans="1:18">
      <c r="A5" s="1" t="s">
        <v>137</v>
      </c>
      <c r="B5" s="1" t="s">
        <v>184</v>
      </c>
      <c r="C5" s="1" t="s">
        <v>185</v>
      </c>
      <c r="D5" s="6">
        <f>'2014 pax'!Q4</f>
        <v>350233</v>
      </c>
      <c r="E5" s="30">
        <v>30830</v>
      </c>
      <c r="F5" s="30">
        <v>27262</v>
      </c>
      <c r="G5" s="30">
        <v>29472</v>
      </c>
      <c r="H5" s="45">
        <v>28077</v>
      </c>
      <c r="I5" s="30">
        <v>28295</v>
      </c>
      <c r="J5" s="30">
        <v>27175</v>
      </c>
      <c r="K5" s="30">
        <v>31364</v>
      </c>
      <c r="L5" s="30">
        <v>27432</v>
      </c>
      <c r="M5" s="30">
        <v>26515</v>
      </c>
      <c r="N5" s="30">
        <v>20572</v>
      </c>
      <c r="O5" s="30">
        <v>27484</v>
      </c>
      <c r="P5" s="30">
        <v>29234</v>
      </c>
      <c r="Q5" s="44">
        <f>SUM(E5:P5)</f>
        <v>333712</v>
      </c>
      <c r="R5" s="46">
        <f t="shared" si="0"/>
        <v>-4.7171454431763959E-2</v>
      </c>
    </row>
    <row r="6" spans="1:18">
      <c r="A6" s="1" t="s">
        <v>137</v>
      </c>
      <c r="B6" s="1" t="s">
        <v>146</v>
      </c>
      <c r="C6" s="1" t="s">
        <v>147</v>
      </c>
      <c r="D6" s="6">
        <f>'2014 pax'!Q5</f>
        <v>18130589</v>
      </c>
      <c r="E6" s="45">
        <v>1788582</v>
      </c>
      <c r="F6" s="45">
        <v>1376678</v>
      </c>
      <c r="G6" s="45">
        <v>1533274</v>
      </c>
      <c r="H6" s="45">
        <v>1554055</v>
      </c>
      <c r="I6" s="45">
        <v>1528958</v>
      </c>
      <c r="J6" s="45">
        <v>1516497</v>
      </c>
      <c r="K6" s="45">
        <v>1853970</v>
      </c>
      <c r="L6" s="45">
        <v>1638641</v>
      </c>
      <c r="M6" s="45">
        <v>1620555</v>
      </c>
      <c r="N6" s="45">
        <v>1692848</v>
      </c>
      <c r="O6" s="45">
        <v>1612543</v>
      </c>
      <c r="P6" s="30"/>
      <c r="Q6" s="44">
        <f>SUM(E6:P6)</f>
        <v>17716601</v>
      </c>
      <c r="R6" s="46"/>
    </row>
    <row r="7" spans="1:18">
      <c r="A7" s="1" t="s">
        <v>137</v>
      </c>
      <c r="B7" s="1" t="s">
        <v>162</v>
      </c>
      <c r="C7" s="1" t="s">
        <v>163</v>
      </c>
      <c r="D7" s="6">
        <f>'2014 pax'!Q6</f>
        <v>177774</v>
      </c>
      <c r="E7" s="30">
        <v>16986</v>
      </c>
      <c r="F7" s="30">
        <v>11613</v>
      </c>
      <c r="G7" s="30">
        <v>10847</v>
      </c>
      <c r="H7" s="45">
        <v>8405</v>
      </c>
      <c r="I7" s="30">
        <v>8814</v>
      </c>
      <c r="J7" s="30">
        <v>9959</v>
      </c>
      <c r="K7" s="30">
        <v>9181</v>
      </c>
      <c r="L7" s="30">
        <v>7428</v>
      </c>
      <c r="M7" s="58">
        <v>7118</v>
      </c>
      <c r="N7" s="30">
        <v>6982</v>
      </c>
      <c r="O7" s="30">
        <v>7576</v>
      </c>
      <c r="P7" s="30">
        <v>12237</v>
      </c>
      <c r="Q7" s="44">
        <f t="shared" ref="Q7:Q67" si="1">SUM(E7:P7)</f>
        <v>117146</v>
      </c>
      <c r="R7" s="46">
        <f t="shared" si="0"/>
        <v>-0.34103974709462581</v>
      </c>
    </row>
    <row r="8" spans="1:18">
      <c r="A8" s="1" t="s">
        <v>137</v>
      </c>
      <c r="B8" s="3" t="s">
        <v>214</v>
      </c>
      <c r="C8" s="3" t="s">
        <v>215</v>
      </c>
      <c r="D8" s="6">
        <f>'2014 pax'!Q7</f>
        <v>9846853</v>
      </c>
      <c r="E8" s="57">
        <v>978371</v>
      </c>
      <c r="F8" s="57">
        <v>839237</v>
      </c>
      <c r="G8" s="57">
        <v>888739</v>
      </c>
      <c r="H8" s="57">
        <v>847928</v>
      </c>
      <c r="I8" s="57">
        <v>828069</v>
      </c>
      <c r="J8" s="57">
        <v>787936</v>
      </c>
      <c r="K8" s="57">
        <v>955684</v>
      </c>
      <c r="L8" s="57">
        <v>850429</v>
      </c>
      <c r="M8" s="57">
        <v>845825</v>
      </c>
      <c r="N8" s="57">
        <v>845223</v>
      </c>
      <c r="O8" s="30"/>
      <c r="P8" s="30"/>
      <c r="Q8" s="44">
        <f t="shared" si="1"/>
        <v>8667441</v>
      </c>
      <c r="R8" s="46"/>
    </row>
    <row r="9" spans="1:18">
      <c r="A9" s="1" t="s">
        <v>137</v>
      </c>
      <c r="B9" s="3" t="s">
        <v>216</v>
      </c>
      <c r="C9" s="3" t="s">
        <v>217</v>
      </c>
      <c r="D9" s="6">
        <f>'2014 pax'!Q8</f>
        <v>185538</v>
      </c>
      <c r="E9" s="30">
        <v>13335</v>
      </c>
      <c r="F9" s="30">
        <v>12533</v>
      </c>
      <c r="G9" s="30">
        <v>12997</v>
      </c>
      <c r="H9" s="45">
        <v>13101</v>
      </c>
      <c r="I9" s="30">
        <v>12276</v>
      </c>
      <c r="J9" s="30">
        <v>12121</v>
      </c>
      <c r="K9" s="30">
        <v>11080</v>
      </c>
      <c r="L9" s="30">
        <v>14481</v>
      </c>
      <c r="M9" s="30">
        <v>11925</v>
      </c>
      <c r="N9" s="30">
        <v>14332</v>
      </c>
      <c r="O9" s="30">
        <v>11357</v>
      </c>
      <c r="P9" s="30">
        <v>12002</v>
      </c>
      <c r="Q9" s="44">
        <f t="shared" si="1"/>
        <v>151540</v>
      </c>
      <c r="R9" s="46">
        <f t="shared" si="0"/>
        <v>-0.18324009097866745</v>
      </c>
    </row>
    <row r="10" spans="1:18">
      <c r="A10" s="1" t="s">
        <v>137</v>
      </c>
      <c r="B10" s="1" t="s">
        <v>148</v>
      </c>
      <c r="C10" s="1" t="s">
        <v>149</v>
      </c>
      <c r="D10" s="6">
        <f>'2014 pax'!Q9</f>
        <v>1573625</v>
      </c>
      <c r="E10" s="30">
        <v>145971</v>
      </c>
      <c r="F10" s="30">
        <v>118194</v>
      </c>
      <c r="G10" s="30">
        <v>124738</v>
      </c>
      <c r="H10" s="45">
        <v>133288</v>
      </c>
      <c r="I10" s="30">
        <v>126483</v>
      </c>
      <c r="J10" s="30">
        <v>119432</v>
      </c>
      <c r="K10" s="30">
        <v>146650</v>
      </c>
      <c r="L10" s="30">
        <v>122900</v>
      </c>
      <c r="M10" s="30">
        <v>123150</v>
      </c>
      <c r="N10" s="30">
        <v>127705</v>
      </c>
      <c r="O10" s="30">
        <v>121149</v>
      </c>
      <c r="P10" s="30">
        <v>137651</v>
      </c>
      <c r="Q10" s="44">
        <f t="shared" si="1"/>
        <v>1547311</v>
      </c>
      <c r="R10" s="46">
        <f t="shared" si="0"/>
        <v>-1.6721900071490992E-2</v>
      </c>
    </row>
    <row r="11" spans="1:18">
      <c r="A11" s="1" t="s">
        <v>137</v>
      </c>
      <c r="B11" s="7" t="s">
        <v>204</v>
      </c>
      <c r="C11" s="7" t="s">
        <v>205</v>
      </c>
      <c r="D11" s="6">
        <f>'2014 pax'!Q10</f>
        <v>10804652</v>
      </c>
      <c r="E11" s="30">
        <v>1113768</v>
      </c>
      <c r="F11" s="30">
        <v>833485</v>
      </c>
      <c r="G11" s="30">
        <v>908834</v>
      </c>
      <c r="H11" s="45">
        <v>946270</v>
      </c>
      <c r="I11" s="30">
        <v>922121</v>
      </c>
      <c r="J11" s="30">
        <v>877373</v>
      </c>
      <c r="K11" s="56">
        <v>1070510</v>
      </c>
      <c r="L11" s="56">
        <v>904476</v>
      </c>
      <c r="M11" s="56">
        <v>910869</v>
      </c>
      <c r="N11" s="56">
        <v>954112</v>
      </c>
      <c r="O11" s="56">
        <v>885020</v>
      </c>
      <c r="P11" s="30"/>
      <c r="Q11" s="44">
        <f t="shared" si="1"/>
        <v>10326838</v>
      </c>
      <c r="R11" s="46"/>
    </row>
    <row r="12" spans="1:18">
      <c r="A12" s="1" t="s">
        <v>137</v>
      </c>
      <c r="B12" s="3" t="s">
        <v>220</v>
      </c>
      <c r="C12" s="3" t="s">
        <v>221</v>
      </c>
      <c r="D12" s="6">
        <f>'2014 pax'!Q11</f>
        <v>18133866</v>
      </c>
      <c r="E12" s="30">
        <v>1743274</v>
      </c>
      <c r="F12" s="30">
        <v>1387293</v>
      </c>
      <c r="G12" s="30">
        <v>1586989</v>
      </c>
      <c r="H12" s="45">
        <v>1631013</v>
      </c>
      <c r="I12" s="30">
        <v>1577983</v>
      </c>
      <c r="J12" s="30">
        <v>1490306</v>
      </c>
      <c r="K12" s="30">
        <v>1735497</v>
      </c>
      <c r="L12" s="30">
        <v>1555828</v>
      </c>
      <c r="M12" s="30">
        <v>1546413</v>
      </c>
      <c r="N12" s="30">
        <v>1607389</v>
      </c>
      <c r="O12" s="30">
        <v>1632200</v>
      </c>
      <c r="P12" s="30">
        <v>1735633</v>
      </c>
      <c r="Q12" s="44">
        <f t="shared" si="1"/>
        <v>19229818</v>
      </c>
      <c r="R12" s="46">
        <f t="shared" si="0"/>
        <v>6.0436754082113575E-2</v>
      </c>
    </row>
    <row r="13" spans="1:18">
      <c r="A13" s="1" t="s">
        <v>137</v>
      </c>
      <c r="B13" s="1" t="s">
        <v>186</v>
      </c>
      <c r="C13" s="1" t="s">
        <v>187</v>
      </c>
      <c r="D13" s="6">
        <f>'2014 pax'!Q12</f>
        <v>74719</v>
      </c>
      <c r="E13" s="30">
        <v>5368</v>
      </c>
      <c r="F13" s="30">
        <v>4897</v>
      </c>
      <c r="G13" s="30">
        <v>3053</v>
      </c>
      <c r="H13" s="45">
        <v>6535</v>
      </c>
      <c r="I13" s="30">
        <v>7020</v>
      </c>
      <c r="J13" s="30">
        <v>6905</v>
      </c>
      <c r="K13" s="30">
        <v>7576</v>
      </c>
      <c r="L13" s="30">
        <v>8787</v>
      </c>
      <c r="M13" s="30">
        <v>7672</v>
      </c>
      <c r="N13" s="30">
        <v>6413</v>
      </c>
      <c r="O13" s="30">
        <v>5891</v>
      </c>
      <c r="P13" s="30">
        <v>7084</v>
      </c>
      <c r="Q13" s="44">
        <f t="shared" si="1"/>
        <v>77201</v>
      </c>
      <c r="R13" s="46">
        <f t="shared" si="0"/>
        <v>3.3217789317308899E-2</v>
      </c>
    </row>
    <row r="14" spans="1:18">
      <c r="A14" s="1" t="s">
        <v>137</v>
      </c>
      <c r="B14" s="1" t="s">
        <v>150</v>
      </c>
      <c r="C14" s="1" t="s">
        <v>151</v>
      </c>
      <c r="D14" s="6">
        <f>'2014 pax'!Q13</f>
        <v>3294801</v>
      </c>
      <c r="E14" s="30">
        <v>297830</v>
      </c>
      <c r="F14" s="30">
        <v>246307</v>
      </c>
      <c r="G14" s="30">
        <v>262106</v>
      </c>
      <c r="H14" s="45">
        <v>282594</v>
      </c>
      <c r="I14" s="30">
        <v>279529</v>
      </c>
      <c r="J14" s="30">
        <v>264016</v>
      </c>
      <c r="K14" s="30">
        <v>311232</v>
      </c>
      <c r="L14" s="30">
        <v>284315</v>
      </c>
      <c r="M14" s="30">
        <v>272933</v>
      </c>
      <c r="N14" s="30">
        <v>267331</v>
      </c>
      <c r="O14" s="30">
        <v>250672</v>
      </c>
      <c r="P14" s="30">
        <v>284949</v>
      </c>
      <c r="Q14" s="44">
        <f t="shared" si="1"/>
        <v>3303814</v>
      </c>
      <c r="R14" s="46">
        <f t="shared" si="0"/>
        <v>2.7355218114841762E-3</v>
      </c>
    </row>
    <row r="15" spans="1:18">
      <c r="A15" s="1" t="s">
        <v>137</v>
      </c>
      <c r="B15" s="3" t="s">
        <v>222</v>
      </c>
      <c r="C15" s="3" t="s">
        <v>223</v>
      </c>
      <c r="D15" s="6">
        <f>'2014 pax'!Q14</f>
        <v>7376486</v>
      </c>
      <c r="E15" s="30">
        <v>647774</v>
      </c>
      <c r="F15" s="30">
        <v>544125</v>
      </c>
      <c r="G15" s="30">
        <v>625380</v>
      </c>
      <c r="H15" s="45">
        <v>619671</v>
      </c>
      <c r="I15" s="30">
        <v>608735</v>
      </c>
      <c r="J15" s="30">
        <v>566146</v>
      </c>
      <c r="K15" s="30">
        <v>649854</v>
      </c>
      <c r="L15" s="30">
        <v>567154</v>
      </c>
      <c r="M15" s="30">
        <v>609509</v>
      </c>
      <c r="N15" s="30">
        <v>641739</v>
      </c>
      <c r="O15" s="30">
        <v>599101</v>
      </c>
      <c r="P15" s="30">
        <v>594135</v>
      </c>
      <c r="Q15" s="44">
        <f t="shared" si="1"/>
        <v>7273323</v>
      </c>
      <c r="R15" s="46">
        <f t="shared" si="0"/>
        <v>-1.3985385453181953E-2</v>
      </c>
    </row>
    <row r="16" spans="1:18">
      <c r="A16" s="1" t="s">
        <v>137</v>
      </c>
      <c r="B16" s="3" t="s">
        <v>226</v>
      </c>
      <c r="C16" s="3" t="s">
        <v>227</v>
      </c>
      <c r="D16" s="6">
        <f>'2014 pax'!Q15</f>
        <v>3629065</v>
      </c>
      <c r="E16" s="30">
        <v>392742</v>
      </c>
      <c r="F16" s="30">
        <v>303380</v>
      </c>
      <c r="G16" s="30">
        <v>302840</v>
      </c>
      <c r="H16" s="45">
        <v>298324</v>
      </c>
      <c r="I16" s="30">
        <v>279116</v>
      </c>
      <c r="J16" s="30">
        <v>260781</v>
      </c>
      <c r="K16" s="30">
        <v>314191</v>
      </c>
      <c r="L16" s="30">
        <v>278989</v>
      </c>
      <c r="M16" s="30">
        <v>300443</v>
      </c>
      <c r="N16" s="30">
        <v>282835</v>
      </c>
      <c r="O16" s="30">
        <v>298269</v>
      </c>
      <c r="P16" s="30">
        <v>339717</v>
      </c>
      <c r="Q16" s="44">
        <f t="shared" si="1"/>
        <v>3651627</v>
      </c>
      <c r="R16" s="46">
        <f t="shared" si="0"/>
        <v>6.2170283530331716E-3</v>
      </c>
    </row>
    <row r="17" spans="1:18">
      <c r="A17" s="1" t="s">
        <v>137</v>
      </c>
      <c r="B17" s="1" t="s">
        <v>156</v>
      </c>
      <c r="C17" s="1" t="s">
        <v>157</v>
      </c>
      <c r="D17" s="6">
        <f>'2014 pax'!Q16</f>
        <v>6501249</v>
      </c>
      <c r="E17" s="30">
        <v>692074</v>
      </c>
      <c r="F17" s="30">
        <v>481857</v>
      </c>
      <c r="G17" s="30">
        <v>482417</v>
      </c>
      <c r="H17" s="45">
        <v>493483</v>
      </c>
      <c r="I17" s="30">
        <v>496860</v>
      </c>
      <c r="J17" s="30">
        <v>492446</v>
      </c>
      <c r="K17" s="30">
        <v>616129</v>
      </c>
      <c r="L17" s="30">
        <v>523323</v>
      </c>
      <c r="M17" s="30">
        <v>486345</v>
      </c>
      <c r="N17" s="30">
        <v>490926</v>
      </c>
      <c r="O17" s="30">
        <v>491134</v>
      </c>
      <c r="P17" s="30">
        <v>587450</v>
      </c>
      <c r="Q17" s="44">
        <f t="shared" si="1"/>
        <v>6334444</v>
      </c>
      <c r="R17" s="46">
        <f t="shared" si="0"/>
        <v>-2.5657377528533365E-2</v>
      </c>
    </row>
    <row r="18" spans="1:18">
      <c r="A18" s="1" t="s">
        <v>137</v>
      </c>
      <c r="B18" s="3" t="s">
        <v>224</v>
      </c>
      <c r="C18" s="3" t="s">
        <v>225</v>
      </c>
      <c r="D18" s="6">
        <f>'2014 pax'!Q17</f>
        <v>1880739</v>
      </c>
      <c r="E18" s="30">
        <v>202513</v>
      </c>
      <c r="F18" s="30">
        <v>159359</v>
      </c>
      <c r="G18" s="30">
        <v>173733</v>
      </c>
      <c r="H18" s="45">
        <v>164031</v>
      </c>
      <c r="I18" s="30">
        <v>161297</v>
      </c>
      <c r="J18" s="30">
        <v>154771</v>
      </c>
      <c r="K18" s="30">
        <v>196559</v>
      </c>
      <c r="L18" s="30">
        <v>180427</v>
      </c>
      <c r="M18" s="30">
        <v>164260</v>
      </c>
      <c r="N18" s="30">
        <v>173785</v>
      </c>
      <c r="O18" s="30">
        <v>160167</v>
      </c>
      <c r="P18" s="30">
        <v>164772</v>
      </c>
      <c r="Q18" s="44">
        <f t="shared" si="1"/>
        <v>2055674</v>
      </c>
      <c r="R18" s="46">
        <f t="shared" si="0"/>
        <v>9.3013969508794148E-2</v>
      </c>
    </row>
    <row r="19" spans="1:18">
      <c r="A19" s="1" t="s">
        <v>137</v>
      </c>
      <c r="B19" s="7" t="s">
        <v>560</v>
      </c>
      <c r="C19" s="7" t="s">
        <v>195</v>
      </c>
      <c r="D19" s="6">
        <f>'2014 pax'!Q18</f>
        <v>17317427</v>
      </c>
      <c r="E19" s="57">
        <v>1784148</v>
      </c>
      <c r="F19" s="57">
        <v>1432489</v>
      </c>
      <c r="G19" s="57">
        <v>1381809</v>
      </c>
      <c r="H19" s="57">
        <v>1382054</v>
      </c>
      <c r="I19" s="57">
        <v>1376290</v>
      </c>
      <c r="J19" s="57">
        <v>1310741</v>
      </c>
      <c r="K19" s="57">
        <v>1561383</v>
      </c>
      <c r="L19" s="57">
        <v>1391351</v>
      </c>
      <c r="M19" s="57">
        <v>1305197</v>
      </c>
      <c r="N19" s="57">
        <v>1331180</v>
      </c>
      <c r="O19" s="30">
        <v>1249201</v>
      </c>
      <c r="P19" s="30"/>
      <c r="Q19" s="44">
        <f t="shared" si="1"/>
        <v>15505843</v>
      </c>
      <c r="R19" s="46"/>
    </row>
    <row r="20" spans="1:18">
      <c r="A20" s="1" t="s">
        <v>137</v>
      </c>
      <c r="B20" s="7" t="s">
        <v>152</v>
      </c>
      <c r="C20" s="7" t="s">
        <v>153</v>
      </c>
      <c r="D20" s="6">
        <f>'2014 pax'!Q19</f>
        <v>3362604</v>
      </c>
      <c r="E20" s="30">
        <v>299938</v>
      </c>
      <c r="F20" s="30">
        <v>229722</v>
      </c>
      <c r="G20" s="30">
        <v>264777</v>
      </c>
      <c r="H20" s="45">
        <v>279622</v>
      </c>
      <c r="I20" s="30">
        <v>275609</v>
      </c>
      <c r="J20" s="30">
        <v>275610</v>
      </c>
      <c r="K20" s="30">
        <v>315747</v>
      </c>
      <c r="L20" s="30">
        <v>280108</v>
      </c>
      <c r="M20" s="30">
        <v>267151</v>
      </c>
      <c r="N20" s="30">
        <v>263649</v>
      </c>
      <c r="O20" s="30">
        <v>262281</v>
      </c>
      <c r="P20" s="30">
        <v>287686</v>
      </c>
      <c r="Q20" s="44">
        <f t="shared" si="1"/>
        <v>3301900</v>
      </c>
      <c r="R20" s="46">
        <f t="shared" si="0"/>
        <v>-1.8052675842888388E-2</v>
      </c>
    </row>
    <row r="21" spans="1:18">
      <c r="A21" s="1" t="s">
        <v>137</v>
      </c>
      <c r="B21" s="3" t="s">
        <v>212</v>
      </c>
      <c r="C21" s="3" t="s">
        <v>213</v>
      </c>
      <c r="D21" s="6">
        <f>'2014 pax'!Q20</f>
        <v>39537000</v>
      </c>
      <c r="E21" s="57">
        <v>3805000</v>
      </c>
      <c r="F21" s="57">
        <v>2995000</v>
      </c>
      <c r="G21" s="57">
        <v>3100000</v>
      </c>
      <c r="H21" s="57">
        <v>3076000</v>
      </c>
      <c r="I21" s="57">
        <v>3094000</v>
      </c>
      <c r="J21" s="57">
        <v>3017000</v>
      </c>
      <c r="K21" s="57">
        <v>3617000</v>
      </c>
      <c r="L21" s="57">
        <v>3304000</v>
      </c>
      <c r="M21" s="57">
        <v>3161000</v>
      </c>
      <c r="N21" s="57">
        <v>3274000</v>
      </c>
      <c r="O21" s="30">
        <v>3079000</v>
      </c>
      <c r="P21" s="30">
        <v>3463000</v>
      </c>
      <c r="Q21" s="44">
        <f t="shared" si="1"/>
        <v>38985000</v>
      </c>
      <c r="R21" s="46">
        <f t="shared" si="0"/>
        <v>-1.3961605584642212E-2</v>
      </c>
    </row>
    <row r="22" spans="1:18">
      <c r="A22" s="1" t="s">
        <v>137</v>
      </c>
      <c r="B22" s="1" t="s">
        <v>140</v>
      </c>
      <c r="C22" s="1" t="s">
        <v>141</v>
      </c>
      <c r="D22" s="6">
        <f>'2014 pax'!Q21</f>
        <v>561963</v>
      </c>
      <c r="E22" s="30">
        <v>62985</v>
      </c>
      <c r="F22" s="30">
        <v>44242</v>
      </c>
      <c r="G22" s="30">
        <v>48129</v>
      </c>
      <c r="H22" s="45">
        <v>47574</v>
      </c>
      <c r="I22" s="30">
        <v>47114</v>
      </c>
      <c r="J22" s="30">
        <v>44809</v>
      </c>
      <c r="K22" s="30">
        <v>55087</v>
      </c>
      <c r="L22" s="30">
        <v>50161</v>
      </c>
      <c r="M22" s="30">
        <v>49020</v>
      </c>
      <c r="N22" s="30">
        <v>53366</v>
      </c>
      <c r="O22" s="30">
        <v>50714</v>
      </c>
      <c r="P22" s="30">
        <v>62700</v>
      </c>
      <c r="Q22" s="44">
        <f t="shared" si="1"/>
        <v>615901</v>
      </c>
      <c r="R22" s="46">
        <f t="shared" si="0"/>
        <v>9.5981408028642523E-2</v>
      </c>
    </row>
    <row r="23" spans="1:18">
      <c r="A23" s="1" t="s">
        <v>137</v>
      </c>
      <c r="B23" s="1" t="s">
        <v>174</v>
      </c>
      <c r="C23" s="1" t="s">
        <v>175</v>
      </c>
      <c r="D23" s="6">
        <f>'2014 pax'!Q22</f>
        <v>342657</v>
      </c>
      <c r="E23" s="30">
        <v>25702</v>
      </c>
      <c r="F23" s="30">
        <v>22183</v>
      </c>
      <c r="G23" s="30">
        <v>26146</v>
      </c>
      <c r="H23" s="45">
        <v>26884</v>
      </c>
      <c r="I23" s="30">
        <v>27835</v>
      </c>
      <c r="J23" s="30">
        <v>27395</v>
      </c>
      <c r="K23" s="30">
        <v>31993</v>
      </c>
      <c r="L23" s="30">
        <v>26804</v>
      </c>
      <c r="M23" s="30">
        <v>25870</v>
      </c>
      <c r="N23" s="30">
        <v>28181</v>
      </c>
      <c r="O23" s="30">
        <v>28614</v>
      </c>
      <c r="P23" s="30">
        <v>30867</v>
      </c>
      <c r="Q23" s="44">
        <f t="shared" si="1"/>
        <v>328474</v>
      </c>
      <c r="R23" s="46">
        <f t="shared" si="0"/>
        <v>-4.1391245472878091E-2</v>
      </c>
    </row>
    <row r="24" spans="1:18">
      <c r="A24" s="1" t="s">
        <v>137</v>
      </c>
      <c r="B24" s="7" t="s">
        <v>196</v>
      </c>
      <c r="C24" s="7" t="s">
        <v>197</v>
      </c>
      <c r="D24" s="6">
        <f>'2014 pax'!Q23</f>
        <v>171802</v>
      </c>
      <c r="E24" s="30">
        <v>23047</v>
      </c>
      <c r="F24" s="30">
        <v>16735</v>
      </c>
      <c r="G24" s="30">
        <v>17043</v>
      </c>
      <c r="H24" s="45">
        <v>15035</v>
      </c>
      <c r="I24" s="30">
        <v>15605</v>
      </c>
      <c r="J24" s="30">
        <v>15635</v>
      </c>
      <c r="K24" s="30">
        <v>15123</v>
      </c>
      <c r="L24" s="30">
        <v>17240</v>
      </c>
      <c r="M24" s="30">
        <v>16490</v>
      </c>
      <c r="N24" s="30">
        <v>16569</v>
      </c>
      <c r="O24" s="30">
        <v>15077</v>
      </c>
      <c r="P24" s="30">
        <v>17053</v>
      </c>
      <c r="Q24" s="44">
        <f t="shared" si="1"/>
        <v>200652</v>
      </c>
      <c r="R24" s="46">
        <f t="shared" si="0"/>
        <v>0.16792586815054533</v>
      </c>
    </row>
    <row r="25" spans="1:18">
      <c r="A25" s="1" t="s">
        <v>137</v>
      </c>
      <c r="B25" s="1" t="s">
        <v>158</v>
      </c>
      <c r="C25" s="1" t="s">
        <v>159</v>
      </c>
      <c r="D25" s="6">
        <f>'2014 pax'!Q24</f>
        <v>1326962</v>
      </c>
      <c r="E25" s="30">
        <v>145637</v>
      </c>
      <c r="F25" s="30">
        <v>114757</v>
      </c>
      <c r="G25" s="30">
        <v>117260</v>
      </c>
      <c r="H25" s="45">
        <v>121948</v>
      </c>
      <c r="I25" s="30">
        <v>112491</v>
      </c>
      <c r="J25" s="30">
        <v>119251</v>
      </c>
      <c r="K25" s="30">
        <v>121898</v>
      </c>
      <c r="L25" s="30">
        <v>101848</v>
      </c>
      <c r="M25" s="30">
        <v>102767</v>
      </c>
      <c r="N25" s="30">
        <v>110450</v>
      </c>
      <c r="O25" s="30">
        <v>77537</v>
      </c>
      <c r="P25" s="30">
        <v>135287</v>
      </c>
      <c r="Q25" s="44">
        <f t="shared" si="1"/>
        <v>1381131</v>
      </c>
      <c r="R25" s="46">
        <f t="shared" si="0"/>
        <v>4.0821817052786757E-2</v>
      </c>
    </row>
    <row r="26" spans="1:18">
      <c r="A26" s="1" t="s">
        <v>137</v>
      </c>
      <c r="B26" s="3" t="s">
        <v>228</v>
      </c>
      <c r="C26" s="3" t="s">
        <v>229</v>
      </c>
      <c r="D26" s="6">
        <f>'2014 pax'!Q25</f>
        <v>493239</v>
      </c>
      <c r="E26" s="30">
        <v>43320</v>
      </c>
      <c r="F26" s="30">
        <v>35791</v>
      </c>
      <c r="G26" s="30">
        <v>42384</v>
      </c>
      <c r="H26" s="45">
        <v>42944</v>
      </c>
      <c r="I26" s="30">
        <v>42659</v>
      </c>
      <c r="J26" s="30">
        <v>39012</v>
      </c>
      <c r="K26" s="30">
        <v>49146</v>
      </c>
      <c r="L26" s="30">
        <v>46644</v>
      </c>
      <c r="M26" s="30">
        <v>42029</v>
      </c>
      <c r="N26" s="30">
        <v>46149</v>
      </c>
      <c r="O26" s="30">
        <v>44127</v>
      </c>
      <c r="P26" s="30">
        <v>44267</v>
      </c>
      <c r="Q26" s="44">
        <f t="shared" si="1"/>
        <v>518472</v>
      </c>
      <c r="R26" s="46">
        <f t="shared" si="0"/>
        <v>5.1157755165345709E-2</v>
      </c>
    </row>
    <row r="27" spans="1:18">
      <c r="A27" s="1" t="s">
        <v>137</v>
      </c>
      <c r="B27" s="1" t="s">
        <v>160</v>
      </c>
      <c r="C27" s="1" t="s">
        <v>161</v>
      </c>
      <c r="D27" s="6">
        <f>'2014 pax'!Q26</f>
        <v>418895</v>
      </c>
      <c r="E27" s="30">
        <v>35472</v>
      </c>
      <c r="F27" s="30">
        <v>29399</v>
      </c>
      <c r="G27" s="30">
        <v>33761</v>
      </c>
      <c r="H27" s="45">
        <v>31712</v>
      </c>
      <c r="I27" s="30">
        <v>33245</v>
      </c>
      <c r="J27" s="30">
        <v>32380</v>
      </c>
      <c r="K27" s="30">
        <v>44192</v>
      </c>
      <c r="L27" s="30">
        <v>38629</v>
      </c>
      <c r="M27" s="30">
        <v>36873</v>
      </c>
      <c r="N27" s="30">
        <v>34774</v>
      </c>
      <c r="O27" s="30">
        <v>38881</v>
      </c>
      <c r="P27" s="30">
        <v>52136</v>
      </c>
      <c r="Q27" s="44">
        <f t="shared" si="1"/>
        <v>441454</v>
      </c>
      <c r="R27" s="46">
        <f t="shared" si="0"/>
        <v>5.3853590995356804E-2</v>
      </c>
    </row>
    <row r="28" spans="1:18">
      <c r="A28" s="1" t="s">
        <v>137</v>
      </c>
      <c r="B28" s="3" t="s">
        <v>230</v>
      </c>
      <c r="C28" s="3" t="s">
        <v>231</v>
      </c>
      <c r="D28" s="6">
        <f>'2014 pax'!Q27</f>
        <v>1131995</v>
      </c>
      <c r="E28" s="30">
        <v>96835</v>
      </c>
      <c r="F28" s="30">
        <v>77614</v>
      </c>
      <c r="G28" s="30">
        <v>90949</v>
      </c>
      <c r="H28" s="45">
        <v>91968</v>
      </c>
      <c r="I28" s="30">
        <v>91393</v>
      </c>
      <c r="J28" s="30">
        <v>86203</v>
      </c>
      <c r="K28" s="30">
        <v>90458</v>
      </c>
      <c r="L28" s="30">
        <v>81187</v>
      </c>
      <c r="M28" s="30">
        <v>85152</v>
      </c>
      <c r="N28" s="30">
        <v>85114</v>
      </c>
      <c r="O28" s="30">
        <v>87506</v>
      </c>
      <c r="P28" s="30">
        <v>91606</v>
      </c>
      <c r="Q28" s="44">
        <f t="shared" si="1"/>
        <v>1055985</v>
      </c>
      <c r="R28" s="46">
        <f t="shared" si="0"/>
        <v>-6.7146939694963326E-2</v>
      </c>
    </row>
    <row r="29" spans="1:18">
      <c r="A29" s="1" t="s">
        <v>137</v>
      </c>
      <c r="B29" s="1" t="s">
        <v>198</v>
      </c>
      <c r="C29" s="1" t="s">
        <v>199</v>
      </c>
      <c r="D29" s="6">
        <f>'2014 pax'!Q28</f>
        <v>450211</v>
      </c>
      <c r="E29" s="30">
        <v>37934</v>
      </c>
      <c r="F29" s="30">
        <v>32916</v>
      </c>
      <c r="G29" s="30">
        <v>39020</v>
      </c>
      <c r="H29" s="45">
        <v>33668</v>
      </c>
      <c r="I29" s="30">
        <v>36933</v>
      </c>
      <c r="J29" s="30">
        <v>37286</v>
      </c>
      <c r="K29" s="30">
        <v>39314</v>
      </c>
      <c r="L29" s="30">
        <v>39202</v>
      </c>
      <c r="M29" s="30">
        <v>35710</v>
      </c>
      <c r="N29" s="30">
        <v>37181</v>
      </c>
      <c r="O29" s="30">
        <v>36052</v>
      </c>
      <c r="P29" s="30">
        <v>35408</v>
      </c>
      <c r="Q29" s="44">
        <f t="shared" si="1"/>
        <v>440624</v>
      </c>
      <c r="R29" s="46">
        <f t="shared" si="0"/>
        <v>-2.1294459708892099E-2</v>
      </c>
    </row>
    <row r="30" spans="1:18">
      <c r="A30" s="1" t="s">
        <v>137</v>
      </c>
      <c r="B30" s="1" t="s">
        <v>178</v>
      </c>
      <c r="C30" s="1" t="s">
        <v>179</v>
      </c>
      <c r="D30" s="6">
        <f>'2014 pax'!Q29</f>
        <v>739973</v>
      </c>
      <c r="E30" s="30">
        <v>65852</v>
      </c>
      <c r="F30" s="30">
        <v>46610</v>
      </c>
      <c r="G30" s="30">
        <v>52107</v>
      </c>
      <c r="H30" s="45">
        <v>53709</v>
      </c>
      <c r="I30" s="30">
        <v>55604</v>
      </c>
      <c r="J30" s="30">
        <v>51648</v>
      </c>
      <c r="K30" s="30">
        <v>69092</v>
      </c>
      <c r="L30" s="30">
        <v>55556</v>
      </c>
      <c r="M30" s="30">
        <v>53588</v>
      </c>
      <c r="N30" s="30">
        <v>50973</v>
      </c>
      <c r="O30" s="30">
        <v>50679</v>
      </c>
      <c r="P30" s="30">
        <v>54474</v>
      </c>
      <c r="Q30" s="44">
        <f t="shared" si="1"/>
        <v>659892</v>
      </c>
      <c r="R30" s="46">
        <f t="shared" si="0"/>
        <v>-0.10822151619045561</v>
      </c>
    </row>
    <row r="31" spans="1:18">
      <c r="A31" s="1" t="s">
        <v>137</v>
      </c>
      <c r="B31" s="1" t="s">
        <v>142</v>
      </c>
      <c r="C31" s="1" t="s">
        <v>143</v>
      </c>
      <c r="D31" s="6">
        <f>'2014 pax'!Q30</f>
        <v>1892745</v>
      </c>
      <c r="E31" s="30">
        <v>239377</v>
      </c>
      <c r="F31" s="30">
        <v>157082</v>
      </c>
      <c r="G31" s="30">
        <v>156544</v>
      </c>
      <c r="H31" s="45">
        <v>144022</v>
      </c>
      <c r="I31" s="30">
        <v>140995</v>
      </c>
      <c r="J31" s="30">
        <v>139526</v>
      </c>
      <c r="K31" s="30">
        <v>178667</v>
      </c>
      <c r="L31" s="30">
        <v>153899</v>
      </c>
      <c r="M31" s="30">
        <v>148880</v>
      </c>
      <c r="N31" s="30">
        <v>163700</v>
      </c>
      <c r="O31" s="30">
        <v>158089</v>
      </c>
      <c r="P31" s="30">
        <v>199685</v>
      </c>
      <c r="Q31" s="44">
        <f t="shared" si="1"/>
        <v>1980466</v>
      </c>
      <c r="R31" s="46">
        <f t="shared" si="0"/>
        <v>4.6345915588206443E-2</v>
      </c>
    </row>
    <row r="32" spans="1:18">
      <c r="A32" s="1" t="s">
        <v>137</v>
      </c>
      <c r="B32" s="1" t="s">
        <v>188</v>
      </c>
      <c r="C32" s="1" t="s">
        <v>189</v>
      </c>
      <c r="D32" s="6">
        <f>'2014 pax'!Q31</f>
        <v>3377835</v>
      </c>
      <c r="E32" s="30">
        <v>339555</v>
      </c>
      <c r="F32" s="30">
        <v>268079</v>
      </c>
      <c r="G32" s="30">
        <v>253932</v>
      </c>
      <c r="H32" s="45">
        <v>246623</v>
      </c>
      <c r="I32" s="30">
        <v>243598</v>
      </c>
      <c r="J32" s="30">
        <v>252946</v>
      </c>
      <c r="K32" s="30">
        <v>308641</v>
      </c>
      <c r="L32" s="30">
        <v>260535</v>
      </c>
      <c r="M32" s="30">
        <v>266374</v>
      </c>
      <c r="N32" s="30">
        <v>255104</v>
      </c>
      <c r="O32" s="30">
        <v>240084</v>
      </c>
      <c r="P32" s="30">
        <v>288741</v>
      </c>
      <c r="Q32" s="44">
        <f t="shared" si="1"/>
        <v>3224212</v>
      </c>
      <c r="R32" s="46">
        <f t="shared" si="0"/>
        <v>-4.5479722958640667E-2</v>
      </c>
    </row>
    <row r="33" spans="1:18">
      <c r="A33" s="1" t="s">
        <v>137</v>
      </c>
      <c r="B33" s="1" t="s">
        <v>176</v>
      </c>
      <c r="C33" s="1" t="s">
        <v>177</v>
      </c>
      <c r="D33" s="6">
        <f>'2014 pax'!Q32</f>
        <v>452939</v>
      </c>
      <c r="E33" s="30">
        <v>37627</v>
      </c>
      <c r="F33" s="30">
        <v>30228</v>
      </c>
      <c r="G33" s="30">
        <v>31609</v>
      </c>
      <c r="H33" s="45">
        <v>31417</v>
      </c>
      <c r="I33" s="30">
        <v>32416</v>
      </c>
      <c r="J33" s="30">
        <v>33138</v>
      </c>
      <c r="K33" s="30">
        <v>43362</v>
      </c>
      <c r="L33" s="30">
        <v>31223</v>
      </c>
      <c r="M33" s="30">
        <v>31728</v>
      </c>
      <c r="N33" s="30">
        <v>29839</v>
      </c>
      <c r="O33" s="30">
        <v>27851</v>
      </c>
      <c r="P33" s="30">
        <v>32400</v>
      </c>
      <c r="Q33" s="44">
        <f t="shared" si="1"/>
        <v>392838</v>
      </c>
      <c r="R33" s="46">
        <f t="shared" si="0"/>
        <v>-0.13269115708737822</v>
      </c>
    </row>
    <row r="34" spans="1:18">
      <c r="A34" s="1" t="s">
        <v>137</v>
      </c>
      <c r="B34" s="3" t="s">
        <v>206</v>
      </c>
      <c r="C34" s="3" t="s">
        <v>207</v>
      </c>
      <c r="D34" s="6">
        <f>'2014 pax'!Q33</f>
        <v>355473</v>
      </c>
      <c r="E34" s="30">
        <v>33763</v>
      </c>
      <c r="F34" s="30">
        <v>31251</v>
      </c>
      <c r="G34" s="30">
        <v>36025</v>
      </c>
      <c r="H34" s="45">
        <v>36925</v>
      </c>
      <c r="I34" s="30">
        <v>29701</v>
      </c>
      <c r="J34" s="30">
        <v>30807</v>
      </c>
      <c r="K34" s="30">
        <v>34630</v>
      </c>
      <c r="L34" s="30">
        <v>28003</v>
      </c>
      <c r="M34" s="30">
        <v>28429</v>
      </c>
      <c r="N34" s="30">
        <v>30264</v>
      </c>
      <c r="O34" s="30">
        <v>26497</v>
      </c>
      <c r="P34" s="30">
        <v>26772</v>
      </c>
      <c r="Q34" s="44">
        <f t="shared" si="1"/>
        <v>373067</v>
      </c>
      <c r="R34" s="46">
        <f t="shared" si="0"/>
        <v>4.9494617031391908E-2</v>
      </c>
    </row>
    <row r="35" spans="1:18">
      <c r="A35" s="1" t="s">
        <v>137</v>
      </c>
      <c r="B35" s="1" t="s">
        <v>164</v>
      </c>
      <c r="C35" s="1" t="s">
        <v>165</v>
      </c>
      <c r="D35" s="6">
        <f>'2014 pax'!Q34</f>
        <v>2516871</v>
      </c>
      <c r="E35" s="57">
        <v>306898</v>
      </c>
      <c r="F35" s="57">
        <v>214574</v>
      </c>
      <c r="G35" s="57">
        <v>216431</v>
      </c>
      <c r="H35" s="57">
        <v>194648</v>
      </c>
      <c r="I35" s="57">
        <v>178943</v>
      </c>
      <c r="J35" s="57">
        <v>183827</v>
      </c>
      <c r="K35" s="57">
        <v>248570</v>
      </c>
      <c r="L35" s="57">
        <v>206395</v>
      </c>
      <c r="M35" s="57">
        <v>185023</v>
      </c>
      <c r="N35" s="57">
        <v>204390</v>
      </c>
      <c r="O35" s="57">
        <v>194144</v>
      </c>
      <c r="P35" s="30"/>
      <c r="Q35" s="44">
        <f t="shared" si="1"/>
        <v>2333843</v>
      </c>
      <c r="R35" s="46"/>
    </row>
    <row r="36" spans="1:18">
      <c r="A36" s="1" t="s">
        <v>137</v>
      </c>
      <c r="B36" s="3" t="s">
        <v>232</v>
      </c>
      <c r="C36" s="3" t="s">
        <v>233</v>
      </c>
      <c r="D36" s="6">
        <f>'2014 pax'!Q35</f>
        <v>1351554</v>
      </c>
      <c r="E36" s="30">
        <v>135620</v>
      </c>
      <c r="F36" s="30">
        <v>101476</v>
      </c>
      <c r="G36" s="30">
        <v>125106</v>
      </c>
      <c r="H36" s="45">
        <v>121816</v>
      </c>
      <c r="I36" s="30">
        <v>112040</v>
      </c>
      <c r="J36" s="30">
        <v>110394</v>
      </c>
      <c r="K36" s="30">
        <v>133668</v>
      </c>
      <c r="L36" s="30">
        <v>107078</v>
      </c>
      <c r="M36" s="30">
        <v>120621</v>
      </c>
      <c r="N36" s="30">
        <v>130741</v>
      </c>
      <c r="O36" s="30">
        <v>130042</v>
      </c>
      <c r="P36" s="30">
        <v>144953</v>
      </c>
      <c r="Q36" s="44">
        <f t="shared" si="1"/>
        <v>1473555</v>
      </c>
      <c r="R36" s="46">
        <f t="shared" si="0"/>
        <v>9.0267203530158602E-2</v>
      </c>
    </row>
    <row r="37" spans="1:18">
      <c r="A37" s="1" t="s">
        <v>137</v>
      </c>
      <c r="B37" s="1" t="s">
        <v>154</v>
      </c>
      <c r="C37" s="1" t="s">
        <v>155</v>
      </c>
      <c r="D37" s="6">
        <f>'2014 pax'!Q36</f>
        <v>634133</v>
      </c>
      <c r="E37" s="30">
        <v>54119</v>
      </c>
      <c r="F37" s="30">
        <v>43397</v>
      </c>
      <c r="G37" s="30">
        <v>49475</v>
      </c>
      <c r="H37" s="45">
        <v>52876</v>
      </c>
      <c r="I37" s="30">
        <v>54052</v>
      </c>
      <c r="J37" s="30">
        <v>51763</v>
      </c>
      <c r="K37" s="30">
        <v>59284</v>
      </c>
      <c r="L37" s="30">
        <v>50551</v>
      </c>
      <c r="M37" s="30">
        <v>51039</v>
      </c>
      <c r="N37" s="30">
        <v>57385</v>
      </c>
      <c r="O37" s="30">
        <v>53797</v>
      </c>
      <c r="P37" s="30">
        <v>60730</v>
      </c>
      <c r="Q37" s="44">
        <f t="shared" si="1"/>
        <v>638468</v>
      </c>
      <c r="R37" s="46">
        <f t="shared" si="0"/>
        <v>6.8361053596013299E-3</v>
      </c>
    </row>
    <row r="38" spans="1:18">
      <c r="A38" s="1" t="s">
        <v>137</v>
      </c>
      <c r="B38" s="7" t="s">
        <v>202</v>
      </c>
      <c r="C38" s="7" t="s">
        <v>203</v>
      </c>
      <c r="D38" s="6">
        <f>'2014 pax'!Q37</f>
        <v>943697</v>
      </c>
      <c r="E38" s="30"/>
      <c r="F38" s="30"/>
      <c r="G38" s="30"/>
      <c r="H38" s="45"/>
      <c r="I38" s="30"/>
      <c r="J38" s="30"/>
      <c r="K38" s="30"/>
      <c r="L38" s="30"/>
      <c r="M38" s="30"/>
      <c r="N38" s="30"/>
      <c r="O38" s="30"/>
      <c r="P38" s="30"/>
      <c r="Q38" s="44"/>
      <c r="R38" s="46"/>
    </row>
    <row r="39" spans="1:18">
      <c r="A39" s="1" t="s">
        <v>137</v>
      </c>
      <c r="B39" s="1" t="s">
        <v>166</v>
      </c>
      <c r="C39" s="1" t="s">
        <v>167</v>
      </c>
      <c r="D39" s="6">
        <f>'2014 pax'!Q38</f>
        <v>499115</v>
      </c>
      <c r="E39" s="30">
        <v>47689</v>
      </c>
      <c r="F39" s="30">
        <v>37963</v>
      </c>
      <c r="G39" s="30">
        <v>39305</v>
      </c>
      <c r="H39" s="45">
        <v>36335</v>
      </c>
      <c r="I39" s="30">
        <v>38080</v>
      </c>
      <c r="J39" s="30">
        <v>35685</v>
      </c>
      <c r="K39" s="30">
        <v>39388</v>
      </c>
      <c r="L39" s="30">
        <v>36900</v>
      </c>
      <c r="M39" s="30">
        <v>35118</v>
      </c>
      <c r="N39" s="30">
        <v>35446</v>
      </c>
      <c r="O39" s="30">
        <v>33822</v>
      </c>
      <c r="P39" s="30">
        <v>39522</v>
      </c>
      <c r="Q39" s="44">
        <f t="shared" si="1"/>
        <v>455253</v>
      </c>
      <c r="R39" s="46">
        <f t="shared" si="0"/>
        <v>-8.7879546797832164E-2</v>
      </c>
    </row>
    <row r="40" spans="1:18">
      <c r="A40" s="1" t="s">
        <v>137</v>
      </c>
      <c r="B40" s="3" t="s">
        <v>234</v>
      </c>
      <c r="C40" s="3" t="s">
        <v>235</v>
      </c>
      <c r="D40" s="6">
        <f>'2014 pax'!Q39</f>
        <v>8447380</v>
      </c>
      <c r="E40" s="30">
        <v>773116</v>
      </c>
      <c r="F40" s="30">
        <v>647310</v>
      </c>
      <c r="G40" s="30">
        <v>677466</v>
      </c>
      <c r="H40" s="45">
        <v>682813</v>
      </c>
      <c r="I40" s="30">
        <v>693185</v>
      </c>
      <c r="J40" s="30">
        <v>657936</v>
      </c>
      <c r="K40" s="30">
        <v>764822</v>
      </c>
      <c r="L40" s="30">
        <v>682602</v>
      </c>
      <c r="M40" s="30">
        <v>674238</v>
      </c>
      <c r="N40" s="30">
        <v>682960</v>
      </c>
      <c r="O40" s="30">
        <v>694637</v>
      </c>
      <c r="P40" s="30">
        <v>718085</v>
      </c>
      <c r="Q40" s="44">
        <f t="shared" si="1"/>
        <v>8349170</v>
      </c>
      <c r="R40" s="46">
        <f t="shared" si="0"/>
        <v>-1.1626089982929577E-2</v>
      </c>
    </row>
    <row r="41" spans="1:18">
      <c r="A41" s="1" t="s">
        <v>137</v>
      </c>
      <c r="B41" s="1" t="s">
        <v>190</v>
      </c>
      <c r="C41" s="1" t="s">
        <v>191</v>
      </c>
      <c r="D41" s="6">
        <f>'2014 pax'!Q40</f>
        <v>892625</v>
      </c>
      <c r="E41" s="30">
        <v>90247</v>
      </c>
      <c r="F41" s="30">
        <v>54429</v>
      </c>
      <c r="G41" s="30">
        <v>70414</v>
      </c>
      <c r="H41" s="45">
        <v>72384</v>
      </c>
      <c r="I41" s="30">
        <v>73580</v>
      </c>
      <c r="J41" s="30">
        <v>71484</v>
      </c>
      <c r="K41" s="30">
        <v>88858</v>
      </c>
      <c r="L41" s="30">
        <v>78624</v>
      </c>
      <c r="M41" s="30">
        <v>78331</v>
      </c>
      <c r="N41" s="30">
        <v>79375</v>
      </c>
      <c r="O41" s="30">
        <v>76593</v>
      </c>
      <c r="P41" s="30">
        <v>91007</v>
      </c>
      <c r="Q41" s="44">
        <f t="shared" si="1"/>
        <v>925326</v>
      </c>
      <c r="R41" s="46">
        <f t="shared" si="0"/>
        <v>3.6634645007701971E-2</v>
      </c>
    </row>
    <row r="42" spans="1:18">
      <c r="A42" s="1" t="s">
        <v>137</v>
      </c>
      <c r="B42" s="1" t="s">
        <v>168</v>
      </c>
      <c r="C42" s="1" t="s">
        <v>169</v>
      </c>
      <c r="D42" s="6">
        <f>'2014 pax'!Q41</f>
        <v>7363756</v>
      </c>
      <c r="E42" s="30">
        <v>722746</v>
      </c>
      <c r="F42" s="30">
        <v>531702</v>
      </c>
      <c r="G42" s="30">
        <v>549047</v>
      </c>
      <c r="H42" s="45">
        <v>515704</v>
      </c>
      <c r="I42" s="30">
        <v>514848</v>
      </c>
      <c r="J42" s="30">
        <v>496597</v>
      </c>
      <c r="K42" s="30">
        <v>635273</v>
      </c>
      <c r="L42" s="30">
        <v>548839</v>
      </c>
      <c r="M42" s="30">
        <v>524508</v>
      </c>
      <c r="N42" s="30">
        <v>531099</v>
      </c>
      <c r="O42" s="30">
        <v>512005</v>
      </c>
      <c r="P42" s="30">
        <v>606671</v>
      </c>
      <c r="Q42" s="44">
        <f t="shared" si="1"/>
        <v>6689039</v>
      </c>
      <c r="R42" s="46">
        <f t="shared" si="0"/>
        <v>-9.1626745916078667E-2</v>
      </c>
    </row>
    <row r="43" spans="1:18">
      <c r="A43" s="1" t="s">
        <v>137</v>
      </c>
      <c r="B43" s="1" t="s">
        <v>192</v>
      </c>
      <c r="C43" s="1" t="s">
        <v>193</v>
      </c>
      <c r="D43" s="6">
        <f>'2014 pax'!Q42</f>
        <v>384820</v>
      </c>
      <c r="E43" s="30">
        <v>34738</v>
      </c>
      <c r="F43" s="30">
        <v>26895</v>
      </c>
      <c r="G43" s="30">
        <v>28255</v>
      </c>
      <c r="H43" s="45">
        <v>29097</v>
      </c>
      <c r="I43" s="30">
        <v>30328</v>
      </c>
      <c r="J43" s="30">
        <v>28392</v>
      </c>
      <c r="K43" s="30">
        <v>28394</v>
      </c>
      <c r="L43" s="30">
        <v>29429</v>
      </c>
      <c r="M43" s="30">
        <v>31106</v>
      </c>
      <c r="N43" s="30">
        <v>33590</v>
      </c>
      <c r="O43" s="30">
        <v>32380</v>
      </c>
      <c r="P43" s="30">
        <v>37390</v>
      </c>
      <c r="Q43" s="44">
        <f t="shared" si="1"/>
        <v>369994</v>
      </c>
      <c r="R43" s="46">
        <f t="shared" si="0"/>
        <v>-3.852710358089495E-2</v>
      </c>
    </row>
    <row r="44" spans="1:18">
      <c r="A44" s="1" t="s">
        <v>137</v>
      </c>
      <c r="B44" s="1" t="s">
        <v>144</v>
      </c>
      <c r="C44" s="1" t="s">
        <v>145</v>
      </c>
      <c r="D44" s="6">
        <f>'2014 pax'!Q43</f>
        <v>9050053</v>
      </c>
      <c r="E44" s="30">
        <v>966127</v>
      </c>
      <c r="F44" s="30">
        <v>791917</v>
      </c>
      <c r="G44" s="30">
        <v>710852</v>
      </c>
      <c r="H44" s="45">
        <v>754361</v>
      </c>
      <c r="I44" s="30">
        <v>724625</v>
      </c>
      <c r="J44" s="30">
        <v>733659</v>
      </c>
      <c r="K44" s="30">
        <v>812283</v>
      </c>
      <c r="L44" s="30">
        <v>643176</v>
      </c>
      <c r="M44" s="30">
        <v>657298</v>
      </c>
      <c r="N44" s="30">
        <v>600390</v>
      </c>
      <c r="O44" s="30">
        <v>629477</v>
      </c>
      <c r="P44" s="30">
        <v>810523</v>
      </c>
      <c r="Q44" s="44">
        <f t="shared" si="1"/>
        <v>8834688</v>
      </c>
      <c r="R44" s="46">
        <f t="shared" si="0"/>
        <v>-2.3797098204839218E-2</v>
      </c>
    </row>
    <row r="45" spans="1:18">
      <c r="A45" s="1" t="s">
        <v>137</v>
      </c>
      <c r="B45" s="1" t="s">
        <v>182</v>
      </c>
      <c r="C45" s="1" t="s">
        <v>183</v>
      </c>
      <c r="D45" s="6">
        <f>'2014 pax'!Q44</f>
        <v>572615</v>
      </c>
      <c r="E45" s="30">
        <v>50974</v>
      </c>
      <c r="F45" s="30">
        <v>40135</v>
      </c>
      <c r="G45" s="30">
        <v>48363</v>
      </c>
      <c r="H45" s="45">
        <v>53202</v>
      </c>
      <c r="I45" s="30">
        <v>51255</v>
      </c>
      <c r="J45" s="30">
        <v>51027</v>
      </c>
      <c r="K45" s="30">
        <v>72651</v>
      </c>
      <c r="L45" s="30">
        <v>57845</v>
      </c>
      <c r="M45" s="30">
        <v>64679</v>
      </c>
      <c r="N45" s="30">
        <v>64840</v>
      </c>
      <c r="O45" s="30">
        <v>48086</v>
      </c>
      <c r="P45" s="30">
        <v>51839</v>
      </c>
      <c r="Q45" s="44">
        <f t="shared" si="1"/>
        <v>654896</v>
      </c>
      <c r="R45" s="46">
        <f t="shared" si="0"/>
        <v>0.14369340656462026</v>
      </c>
    </row>
    <row r="46" spans="1:18">
      <c r="A46" s="1" t="s">
        <v>137</v>
      </c>
      <c r="B46" s="7" t="s">
        <v>200</v>
      </c>
      <c r="C46" s="7" t="s">
        <v>201</v>
      </c>
      <c r="D46" s="6">
        <f>'2014 pax'!Q45</f>
        <v>9888333</v>
      </c>
      <c r="E46" s="30">
        <v>936887</v>
      </c>
      <c r="F46" s="30">
        <v>739183</v>
      </c>
      <c r="G46" s="30">
        <v>816926</v>
      </c>
      <c r="H46" s="45">
        <v>830168</v>
      </c>
      <c r="I46" s="30">
        <v>769820</v>
      </c>
      <c r="J46" s="30">
        <v>718750</v>
      </c>
      <c r="K46" s="30">
        <v>839492</v>
      </c>
      <c r="L46" s="30">
        <v>781149</v>
      </c>
      <c r="M46" s="30">
        <v>787154</v>
      </c>
      <c r="N46" s="30">
        <v>680161</v>
      </c>
      <c r="O46" s="30">
        <v>735473</v>
      </c>
      <c r="P46" s="30">
        <v>800954</v>
      </c>
      <c r="Q46" s="44">
        <f t="shared" si="1"/>
        <v>9436117</v>
      </c>
      <c r="R46" s="46">
        <f t="shared" si="0"/>
        <v>-4.5732278635842838E-2</v>
      </c>
    </row>
    <row r="47" spans="1:18">
      <c r="A47" s="1" t="s">
        <v>137</v>
      </c>
      <c r="B47" s="3" t="s">
        <v>218</v>
      </c>
      <c r="C47" s="3" t="s">
        <v>219</v>
      </c>
      <c r="D47" s="6">
        <f>'2014 pax'!Q46</f>
        <v>85643</v>
      </c>
      <c r="E47" s="30">
        <v>1866</v>
      </c>
      <c r="F47" s="30">
        <v>1343</v>
      </c>
      <c r="G47" s="30">
        <v>1437</v>
      </c>
      <c r="H47" s="45">
        <v>2422</v>
      </c>
      <c r="I47" s="30">
        <v>1808</v>
      </c>
      <c r="J47" s="30">
        <v>2765</v>
      </c>
      <c r="K47" s="30">
        <v>3915</v>
      </c>
      <c r="L47" s="30">
        <v>8894</v>
      </c>
      <c r="M47" s="30">
        <v>8093</v>
      </c>
      <c r="N47" s="30">
        <v>9939</v>
      </c>
      <c r="O47" s="30">
        <v>8806</v>
      </c>
      <c r="P47" s="30">
        <v>9936</v>
      </c>
      <c r="Q47" s="44">
        <f t="shared" si="1"/>
        <v>61224</v>
      </c>
      <c r="R47" s="46"/>
    </row>
    <row r="48" spans="1:18">
      <c r="A48" s="1" t="s">
        <v>137</v>
      </c>
      <c r="B48" s="1" t="s">
        <v>180</v>
      </c>
      <c r="C48" s="1" t="s">
        <v>181</v>
      </c>
      <c r="D48" s="6">
        <f>'2014 pax'!Q47</f>
        <v>1671371</v>
      </c>
      <c r="E48" s="30">
        <v>125625</v>
      </c>
      <c r="F48" s="30">
        <v>126105</v>
      </c>
      <c r="G48" s="30">
        <v>128249</v>
      </c>
      <c r="H48" s="45">
        <v>126689</v>
      </c>
      <c r="I48" s="30">
        <v>132981</v>
      </c>
      <c r="J48" s="30">
        <v>139787</v>
      </c>
      <c r="K48" s="30">
        <v>166438</v>
      </c>
      <c r="L48" s="30">
        <v>143136</v>
      </c>
      <c r="M48" s="30">
        <v>132308</v>
      </c>
      <c r="N48" s="30">
        <v>125847</v>
      </c>
      <c r="O48" s="30">
        <v>137449</v>
      </c>
      <c r="P48" s="30">
        <v>165107</v>
      </c>
      <c r="Q48" s="44">
        <f t="shared" si="1"/>
        <v>1649721</v>
      </c>
      <c r="R48" s="46">
        <f t="shared" si="0"/>
        <v>-1.2953437626954112E-2</v>
      </c>
    </row>
    <row r="49" spans="1:20">
      <c r="A49" s="1" t="s">
        <v>137</v>
      </c>
      <c r="B49" s="1" t="s">
        <v>170</v>
      </c>
      <c r="C49" s="1" t="s">
        <v>171</v>
      </c>
      <c r="D49" s="6">
        <f>'2014 pax'!Q48</f>
        <v>1173723</v>
      </c>
      <c r="E49" s="30">
        <v>121240</v>
      </c>
      <c r="F49" s="30">
        <v>84916</v>
      </c>
      <c r="G49" s="30">
        <v>91549</v>
      </c>
      <c r="H49" s="45">
        <v>97456</v>
      </c>
      <c r="I49" s="30">
        <v>96600</v>
      </c>
      <c r="J49" s="30">
        <v>99082</v>
      </c>
      <c r="K49" s="30">
        <v>123511</v>
      </c>
      <c r="L49" s="30">
        <v>99337</v>
      </c>
      <c r="M49" s="30">
        <v>92780</v>
      </c>
      <c r="N49" s="30">
        <v>94614</v>
      </c>
      <c r="O49" s="30">
        <v>94013</v>
      </c>
      <c r="P49" s="30">
        <v>113883</v>
      </c>
      <c r="Q49" s="44">
        <f t="shared" si="1"/>
        <v>1208981</v>
      </c>
      <c r="R49" s="46">
        <f t="shared" si="0"/>
        <v>3.0039455646690083E-2</v>
      </c>
    </row>
    <row r="50" spans="1:20">
      <c r="A50" s="1" t="s">
        <v>137</v>
      </c>
      <c r="B50" s="1" t="s">
        <v>490</v>
      </c>
      <c r="C50" s="1" t="s">
        <v>491</v>
      </c>
      <c r="D50" s="6">
        <f>'2014 pax'!Q49</f>
        <v>161146</v>
      </c>
      <c r="E50" s="30">
        <v>9133</v>
      </c>
      <c r="F50" s="30">
        <v>10393</v>
      </c>
      <c r="G50" s="30">
        <v>12464</v>
      </c>
      <c r="H50" s="45">
        <v>13196</v>
      </c>
      <c r="I50" s="30">
        <v>13994</v>
      </c>
      <c r="J50" s="30">
        <v>12342</v>
      </c>
      <c r="K50" s="30">
        <v>12887</v>
      </c>
      <c r="L50" s="30">
        <v>12941</v>
      </c>
      <c r="M50" s="30">
        <v>11891</v>
      </c>
      <c r="N50" s="30">
        <v>11717</v>
      </c>
      <c r="O50" s="30">
        <v>8885</v>
      </c>
      <c r="P50" s="30">
        <v>7816</v>
      </c>
      <c r="Q50" s="44">
        <f t="shared" si="1"/>
        <v>137659</v>
      </c>
      <c r="R50" s="46">
        <f t="shared" si="0"/>
        <v>-0.14574981693619449</v>
      </c>
    </row>
    <row r="51" spans="1:20">
      <c r="A51" s="1" t="s">
        <v>137</v>
      </c>
      <c r="B51" s="3" t="s">
        <v>208</v>
      </c>
      <c r="C51" s="3" t="s">
        <v>209</v>
      </c>
      <c r="D51" s="6">
        <f>'2014 pax'!Q50</f>
        <v>1136211</v>
      </c>
      <c r="E51" s="30">
        <v>105761</v>
      </c>
      <c r="F51" s="30">
        <v>87314</v>
      </c>
      <c r="G51" s="30">
        <v>103004</v>
      </c>
      <c r="H51" s="45">
        <v>99957</v>
      </c>
      <c r="I51" s="30">
        <v>93862</v>
      </c>
      <c r="J51" s="30">
        <v>87332</v>
      </c>
      <c r="K51" s="30">
        <v>101507</v>
      </c>
      <c r="L51" s="30">
        <v>96620</v>
      </c>
      <c r="M51" s="30">
        <v>92523</v>
      </c>
      <c r="N51" s="30">
        <v>102011</v>
      </c>
      <c r="O51" s="30">
        <v>97929</v>
      </c>
      <c r="P51" s="30">
        <v>102311</v>
      </c>
      <c r="Q51" s="44">
        <f t="shared" si="1"/>
        <v>1170131</v>
      </c>
      <c r="R51" s="46">
        <f t="shared" si="0"/>
        <v>2.9853609936886683E-2</v>
      </c>
    </row>
    <row r="52" spans="1:20">
      <c r="A52" s="1" t="s">
        <v>137</v>
      </c>
      <c r="B52" s="3" t="s">
        <v>210</v>
      </c>
      <c r="C52" s="3" t="s">
        <v>211</v>
      </c>
      <c r="D52" s="6">
        <f>'2014 pax'!Q51</f>
        <v>3522507</v>
      </c>
      <c r="E52" s="30">
        <v>355000</v>
      </c>
      <c r="F52" s="30">
        <v>279066</v>
      </c>
      <c r="G52" s="30">
        <v>293114</v>
      </c>
      <c r="H52" s="45">
        <v>304393</v>
      </c>
      <c r="I52" s="30">
        <v>285827</v>
      </c>
      <c r="J52" s="30">
        <v>272135</v>
      </c>
      <c r="K52" s="30">
        <v>321745</v>
      </c>
      <c r="L52" s="30">
        <v>292744</v>
      </c>
      <c r="M52" s="30">
        <v>286915</v>
      </c>
      <c r="N52" s="30">
        <v>297341</v>
      </c>
      <c r="O52" s="30">
        <v>278223</v>
      </c>
      <c r="P52" s="30">
        <v>313776</v>
      </c>
      <c r="Q52" s="44">
        <f t="shared" si="1"/>
        <v>3580279</v>
      </c>
      <c r="R52" s="46">
        <f t="shared" ref="R52:R64" si="2">Q52/D52-1</f>
        <v>1.6400819075732098E-2</v>
      </c>
    </row>
    <row r="53" spans="1:20" ht="15.75">
      <c r="A53" s="1" t="s">
        <v>66</v>
      </c>
      <c r="B53" s="1" t="s">
        <v>362</v>
      </c>
      <c r="C53" s="7" t="s">
        <v>72</v>
      </c>
      <c r="D53" s="6">
        <f>'2014 pax'!Q52</f>
        <v>15253254</v>
      </c>
      <c r="E53" s="30">
        <v>1199362</v>
      </c>
      <c r="F53" s="30">
        <v>1149378</v>
      </c>
      <c r="G53" s="30">
        <v>1267052</v>
      </c>
      <c r="H53" s="45">
        <v>1225711</v>
      </c>
      <c r="I53" s="30">
        <v>1256979</v>
      </c>
      <c r="J53" s="30">
        <v>1304824</v>
      </c>
      <c r="K53" s="30">
        <v>1512765</v>
      </c>
      <c r="L53" s="30">
        <v>1557396</v>
      </c>
      <c r="M53" s="30">
        <v>1294924</v>
      </c>
      <c r="N53" s="30">
        <v>1267534</v>
      </c>
      <c r="O53" s="30">
        <v>1143632</v>
      </c>
      <c r="P53" s="30">
        <v>1296202</v>
      </c>
      <c r="Q53" s="44">
        <f t="shared" si="1"/>
        <v>15475759</v>
      </c>
      <c r="R53" s="46">
        <f t="shared" si="2"/>
        <v>1.4587379191351557E-2</v>
      </c>
    </row>
    <row r="54" spans="1:20" ht="18">
      <c r="A54" s="1" t="s">
        <v>66</v>
      </c>
      <c r="B54" s="1" t="s">
        <v>73</v>
      </c>
      <c r="C54" s="7" t="s">
        <v>74</v>
      </c>
      <c r="D54" s="6">
        <f>'2014 pax'!Q53</f>
        <v>7332322</v>
      </c>
      <c r="E54" s="30">
        <v>646753</v>
      </c>
      <c r="F54" s="30">
        <v>623978</v>
      </c>
      <c r="G54" s="30">
        <v>685035</v>
      </c>
      <c r="H54" s="45">
        <v>657012</v>
      </c>
      <c r="I54" s="30">
        <v>628169</v>
      </c>
      <c r="J54" s="30">
        <v>664305</v>
      </c>
      <c r="K54" s="30">
        <v>745835</v>
      </c>
      <c r="L54" s="30">
        <v>765016</v>
      </c>
      <c r="M54" s="53">
        <v>659701</v>
      </c>
      <c r="N54" s="30">
        <v>645904</v>
      </c>
      <c r="O54" s="30">
        <v>597408</v>
      </c>
      <c r="P54" s="30">
        <v>661958</v>
      </c>
      <c r="Q54" s="44">
        <f t="shared" si="1"/>
        <v>7981074</v>
      </c>
      <c r="R54" s="46">
        <f t="shared" si="2"/>
        <v>8.8478383791655624E-2</v>
      </c>
      <c r="S54" s="47"/>
      <c r="T54" s="48"/>
    </row>
    <row r="55" spans="1:20">
      <c r="A55" s="1" t="s">
        <v>66</v>
      </c>
      <c r="B55" s="1" t="s">
        <v>79</v>
      </c>
      <c r="C55" s="7" t="s">
        <v>80</v>
      </c>
      <c r="D55" s="6">
        <f>'2014 pax'!Q54</f>
        <v>3663039</v>
      </c>
      <c r="E55" s="30">
        <v>225301</v>
      </c>
      <c r="F55" s="30">
        <v>235076</v>
      </c>
      <c r="G55" s="30">
        <v>303399</v>
      </c>
      <c r="H55" s="45">
        <v>329017</v>
      </c>
      <c r="I55" s="30">
        <v>320359</v>
      </c>
      <c r="J55" s="30">
        <v>315629</v>
      </c>
      <c r="K55" s="30">
        <v>381448</v>
      </c>
      <c r="L55" s="30">
        <v>419109</v>
      </c>
      <c r="M55" s="30">
        <v>342114</v>
      </c>
      <c r="N55" s="30">
        <v>317447</v>
      </c>
      <c r="O55" s="30">
        <v>245494</v>
      </c>
      <c r="P55" s="30"/>
      <c r="Q55" s="44">
        <f t="shared" si="1"/>
        <v>3434393</v>
      </c>
      <c r="R55" s="46"/>
      <c r="S55" s="23"/>
    </row>
    <row r="56" spans="1:20">
      <c r="A56" s="1" t="s">
        <v>66</v>
      </c>
      <c r="B56" s="1" t="s">
        <v>83</v>
      </c>
      <c r="C56" s="7" t="s">
        <v>84</v>
      </c>
      <c r="D56" s="6">
        <f>'2014 pax'!Q55</f>
        <v>1602899</v>
      </c>
      <c r="E56" s="30">
        <v>139144</v>
      </c>
      <c r="F56" s="30">
        <v>133971</v>
      </c>
      <c r="G56" s="30">
        <v>140110</v>
      </c>
      <c r="H56" s="45">
        <v>119326</v>
      </c>
      <c r="I56" s="30">
        <v>121149</v>
      </c>
      <c r="J56" s="30">
        <v>124124</v>
      </c>
      <c r="K56" s="30">
        <v>143401</v>
      </c>
      <c r="L56" s="30">
        <v>147427</v>
      </c>
      <c r="M56" s="30">
        <v>128036</v>
      </c>
      <c r="N56" s="30">
        <v>126329</v>
      </c>
      <c r="O56" s="30">
        <v>121568</v>
      </c>
      <c r="P56" s="30">
        <v>149882</v>
      </c>
      <c r="Q56" s="44">
        <f t="shared" si="1"/>
        <v>1594467</v>
      </c>
      <c r="R56" s="46">
        <f t="shared" si="2"/>
        <v>-5.2604686882954388E-3</v>
      </c>
    </row>
    <row r="57" spans="1:20" ht="15.75">
      <c r="A57" s="1" t="s">
        <v>66</v>
      </c>
      <c r="B57" s="1" t="s">
        <v>363</v>
      </c>
      <c r="C57" s="7" t="s">
        <v>71</v>
      </c>
      <c r="D57" s="6">
        <f>'2014 pax'!Q56</f>
        <v>14821100</v>
      </c>
      <c r="E57" s="45">
        <v>1216277</v>
      </c>
      <c r="F57" s="45">
        <v>1146488</v>
      </c>
      <c r="G57" s="45">
        <v>1317448</v>
      </c>
      <c r="H57" s="45">
        <v>1218201</v>
      </c>
      <c r="I57" s="45">
        <v>1236588</v>
      </c>
      <c r="J57" s="45">
        <v>1362287</v>
      </c>
      <c r="K57" s="45">
        <v>1550819</v>
      </c>
      <c r="L57" s="45">
        <v>1604271</v>
      </c>
      <c r="M57" s="45">
        <v>1327826</v>
      </c>
      <c r="N57" s="30">
        <v>1274650</v>
      </c>
      <c r="O57" s="30">
        <v>1060877</v>
      </c>
      <c r="P57" s="30">
        <v>1201650</v>
      </c>
      <c r="Q57" s="44">
        <f t="shared" si="1"/>
        <v>15517382</v>
      </c>
      <c r="R57" s="46">
        <f t="shared" si="2"/>
        <v>4.6979104115079107E-2</v>
      </c>
    </row>
    <row r="58" spans="1:20">
      <c r="A58" s="1" t="s">
        <v>66</v>
      </c>
      <c r="B58" s="1" t="s">
        <v>75</v>
      </c>
      <c r="C58" s="7" t="s">
        <v>76</v>
      </c>
      <c r="D58" s="6">
        <f>'2014 pax'!Q57</f>
        <v>4616431</v>
      </c>
      <c r="E58" s="30">
        <v>380332</v>
      </c>
      <c r="F58" s="30">
        <v>383880</v>
      </c>
      <c r="G58" s="30">
        <v>418555</v>
      </c>
      <c r="H58" s="45">
        <v>381915</v>
      </c>
      <c r="I58" s="30">
        <v>387431</v>
      </c>
      <c r="J58" s="30">
        <v>397778</v>
      </c>
      <c r="K58" s="30">
        <v>397018</v>
      </c>
      <c r="L58" s="30">
        <v>408438</v>
      </c>
      <c r="M58" s="30">
        <v>369924</v>
      </c>
      <c r="N58" s="30">
        <v>382957</v>
      </c>
      <c r="O58" s="30">
        <v>359734</v>
      </c>
      <c r="P58" s="30">
        <v>387230</v>
      </c>
      <c r="Q58" s="44">
        <f t="shared" si="1"/>
        <v>4655192</v>
      </c>
      <c r="R58" s="46">
        <f t="shared" si="2"/>
        <v>8.3963130825523979E-3</v>
      </c>
    </row>
    <row r="59" spans="1:20">
      <c r="A59" s="1" t="s">
        <v>66</v>
      </c>
      <c r="B59" s="1" t="s">
        <v>533</v>
      </c>
      <c r="C59" s="7" t="s">
        <v>534</v>
      </c>
      <c r="D59" s="6">
        <f>'2014 pax'!Q58</f>
        <v>1510095.4419999998</v>
      </c>
      <c r="E59" s="30">
        <v>149595</v>
      </c>
      <c r="F59" s="30">
        <v>142031</v>
      </c>
      <c r="G59" s="30">
        <v>155678</v>
      </c>
      <c r="H59" s="45">
        <v>140514</v>
      </c>
      <c r="I59" s="30">
        <v>105055</v>
      </c>
      <c r="J59" s="30">
        <v>114988</v>
      </c>
      <c r="K59" s="30">
        <v>129101</v>
      </c>
      <c r="L59" s="30">
        <v>130370</v>
      </c>
      <c r="M59" s="30">
        <v>121532</v>
      </c>
      <c r="N59" s="30">
        <v>119816</v>
      </c>
      <c r="O59" s="30">
        <v>104642</v>
      </c>
      <c r="P59" s="30">
        <v>126309</v>
      </c>
      <c r="Q59" s="44">
        <f t="shared" si="1"/>
        <v>1539631</v>
      </c>
      <c r="R59" s="46">
        <f t="shared" si="2"/>
        <v>1.9558735943790984E-2</v>
      </c>
    </row>
    <row r="60" spans="1:20">
      <c r="A60" s="1" t="s">
        <v>66</v>
      </c>
      <c r="B60" s="1" t="s">
        <v>67</v>
      </c>
      <c r="C60" s="7" t="s">
        <v>68</v>
      </c>
      <c r="D60" s="6">
        <f>'2014 pax'!Q59</f>
        <v>38572001</v>
      </c>
      <c r="E60" s="30">
        <v>3086306</v>
      </c>
      <c r="F60" s="30">
        <v>2906940</v>
      </c>
      <c r="G60" s="30">
        <v>3384371</v>
      </c>
      <c r="H60" s="30">
        <v>3297822</v>
      </c>
      <c r="I60" s="30">
        <v>3415650</v>
      </c>
      <c r="J60" s="30">
        <v>3559646</v>
      </c>
      <c r="K60" s="30">
        <v>4073087</v>
      </c>
      <c r="L60" s="30">
        <v>4258598</v>
      </c>
      <c r="M60" s="30">
        <v>3462551</v>
      </c>
      <c r="N60" s="30">
        <v>3338335</v>
      </c>
      <c r="O60" s="30">
        <v>2938870</v>
      </c>
      <c r="P60" s="30">
        <v>3314671</v>
      </c>
      <c r="Q60" s="44">
        <f t="shared" si="1"/>
        <v>41036847</v>
      </c>
      <c r="R60" s="46">
        <f t="shared" si="2"/>
        <v>6.3902466454877516E-2</v>
      </c>
    </row>
    <row r="61" spans="1:20">
      <c r="A61" s="1" t="s">
        <v>66</v>
      </c>
      <c r="B61" s="1" t="s">
        <v>69</v>
      </c>
      <c r="C61" s="7" t="s">
        <v>70</v>
      </c>
      <c r="D61" s="6">
        <f>'2014 pax'!Q60</f>
        <v>19357514</v>
      </c>
      <c r="E61" s="30">
        <v>1523129</v>
      </c>
      <c r="F61" s="30">
        <v>1436824</v>
      </c>
      <c r="G61" s="30">
        <v>1652210</v>
      </c>
      <c r="H61" s="45">
        <v>1554656</v>
      </c>
      <c r="I61" s="30">
        <v>1701131</v>
      </c>
      <c r="J61" s="30">
        <v>1822079</v>
      </c>
      <c r="K61" s="30">
        <v>2049906</v>
      </c>
      <c r="L61" s="30">
        <v>2125743</v>
      </c>
      <c r="M61" s="30">
        <v>1745362</v>
      </c>
      <c r="N61" s="30">
        <v>1596765</v>
      </c>
      <c r="O61" s="30">
        <v>1430310</v>
      </c>
      <c r="P61" s="30">
        <v>1678863</v>
      </c>
      <c r="Q61" s="44">
        <f t="shared" si="1"/>
        <v>20316978</v>
      </c>
      <c r="R61" s="46">
        <f t="shared" si="2"/>
        <v>4.9565455564180461E-2</v>
      </c>
    </row>
    <row r="62" spans="1:20">
      <c r="A62" s="1" t="s">
        <v>66</v>
      </c>
      <c r="B62" s="1" t="s">
        <v>81</v>
      </c>
      <c r="C62" s="1" t="s">
        <v>82</v>
      </c>
      <c r="D62" s="6">
        <f>'2014 pax'!Q61</f>
        <v>1650165</v>
      </c>
      <c r="E62" s="30">
        <v>120622</v>
      </c>
      <c r="F62" s="30">
        <v>118719</v>
      </c>
      <c r="G62" s="30">
        <v>144161</v>
      </c>
      <c r="H62" s="45">
        <v>137221</v>
      </c>
      <c r="I62" s="30">
        <v>145799</v>
      </c>
      <c r="J62" s="30">
        <v>148875</v>
      </c>
      <c r="K62" s="30">
        <v>160511</v>
      </c>
      <c r="L62" s="30">
        <v>172342</v>
      </c>
      <c r="M62" s="30">
        <v>147249</v>
      </c>
      <c r="N62" s="30">
        <v>146512</v>
      </c>
      <c r="O62" s="30">
        <v>126307</v>
      </c>
      <c r="P62" s="30">
        <v>142393</v>
      </c>
      <c r="Q62" s="44">
        <f t="shared" si="1"/>
        <v>1710711</v>
      </c>
      <c r="R62" s="46">
        <f t="shared" si="2"/>
        <v>3.6690876366908709E-2</v>
      </c>
    </row>
    <row r="63" spans="1:20">
      <c r="A63" s="1" t="s">
        <v>66</v>
      </c>
      <c r="B63" s="1" t="s">
        <v>77</v>
      </c>
      <c r="C63" s="7" t="s">
        <v>78</v>
      </c>
      <c r="D63" s="6">
        <f>'2014 pax'!Q62</f>
        <v>3669797</v>
      </c>
      <c r="E63" s="30">
        <v>308156</v>
      </c>
      <c r="F63" s="30">
        <v>307261</v>
      </c>
      <c r="G63" s="30">
        <v>317167</v>
      </c>
      <c r="H63" s="30">
        <v>293396</v>
      </c>
      <c r="I63" s="30">
        <v>303590</v>
      </c>
      <c r="J63" s="30">
        <v>326395</v>
      </c>
      <c r="K63" s="30">
        <v>353643</v>
      </c>
      <c r="L63" s="30">
        <v>362952</v>
      </c>
      <c r="M63" s="30">
        <v>303679</v>
      </c>
      <c r="N63" s="30">
        <v>314030</v>
      </c>
      <c r="O63" s="30">
        <v>279666</v>
      </c>
      <c r="P63" s="30">
        <v>308119</v>
      </c>
      <c r="Q63" s="44">
        <f t="shared" si="1"/>
        <v>3778054</v>
      </c>
      <c r="R63" s="46">
        <f t="shared" si="2"/>
        <v>2.9499451877038396E-2</v>
      </c>
    </row>
    <row r="64" spans="1:20" s="42" customFormat="1">
      <c r="A64" s="1" t="s">
        <v>637</v>
      </c>
      <c r="B64" s="1" t="s">
        <v>639</v>
      </c>
      <c r="C64" s="7" t="s">
        <v>638</v>
      </c>
      <c r="D64" s="6">
        <v>1095586</v>
      </c>
      <c r="E64" s="30">
        <v>99766</v>
      </c>
      <c r="F64" s="30">
        <v>91843</v>
      </c>
      <c r="G64" s="30">
        <v>113249</v>
      </c>
      <c r="H64" s="30">
        <v>100364</v>
      </c>
      <c r="I64" s="30">
        <v>90060</v>
      </c>
      <c r="J64" s="30">
        <v>90047</v>
      </c>
      <c r="K64" s="30">
        <v>109177</v>
      </c>
      <c r="L64" s="30">
        <v>85165</v>
      </c>
      <c r="M64" s="30">
        <v>58689</v>
      </c>
      <c r="N64" s="30">
        <v>63110</v>
      </c>
      <c r="O64" s="30">
        <v>88059</v>
      </c>
      <c r="P64" s="30">
        <v>101901</v>
      </c>
      <c r="Q64" s="44">
        <f t="shared" si="1"/>
        <v>1091430</v>
      </c>
      <c r="R64" s="46">
        <f t="shared" si="2"/>
        <v>-3.7934037127163034E-3</v>
      </c>
    </row>
    <row r="65" spans="1:18">
      <c r="A65" s="1" t="s">
        <v>236</v>
      </c>
      <c r="B65" s="1" t="s">
        <v>457</v>
      </c>
      <c r="C65" s="1" t="s">
        <v>458</v>
      </c>
      <c r="D65" s="6">
        <f>'2014 pax'!Q63</f>
        <v>681970</v>
      </c>
      <c r="E65" s="30"/>
      <c r="F65" s="30"/>
      <c r="G65" s="30"/>
      <c r="H65" s="45"/>
      <c r="I65" s="30"/>
      <c r="J65" s="30"/>
      <c r="K65" s="30"/>
      <c r="L65" s="30"/>
      <c r="M65" s="30"/>
      <c r="N65" s="30"/>
      <c r="O65" s="30"/>
      <c r="P65" s="30"/>
      <c r="Q65" s="44">
        <f t="shared" si="1"/>
        <v>0</v>
      </c>
      <c r="R65" s="46"/>
    </row>
    <row r="66" spans="1:18">
      <c r="A66" s="1" t="s">
        <v>236</v>
      </c>
      <c r="B66" s="1" t="s">
        <v>459</v>
      </c>
      <c r="C66" s="1" t="s">
        <v>460</v>
      </c>
      <c r="D66" s="6">
        <f>'2014 pax'!Q64</f>
        <v>212799</v>
      </c>
      <c r="E66" s="30"/>
      <c r="F66" s="30"/>
      <c r="G66" s="30"/>
      <c r="H66" s="45"/>
      <c r="I66" s="30"/>
      <c r="J66" s="30"/>
      <c r="K66" s="30"/>
      <c r="L66" s="30"/>
      <c r="M66" s="30"/>
      <c r="N66" s="30"/>
      <c r="O66" s="30"/>
      <c r="P66" s="30"/>
      <c r="Q66" s="44">
        <f t="shared" si="1"/>
        <v>0</v>
      </c>
      <c r="R66" s="46"/>
    </row>
    <row r="67" spans="1:18">
      <c r="A67" s="1" t="s">
        <v>236</v>
      </c>
      <c r="B67" s="1" t="s">
        <v>461</v>
      </c>
      <c r="C67" s="1" t="s">
        <v>462</v>
      </c>
      <c r="D67" s="6">
        <f>'2014 pax'!Q65</f>
        <v>154657</v>
      </c>
      <c r="E67" s="30"/>
      <c r="F67" s="30"/>
      <c r="G67" s="30"/>
      <c r="H67" s="45"/>
      <c r="I67" s="30"/>
      <c r="J67" s="30"/>
      <c r="K67" s="30"/>
      <c r="L67" s="30"/>
      <c r="M67" s="30"/>
      <c r="N67" s="30"/>
      <c r="O67" s="30"/>
      <c r="P67" s="30"/>
      <c r="Q67" s="44">
        <f t="shared" si="1"/>
        <v>0</v>
      </c>
      <c r="R67" s="46"/>
    </row>
    <row r="68" spans="1:18">
      <c r="A68" s="1" t="s">
        <v>236</v>
      </c>
      <c r="B68" s="1" t="s">
        <v>463</v>
      </c>
      <c r="C68" s="1" t="s">
        <v>464</v>
      </c>
      <c r="D68" s="6">
        <f>'2014 pax'!Q66</f>
        <v>470286</v>
      </c>
      <c r="E68" s="30"/>
      <c r="F68" s="30"/>
      <c r="G68" s="30"/>
      <c r="H68" s="45"/>
      <c r="I68" s="30"/>
      <c r="J68" s="30"/>
      <c r="K68" s="30"/>
      <c r="L68" s="30"/>
      <c r="M68" s="30"/>
      <c r="N68" s="30"/>
      <c r="O68" s="30"/>
      <c r="P68" s="30"/>
      <c r="Q68" s="44">
        <f t="shared" ref="Q68:Q130" si="3">SUM(E68:P68)</f>
        <v>0</v>
      </c>
      <c r="R68" s="46"/>
    </row>
    <row r="69" spans="1:18">
      <c r="A69" s="1" t="s">
        <v>236</v>
      </c>
      <c r="B69" s="1" t="s">
        <v>465</v>
      </c>
      <c r="C69" s="1" t="s">
        <v>466</v>
      </c>
      <c r="D69" s="6">
        <f>'2014 pax'!Q67</f>
        <v>320670</v>
      </c>
      <c r="E69" s="30"/>
      <c r="F69" s="30"/>
      <c r="G69" s="30"/>
      <c r="H69" s="45"/>
      <c r="I69" s="30"/>
      <c r="J69" s="30"/>
      <c r="K69" s="30"/>
      <c r="L69" s="30"/>
      <c r="M69" s="30"/>
      <c r="N69" s="30"/>
      <c r="O69" s="30"/>
      <c r="P69" s="30"/>
      <c r="Q69" s="44">
        <f t="shared" si="3"/>
        <v>0</v>
      </c>
      <c r="R69" s="46"/>
    </row>
    <row r="70" spans="1:18">
      <c r="A70" s="1" t="s">
        <v>236</v>
      </c>
      <c r="B70" s="1" t="s">
        <v>467</v>
      </c>
      <c r="C70" s="1" t="s">
        <v>468</v>
      </c>
      <c r="D70" s="6">
        <f>'2014 pax'!Q68</f>
        <v>200903</v>
      </c>
      <c r="E70" s="30"/>
      <c r="F70" s="30"/>
      <c r="G70" s="30"/>
      <c r="H70" s="45"/>
      <c r="I70" s="30"/>
      <c r="J70" s="30"/>
      <c r="K70" s="30"/>
      <c r="L70" s="30"/>
      <c r="M70" s="30"/>
      <c r="N70" s="30"/>
      <c r="O70" s="30"/>
      <c r="P70" s="30"/>
      <c r="Q70" s="44">
        <f t="shared" si="3"/>
        <v>0</v>
      </c>
      <c r="R70" s="46"/>
    </row>
    <row r="71" spans="1:18">
      <c r="A71" s="1" t="s">
        <v>236</v>
      </c>
      <c r="B71" s="1" t="s">
        <v>469</v>
      </c>
      <c r="C71" s="1" t="s">
        <v>470</v>
      </c>
      <c r="D71" s="6">
        <f>'2014 pax'!Q69</f>
        <v>450062</v>
      </c>
      <c r="E71" s="30"/>
      <c r="F71" s="30"/>
      <c r="G71" s="30"/>
      <c r="H71" s="45"/>
      <c r="I71" s="30"/>
      <c r="J71" s="30"/>
      <c r="K71" s="30"/>
      <c r="L71" s="30"/>
      <c r="M71" s="30"/>
      <c r="N71" s="30"/>
      <c r="O71" s="30"/>
      <c r="P71" s="30"/>
      <c r="Q71" s="44">
        <f t="shared" si="3"/>
        <v>0</v>
      </c>
      <c r="R71" s="46"/>
    </row>
    <row r="72" spans="1:18">
      <c r="A72" s="1" t="s">
        <v>236</v>
      </c>
      <c r="B72" s="1" t="s">
        <v>471</v>
      </c>
      <c r="C72" s="1" t="s">
        <v>472</v>
      </c>
      <c r="D72" s="6">
        <f>'2014 pax'!Q70</f>
        <v>60102</v>
      </c>
      <c r="E72" s="30"/>
      <c r="F72" s="30"/>
      <c r="G72" s="30"/>
      <c r="H72" s="45"/>
      <c r="I72" s="30"/>
      <c r="J72" s="30"/>
      <c r="K72" s="30"/>
      <c r="L72" s="30"/>
      <c r="M72" s="30"/>
      <c r="N72" s="30"/>
      <c r="O72" s="30"/>
      <c r="P72" s="30"/>
      <c r="Q72" s="44">
        <f t="shared" si="3"/>
        <v>0</v>
      </c>
      <c r="R72" s="46"/>
    </row>
    <row r="73" spans="1:18">
      <c r="A73" s="1" t="s">
        <v>236</v>
      </c>
      <c r="B73" s="1" t="s">
        <v>473</v>
      </c>
      <c r="C73" s="1" t="s">
        <v>474</v>
      </c>
      <c r="D73" s="6">
        <f>'2014 pax'!Q71</f>
        <v>256433</v>
      </c>
      <c r="E73" s="30"/>
      <c r="F73" s="30"/>
      <c r="G73" s="30"/>
      <c r="H73" s="45"/>
      <c r="I73" s="30"/>
      <c r="J73" s="30"/>
      <c r="K73" s="30"/>
      <c r="L73" s="30"/>
      <c r="M73" s="30"/>
      <c r="N73" s="30"/>
      <c r="O73" s="30"/>
      <c r="P73" s="30"/>
      <c r="Q73" s="44">
        <f t="shared" si="3"/>
        <v>0</v>
      </c>
      <c r="R73" s="46"/>
    </row>
    <row r="74" spans="1:18">
      <c r="A74" s="1" t="s">
        <v>236</v>
      </c>
      <c r="B74" s="1" t="s">
        <v>475</v>
      </c>
      <c r="C74" s="1" t="s">
        <v>476</v>
      </c>
      <c r="D74" s="6">
        <f>'2014 pax'!Q72</f>
        <v>27802</v>
      </c>
      <c r="E74" s="30"/>
      <c r="F74" s="30"/>
      <c r="G74" s="30"/>
      <c r="H74" s="45"/>
      <c r="I74" s="30"/>
      <c r="J74" s="30"/>
      <c r="K74" s="30"/>
      <c r="L74" s="30"/>
      <c r="M74" s="30"/>
      <c r="N74" s="30"/>
      <c r="O74" s="30"/>
      <c r="P74" s="30"/>
      <c r="Q74" s="44">
        <f t="shared" si="3"/>
        <v>0</v>
      </c>
      <c r="R74" s="46"/>
    </row>
    <row r="75" spans="1:18">
      <c r="A75" s="1" t="s">
        <v>236</v>
      </c>
      <c r="B75" s="1" t="s">
        <v>477</v>
      </c>
      <c r="C75" s="1" t="s">
        <v>478</v>
      </c>
      <c r="D75" s="6">
        <f>'2014 pax'!Q73</f>
        <v>482069</v>
      </c>
      <c r="E75" s="30"/>
      <c r="F75" s="30"/>
      <c r="G75" s="30"/>
      <c r="H75" s="45"/>
      <c r="I75" s="30"/>
      <c r="J75" s="30"/>
      <c r="K75" s="30"/>
      <c r="L75" s="30"/>
      <c r="M75" s="30"/>
      <c r="N75" s="30"/>
      <c r="O75" s="30"/>
      <c r="P75" s="30"/>
      <c r="Q75" s="44">
        <f t="shared" si="3"/>
        <v>0</v>
      </c>
      <c r="R75" s="46"/>
    </row>
    <row r="76" spans="1:18">
      <c r="A76" s="1" t="s">
        <v>236</v>
      </c>
      <c r="B76" s="1" t="s">
        <v>479</v>
      </c>
      <c r="C76" s="1" t="s">
        <v>480</v>
      </c>
      <c r="D76" s="6">
        <f>'2014 pax'!Q74</f>
        <v>316540</v>
      </c>
      <c r="E76" s="30"/>
      <c r="F76" s="30"/>
      <c r="G76" s="30"/>
      <c r="H76" s="45"/>
      <c r="I76" s="30"/>
      <c r="J76" s="30"/>
      <c r="K76" s="30"/>
      <c r="L76" s="30"/>
      <c r="M76" s="30"/>
      <c r="N76" s="30"/>
      <c r="O76" s="30"/>
      <c r="P76" s="30"/>
      <c r="Q76" s="44">
        <f t="shared" si="3"/>
        <v>0</v>
      </c>
      <c r="R76" s="46"/>
    </row>
    <row r="77" spans="1:18">
      <c r="A77" s="1" t="s">
        <v>236</v>
      </c>
      <c r="B77" s="1" t="s">
        <v>481</v>
      </c>
      <c r="C77" s="1" t="s">
        <v>237</v>
      </c>
      <c r="D77" s="6">
        <f>'2014 pax'!Q75</f>
        <v>5509654</v>
      </c>
      <c r="E77" s="54"/>
      <c r="F77" s="54"/>
      <c r="G77" s="54"/>
      <c r="H77" s="54"/>
      <c r="I77" s="54"/>
      <c r="J77" s="54"/>
      <c r="K77" s="30"/>
      <c r="L77" s="30"/>
      <c r="M77" s="30"/>
      <c r="N77" s="30"/>
      <c r="O77" s="30"/>
      <c r="P77" s="30"/>
      <c r="Q77" s="44">
        <f t="shared" si="3"/>
        <v>0</v>
      </c>
      <c r="R77" s="46"/>
    </row>
    <row r="78" spans="1:18">
      <c r="A78" s="1" t="s">
        <v>236</v>
      </c>
      <c r="B78" s="1" t="s">
        <v>482</v>
      </c>
      <c r="C78" s="1" t="s">
        <v>483</v>
      </c>
      <c r="D78" s="6">
        <f>'2014 pax'!Q76</f>
        <v>181650</v>
      </c>
      <c r="E78" s="30"/>
      <c r="F78" s="30"/>
      <c r="G78" s="30"/>
      <c r="H78" s="45"/>
      <c r="I78" s="30"/>
      <c r="J78" s="30"/>
      <c r="K78" s="30"/>
      <c r="L78" s="30"/>
      <c r="M78" s="30"/>
      <c r="N78" s="30"/>
      <c r="O78" s="30"/>
      <c r="P78" s="30"/>
      <c r="Q78" s="44">
        <f t="shared" si="3"/>
        <v>0</v>
      </c>
      <c r="R78" s="46"/>
    </row>
    <row r="79" spans="1:18">
      <c r="A79" s="1" t="s">
        <v>236</v>
      </c>
      <c r="B79" s="1" t="s">
        <v>484</v>
      </c>
      <c r="C79" s="1" t="s">
        <v>485</v>
      </c>
      <c r="D79" s="6">
        <f>'2014 pax'!Q77</f>
        <v>49261</v>
      </c>
      <c r="E79" s="30"/>
      <c r="F79" s="30"/>
      <c r="G79" s="30"/>
      <c r="H79" s="45"/>
      <c r="I79" s="30"/>
      <c r="J79" s="30"/>
      <c r="K79" s="30"/>
      <c r="L79" s="30"/>
      <c r="M79" s="30"/>
      <c r="N79" s="30"/>
      <c r="O79" s="30"/>
      <c r="P79" s="30"/>
      <c r="Q79" s="44">
        <f t="shared" si="3"/>
        <v>0</v>
      </c>
      <c r="R79" s="46"/>
    </row>
    <row r="80" spans="1:18">
      <c r="A80" s="1" t="s">
        <v>238</v>
      </c>
      <c r="B80" s="7" t="s">
        <v>264</v>
      </c>
      <c r="C80" s="7" t="s">
        <v>265</v>
      </c>
      <c r="D80" s="6">
        <f>'2014 pax'!Q78</f>
        <v>365585</v>
      </c>
      <c r="E80" s="30">
        <v>36424</v>
      </c>
      <c r="F80" s="30">
        <v>33485</v>
      </c>
      <c r="G80" s="30">
        <v>33532</v>
      </c>
      <c r="H80" s="30">
        <v>37105</v>
      </c>
      <c r="I80" s="30">
        <v>44515</v>
      </c>
      <c r="J80" s="30">
        <v>45464</v>
      </c>
      <c r="K80" s="30">
        <v>46912</v>
      </c>
      <c r="L80" s="30">
        <v>45047</v>
      </c>
      <c r="M80" s="30">
        <v>40460</v>
      </c>
      <c r="N80" s="30">
        <v>40232</v>
      </c>
      <c r="O80" s="30">
        <v>39385</v>
      </c>
      <c r="P80" s="30">
        <v>41595</v>
      </c>
      <c r="Q80" s="44">
        <f t="shared" si="3"/>
        <v>484156</v>
      </c>
      <c r="R80" s="46">
        <f t="shared" ref="R80:R108" si="4">Q80/D80-1</f>
        <v>0.32433223463763561</v>
      </c>
    </row>
    <row r="81" spans="1:18">
      <c r="A81" s="1" t="s">
        <v>238</v>
      </c>
      <c r="B81" s="7" t="s">
        <v>290</v>
      </c>
      <c r="C81" s="7" t="s">
        <v>291</v>
      </c>
      <c r="D81" s="6">
        <f>'2014 pax'!Q79</f>
        <v>223745</v>
      </c>
      <c r="E81" s="30">
        <v>14890</v>
      </c>
      <c r="F81" s="30">
        <v>14129</v>
      </c>
      <c r="G81" s="30">
        <v>14742</v>
      </c>
      <c r="H81" s="30">
        <v>14427</v>
      </c>
      <c r="I81" s="30">
        <v>15561</v>
      </c>
      <c r="J81" s="30">
        <v>15444</v>
      </c>
      <c r="K81" s="30">
        <v>16030</v>
      </c>
      <c r="L81" s="30">
        <v>15312</v>
      </c>
      <c r="M81" s="30">
        <v>14624</v>
      </c>
      <c r="N81" s="30">
        <v>15666</v>
      </c>
      <c r="O81" s="30">
        <v>15504</v>
      </c>
      <c r="P81" s="30">
        <v>17232</v>
      </c>
      <c r="Q81" s="44">
        <f t="shared" si="3"/>
        <v>183561</v>
      </c>
      <c r="R81" s="46">
        <f t="shared" si="4"/>
        <v>-0.17959730943708241</v>
      </c>
    </row>
    <row r="82" spans="1:18">
      <c r="A82" s="1" t="s">
        <v>238</v>
      </c>
      <c r="B82" s="7" t="s">
        <v>260</v>
      </c>
      <c r="C82" s="7" t="s">
        <v>261</v>
      </c>
      <c r="D82" s="6">
        <f>'2014 pax'!Q80</f>
        <v>2385604</v>
      </c>
      <c r="E82" s="30">
        <v>219672</v>
      </c>
      <c r="F82" s="30">
        <v>190548</v>
      </c>
      <c r="G82" s="30">
        <v>210781</v>
      </c>
      <c r="H82" s="30">
        <v>206499</v>
      </c>
      <c r="I82" s="30">
        <v>223036</v>
      </c>
      <c r="J82" s="30">
        <v>249535</v>
      </c>
      <c r="K82" s="30">
        <v>260086</v>
      </c>
      <c r="L82" s="30">
        <v>233439</v>
      </c>
      <c r="M82" s="30">
        <v>214308</v>
      </c>
      <c r="N82" s="30">
        <v>244156</v>
      </c>
      <c r="O82" s="30">
        <v>249539</v>
      </c>
      <c r="P82" s="30">
        <v>252501</v>
      </c>
      <c r="Q82" s="44">
        <f t="shared" si="3"/>
        <v>2754100</v>
      </c>
      <c r="R82" s="46">
        <f t="shared" si="4"/>
        <v>0.15446654180660335</v>
      </c>
    </row>
    <row r="83" spans="1:18">
      <c r="A83" s="1" t="s">
        <v>238</v>
      </c>
      <c r="B83" s="3" t="s">
        <v>239</v>
      </c>
      <c r="C83" s="3" t="s">
        <v>240</v>
      </c>
      <c r="D83" s="6">
        <f>'2014 pax'!Q81</f>
        <v>21965116</v>
      </c>
      <c r="E83" s="30">
        <v>2033490</v>
      </c>
      <c r="F83" s="30">
        <v>1684408</v>
      </c>
      <c r="G83" s="30">
        <v>1880021</v>
      </c>
      <c r="H83" s="30">
        <v>1846719</v>
      </c>
      <c r="I83" s="30">
        <v>2459642</v>
      </c>
      <c r="J83" s="30">
        <v>2547405</v>
      </c>
      <c r="K83" s="30">
        <v>2737265</v>
      </c>
      <c r="L83" s="30">
        <v>2672910</v>
      </c>
      <c r="M83" s="30">
        <v>2452221</v>
      </c>
      <c r="N83" s="30">
        <v>2587895</v>
      </c>
      <c r="O83" s="30">
        <v>2545577</v>
      </c>
      <c r="P83" s="30">
        <v>2719836</v>
      </c>
      <c r="Q83" s="44">
        <f t="shared" si="3"/>
        <v>28167389</v>
      </c>
      <c r="R83" s="46">
        <f t="shared" si="4"/>
        <v>0.28236923492687227</v>
      </c>
    </row>
    <row r="84" spans="1:18">
      <c r="A84" s="1" t="s">
        <v>238</v>
      </c>
      <c r="B84" s="7" t="s">
        <v>298</v>
      </c>
      <c r="C84" s="7" t="s">
        <v>299</v>
      </c>
      <c r="D84" s="6">
        <f>'2014 pax'!Q82</f>
        <v>1696984</v>
      </c>
      <c r="E84" s="30">
        <v>145855</v>
      </c>
      <c r="F84" s="30">
        <v>125559</v>
      </c>
      <c r="G84" s="30">
        <v>141953</v>
      </c>
      <c r="H84" s="30">
        <v>144789</v>
      </c>
      <c r="I84" s="30">
        <v>158791</v>
      </c>
      <c r="J84" s="30">
        <v>163689</v>
      </c>
      <c r="K84" s="30">
        <v>172180</v>
      </c>
      <c r="L84" s="30">
        <v>167001</v>
      </c>
      <c r="M84" s="30">
        <v>155580</v>
      </c>
      <c r="N84" s="30">
        <v>160953</v>
      </c>
      <c r="O84" s="30">
        <v>150778</v>
      </c>
      <c r="P84" s="30">
        <v>150769</v>
      </c>
      <c r="Q84" s="44">
        <f t="shared" si="3"/>
        <v>1837897</v>
      </c>
      <c r="R84" s="46">
        <f t="shared" si="4"/>
        <v>8.3037317971177194E-2</v>
      </c>
    </row>
    <row r="85" spans="1:18">
      <c r="A85" s="1" t="s">
        <v>238</v>
      </c>
      <c r="B85" s="7" t="s">
        <v>272</v>
      </c>
      <c r="C85" s="7" t="s">
        <v>273</v>
      </c>
      <c r="D85" s="6">
        <f>'2014 pax'!Q83</f>
        <v>4580146</v>
      </c>
      <c r="E85" s="30">
        <v>402881</v>
      </c>
      <c r="F85" s="30">
        <v>337242</v>
      </c>
      <c r="G85" s="30">
        <v>369829</v>
      </c>
      <c r="H85" s="30">
        <v>365650</v>
      </c>
      <c r="I85" s="30">
        <v>406041</v>
      </c>
      <c r="J85" s="30">
        <v>435453</v>
      </c>
      <c r="K85" s="30">
        <v>479918</v>
      </c>
      <c r="L85" s="30">
        <v>465983</v>
      </c>
      <c r="M85" s="30">
        <v>421850</v>
      </c>
      <c r="N85" s="30">
        <v>440440</v>
      </c>
      <c r="O85" s="30">
        <v>449518</v>
      </c>
      <c r="P85" s="30">
        <v>496158</v>
      </c>
      <c r="Q85" s="44">
        <f t="shared" si="3"/>
        <v>5070963</v>
      </c>
      <c r="R85" s="46">
        <f t="shared" si="4"/>
        <v>0.10716186776578729</v>
      </c>
    </row>
    <row r="86" spans="1:18">
      <c r="A86" s="1" t="s">
        <v>238</v>
      </c>
      <c r="B86" s="7" t="s">
        <v>254</v>
      </c>
      <c r="C86" s="7" t="s">
        <v>255</v>
      </c>
      <c r="D86" s="6">
        <f>'2014 pax'!Q84</f>
        <v>207768</v>
      </c>
      <c r="E86" s="30">
        <v>15334</v>
      </c>
      <c r="F86" s="30">
        <v>16365</v>
      </c>
      <c r="G86" s="30">
        <v>17146</v>
      </c>
      <c r="H86" s="30">
        <v>15887</v>
      </c>
      <c r="I86" s="30">
        <v>16932</v>
      </c>
      <c r="J86" s="30">
        <v>18181</v>
      </c>
      <c r="K86" s="30">
        <v>18373</v>
      </c>
      <c r="L86" s="30">
        <v>17890</v>
      </c>
      <c r="M86" s="30">
        <v>18126</v>
      </c>
      <c r="N86" s="30">
        <v>19589</v>
      </c>
      <c r="O86" s="30">
        <v>19032</v>
      </c>
      <c r="P86" s="30">
        <v>18550</v>
      </c>
      <c r="Q86" s="44">
        <f t="shared" si="3"/>
        <v>211405</v>
      </c>
      <c r="R86" s="46">
        <f t="shared" si="4"/>
        <v>1.7505101844364823E-2</v>
      </c>
    </row>
    <row r="87" spans="1:18">
      <c r="A87" s="1" t="s">
        <v>238</v>
      </c>
      <c r="B87" s="7" t="s">
        <v>262</v>
      </c>
      <c r="C87" s="7" t="s">
        <v>263</v>
      </c>
      <c r="D87" s="6">
        <f>'2014 pax'!Q85</f>
        <v>3351200</v>
      </c>
      <c r="E87" s="30">
        <v>330801</v>
      </c>
      <c r="F87" s="30">
        <v>259113</v>
      </c>
      <c r="G87" s="30">
        <v>286138</v>
      </c>
      <c r="H87" s="30">
        <v>271033</v>
      </c>
      <c r="I87" s="30">
        <v>297872</v>
      </c>
      <c r="J87" s="30">
        <v>335105</v>
      </c>
      <c r="K87" s="30">
        <v>357953</v>
      </c>
      <c r="L87" s="30">
        <v>349678</v>
      </c>
      <c r="M87" s="30">
        <v>312317</v>
      </c>
      <c r="N87" s="30">
        <v>334631</v>
      </c>
      <c r="O87" s="30">
        <v>351474</v>
      </c>
      <c r="P87" s="30">
        <v>394939</v>
      </c>
      <c r="Q87" s="44">
        <f t="shared" si="3"/>
        <v>3881054</v>
      </c>
      <c r="R87" s="46">
        <f t="shared" si="4"/>
        <v>0.15810873716877527</v>
      </c>
    </row>
    <row r="88" spans="1:18">
      <c r="A88" s="1" t="s">
        <v>238</v>
      </c>
      <c r="B88" s="7" t="s">
        <v>282</v>
      </c>
      <c r="C88" s="7" t="s">
        <v>283</v>
      </c>
      <c r="D88" s="6">
        <f>'2014 pax'!Q86</f>
        <v>991659</v>
      </c>
      <c r="E88" s="30">
        <v>108648</v>
      </c>
      <c r="F88" s="30">
        <v>75393</v>
      </c>
      <c r="G88" s="30">
        <v>87787</v>
      </c>
      <c r="H88" s="30">
        <v>91213</v>
      </c>
      <c r="I88" s="30">
        <v>101615</v>
      </c>
      <c r="J88" s="30">
        <v>109540</v>
      </c>
      <c r="K88" s="30">
        <v>116413</v>
      </c>
      <c r="L88" s="30">
        <v>105946</v>
      </c>
      <c r="M88" s="30">
        <v>86157</v>
      </c>
      <c r="N88" s="30">
        <v>90650</v>
      </c>
      <c r="O88" s="30">
        <v>89494</v>
      </c>
      <c r="P88" s="30">
        <v>100434</v>
      </c>
      <c r="Q88" s="44">
        <f t="shared" si="3"/>
        <v>1163290</v>
      </c>
      <c r="R88" s="46">
        <f t="shared" si="4"/>
        <v>0.17307461536677415</v>
      </c>
    </row>
    <row r="89" spans="1:18">
      <c r="A89" s="1" t="s">
        <v>238</v>
      </c>
      <c r="B89" s="7" t="s">
        <v>296</v>
      </c>
      <c r="C89" s="7" t="s">
        <v>297</v>
      </c>
      <c r="D89" s="6">
        <f>'2014 pax'!Q87</f>
        <v>478653</v>
      </c>
      <c r="E89" s="30">
        <v>33840</v>
      </c>
      <c r="F89" s="30">
        <v>30559</v>
      </c>
      <c r="G89" s="30">
        <v>33690</v>
      </c>
      <c r="H89" s="30">
        <v>31573</v>
      </c>
      <c r="I89" s="30">
        <v>34061</v>
      </c>
      <c r="J89" s="30">
        <v>36056</v>
      </c>
      <c r="K89" s="30">
        <v>43828</v>
      </c>
      <c r="L89" s="30">
        <v>42296</v>
      </c>
      <c r="M89" s="30">
        <v>43966</v>
      </c>
      <c r="N89" s="30">
        <v>42282</v>
      </c>
      <c r="O89" s="30">
        <v>38742</v>
      </c>
      <c r="P89" s="30">
        <v>37854</v>
      </c>
      <c r="Q89" s="44">
        <f t="shared" si="3"/>
        <v>448747</v>
      </c>
      <c r="R89" s="46">
        <f t="shared" si="4"/>
        <v>-6.2479499762876256E-2</v>
      </c>
    </row>
    <row r="90" spans="1:18">
      <c r="A90" s="1" t="s">
        <v>238</v>
      </c>
      <c r="B90" s="7" t="s">
        <v>292</v>
      </c>
      <c r="C90" s="7" t="s">
        <v>293</v>
      </c>
      <c r="D90" s="6">
        <f>'2014 pax'!Q88</f>
        <v>168286</v>
      </c>
      <c r="E90" s="30">
        <v>11764</v>
      </c>
      <c r="F90" s="30">
        <v>12161</v>
      </c>
      <c r="G90" s="30">
        <v>13222</v>
      </c>
      <c r="H90" s="30">
        <v>12355</v>
      </c>
      <c r="I90" s="30">
        <v>13886</v>
      </c>
      <c r="J90" s="30">
        <v>13377</v>
      </c>
      <c r="K90" s="30">
        <v>14314</v>
      </c>
      <c r="L90" s="30">
        <v>14104</v>
      </c>
      <c r="M90" s="30">
        <v>13286</v>
      </c>
      <c r="N90" s="30">
        <v>14138</v>
      </c>
      <c r="O90" s="30">
        <v>13363</v>
      </c>
      <c r="P90" s="30">
        <v>12515</v>
      </c>
      <c r="Q90" s="44">
        <f t="shared" si="3"/>
        <v>158485</v>
      </c>
      <c r="R90" s="46">
        <f t="shared" si="4"/>
        <v>-5.8240138811309294E-2</v>
      </c>
    </row>
    <row r="91" spans="1:18">
      <c r="A91" s="1" t="s">
        <v>238</v>
      </c>
      <c r="B91" s="7" t="s">
        <v>270</v>
      </c>
      <c r="C91" s="7" t="s">
        <v>271</v>
      </c>
      <c r="D91" s="6">
        <f>'2014 pax'!Q89</f>
        <v>217386</v>
      </c>
      <c r="E91" s="30">
        <v>22459</v>
      </c>
      <c r="F91" s="30">
        <v>16305</v>
      </c>
      <c r="G91" s="30">
        <v>18316</v>
      </c>
      <c r="H91" s="45">
        <v>14097</v>
      </c>
      <c r="I91" s="30">
        <v>16754</v>
      </c>
      <c r="J91" s="30">
        <v>21939</v>
      </c>
      <c r="K91" s="30">
        <v>18368</v>
      </c>
      <c r="L91" s="30">
        <v>21218</v>
      </c>
      <c r="M91" s="30">
        <v>17486</v>
      </c>
      <c r="N91" s="30">
        <v>19308</v>
      </c>
      <c r="O91" s="30">
        <v>21818</v>
      </c>
      <c r="P91" s="30">
        <v>27351</v>
      </c>
      <c r="Q91" s="44">
        <f t="shared" si="3"/>
        <v>235419</v>
      </c>
      <c r="R91" s="46">
        <f t="shared" si="4"/>
        <v>8.2953824073307425E-2</v>
      </c>
    </row>
    <row r="92" spans="1:18">
      <c r="A92" s="1" t="s">
        <v>238</v>
      </c>
      <c r="B92" s="7" t="s">
        <v>294</v>
      </c>
      <c r="C92" s="7" t="s">
        <v>295</v>
      </c>
      <c r="D92" s="6">
        <f>'2014 pax'!Q90</f>
        <v>201846</v>
      </c>
      <c r="E92" s="30">
        <v>18410</v>
      </c>
      <c r="F92" s="30">
        <v>16706</v>
      </c>
      <c r="G92" s="30">
        <v>16148</v>
      </c>
      <c r="H92" s="30">
        <v>15126</v>
      </c>
      <c r="I92" s="30">
        <v>16250</v>
      </c>
      <c r="J92" s="30">
        <v>18259</v>
      </c>
      <c r="K92" s="30">
        <v>20514</v>
      </c>
      <c r="L92" s="30">
        <v>19750</v>
      </c>
      <c r="M92" s="30">
        <v>17007</v>
      </c>
      <c r="N92" s="30">
        <v>17574</v>
      </c>
      <c r="O92" s="30">
        <v>18605</v>
      </c>
      <c r="P92" s="30">
        <v>17600</v>
      </c>
      <c r="Q92" s="44">
        <f t="shared" si="3"/>
        <v>211949</v>
      </c>
      <c r="R92" s="46">
        <f t="shared" si="4"/>
        <v>5.0053010711136103E-2</v>
      </c>
    </row>
    <row r="93" spans="1:18">
      <c r="A93" s="1" t="s">
        <v>238</v>
      </c>
      <c r="B93" s="7" t="s">
        <v>256</v>
      </c>
      <c r="C93" s="7" t="s">
        <v>257</v>
      </c>
      <c r="D93" s="6">
        <f>'2014 pax'!Q91</f>
        <v>989262</v>
      </c>
      <c r="E93" s="30">
        <v>88615</v>
      </c>
      <c r="F93" s="30">
        <v>75808</v>
      </c>
      <c r="G93" s="30">
        <v>85350</v>
      </c>
      <c r="H93" s="30">
        <v>78378</v>
      </c>
      <c r="I93" s="30">
        <v>83178</v>
      </c>
      <c r="J93" s="30">
        <v>92341</v>
      </c>
      <c r="K93" s="30">
        <v>96203</v>
      </c>
      <c r="L93" s="30">
        <v>95541</v>
      </c>
      <c r="M93" s="30">
        <v>92955</v>
      </c>
      <c r="N93" s="30">
        <v>99480</v>
      </c>
      <c r="O93" s="30">
        <v>97497</v>
      </c>
      <c r="P93" s="30">
        <v>101194</v>
      </c>
      <c r="Q93" s="44">
        <f t="shared" si="3"/>
        <v>1086540</v>
      </c>
      <c r="R93" s="46">
        <f t="shared" si="4"/>
        <v>9.8333909520430307E-2</v>
      </c>
    </row>
    <row r="94" spans="1:18">
      <c r="A94" s="1" t="s">
        <v>238</v>
      </c>
      <c r="B94" s="7" t="s">
        <v>288</v>
      </c>
      <c r="C94" s="7" t="s">
        <v>289</v>
      </c>
      <c r="D94" s="6">
        <f>'2014 pax'!Q92</f>
        <v>799406</v>
      </c>
      <c r="E94" s="30">
        <v>77572</v>
      </c>
      <c r="F94" s="30">
        <v>62500</v>
      </c>
      <c r="G94" s="30">
        <v>70145</v>
      </c>
      <c r="H94" s="30">
        <v>68636</v>
      </c>
      <c r="I94" s="30">
        <v>67718</v>
      </c>
      <c r="J94" s="30">
        <v>75782</v>
      </c>
      <c r="K94" s="30">
        <v>78974</v>
      </c>
      <c r="L94" s="30">
        <v>76654</v>
      </c>
      <c r="M94" s="30">
        <v>70824</v>
      </c>
      <c r="N94" s="30">
        <v>79794</v>
      </c>
      <c r="O94" s="30">
        <v>78680</v>
      </c>
      <c r="P94" s="30">
        <v>84841</v>
      </c>
      <c r="Q94" s="44">
        <f t="shared" si="3"/>
        <v>892120</v>
      </c>
      <c r="R94" s="46">
        <f t="shared" si="4"/>
        <v>0.11597861412098487</v>
      </c>
    </row>
    <row r="95" spans="1:18">
      <c r="A95" s="1" t="s">
        <v>238</v>
      </c>
      <c r="B95" s="7" t="s">
        <v>274</v>
      </c>
      <c r="C95" s="7" t="s">
        <v>275</v>
      </c>
      <c r="D95" s="6">
        <f>'2014 pax'!Q93</f>
        <v>312611</v>
      </c>
      <c r="E95" s="30">
        <v>22080</v>
      </c>
      <c r="F95" s="30">
        <v>22501</v>
      </c>
      <c r="G95" s="30">
        <v>26107</v>
      </c>
      <c r="H95" s="30">
        <v>24000</v>
      </c>
      <c r="I95" s="30">
        <v>28313</v>
      </c>
      <c r="J95" s="30">
        <v>27431</v>
      </c>
      <c r="K95" s="30">
        <v>27703</v>
      </c>
      <c r="L95" s="30">
        <v>28777</v>
      </c>
      <c r="M95" s="30">
        <v>29077</v>
      </c>
      <c r="N95" s="30">
        <v>30075</v>
      </c>
      <c r="O95" s="30">
        <v>29456</v>
      </c>
      <c r="P95" s="30">
        <v>28523</v>
      </c>
      <c r="Q95" s="44">
        <f t="shared" si="3"/>
        <v>324043</v>
      </c>
      <c r="R95" s="46">
        <f t="shared" si="4"/>
        <v>3.6569410545374215E-2</v>
      </c>
    </row>
    <row r="96" spans="1:18">
      <c r="A96" s="1" t="s">
        <v>238</v>
      </c>
      <c r="B96" s="7" t="s">
        <v>562</v>
      </c>
      <c r="C96" s="7" t="s">
        <v>267</v>
      </c>
      <c r="D96" s="6">
        <f>'2014 pax'!Q94</f>
        <v>1374134</v>
      </c>
      <c r="E96" s="30">
        <v>125738</v>
      </c>
      <c r="F96" s="30">
        <v>102477</v>
      </c>
      <c r="G96" s="30">
        <v>120357</v>
      </c>
      <c r="H96" s="30">
        <v>120624</v>
      </c>
      <c r="I96" s="30">
        <v>131368</v>
      </c>
      <c r="J96" s="30">
        <v>134499</v>
      </c>
      <c r="K96" s="30">
        <v>136630</v>
      </c>
      <c r="L96" s="30">
        <v>132854</v>
      </c>
      <c r="M96" s="30">
        <v>129512</v>
      </c>
      <c r="N96" s="30">
        <v>135625</v>
      </c>
      <c r="O96" s="30">
        <v>126963</v>
      </c>
      <c r="P96" s="30">
        <v>131598</v>
      </c>
      <c r="Q96" s="44">
        <f t="shared" si="3"/>
        <v>1528245</v>
      </c>
      <c r="R96" s="46">
        <f t="shared" si="4"/>
        <v>0.11215136223978162</v>
      </c>
    </row>
    <row r="97" spans="1:18">
      <c r="A97" s="1" t="s">
        <v>238</v>
      </c>
      <c r="B97" s="7" t="s">
        <v>280</v>
      </c>
      <c r="C97" s="7" t="s">
        <v>281</v>
      </c>
      <c r="D97" s="6">
        <f>'2014 pax'!Q95</f>
        <v>253474</v>
      </c>
      <c r="E97" s="30">
        <v>24870</v>
      </c>
      <c r="F97" s="30">
        <v>20128</v>
      </c>
      <c r="G97" s="30">
        <v>23065</v>
      </c>
      <c r="H97" s="30">
        <v>23184</v>
      </c>
      <c r="I97" s="30">
        <v>24137</v>
      </c>
      <c r="J97" s="30">
        <v>25302</v>
      </c>
      <c r="K97" s="30">
        <v>29155</v>
      </c>
      <c r="L97" s="30">
        <v>28630</v>
      </c>
      <c r="M97" s="30">
        <v>25993</v>
      </c>
      <c r="N97" s="30">
        <v>27360</v>
      </c>
      <c r="O97" s="30">
        <v>26812</v>
      </c>
      <c r="P97" s="30">
        <v>27777</v>
      </c>
      <c r="Q97" s="44">
        <f t="shared" si="3"/>
        <v>306413</v>
      </c>
      <c r="R97" s="46">
        <f t="shared" si="4"/>
        <v>0.20885376803932543</v>
      </c>
    </row>
    <row r="98" spans="1:18">
      <c r="A98" s="1" t="s">
        <v>238</v>
      </c>
      <c r="B98" s="7" t="s">
        <v>286</v>
      </c>
      <c r="C98" s="7" t="s">
        <v>287</v>
      </c>
      <c r="D98" s="6">
        <f>'2014 pax'!Q96</f>
        <v>353213</v>
      </c>
      <c r="E98" s="30">
        <v>34314</v>
      </c>
      <c r="F98" s="30">
        <v>24916</v>
      </c>
      <c r="G98" s="30">
        <v>30486</v>
      </c>
      <c r="H98" s="45">
        <v>27764</v>
      </c>
      <c r="I98" s="30">
        <v>27539</v>
      </c>
      <c r="J98" s="30">
        <v>30962</v>
      </c>
      <c r="K98" s="30">
        <v>32114</v>
      </c>
      <c r="L98" s="30">
        <v>30749</v>
      </c>
      <c r="M98" s="30">
        <v>31871</v>
      </c>
      <c r="N98" s="30">
        <v>34311</v>
      </c>
      <c r="O98" s="30">
        <v>36495</v>
      </c>
      <c r="P98" s="30">
        <v>39281</v>
      </c>
      <c r="Q98" s="44">
        <f t="shared" si="3"/>
        <v>380802</v>
      </c>
      <c r="R98" s="46">
        <f t="shared" si="4"/>
        <v>7.8108676634212282E-2</v>
      </c>
    </row>
    <row r="99" spans="1:18">
      <c r="A99" s="1" t="s">
        <v>238</v>
      </c>
      <c r="B99" s="7" t="s">
        <v>525</v>
      </c>
      <c r="C99" s="7" t="s">
        <v>259</v>
      </c>
      <c r="D99" s="6">
        <f>'2014 pax'!Q97</f>
        <v>5004460</v>
      </c>
      <c r="E99" s="30">
        <v>416282</v>
      </c>
      <c r="F99" s="30">
        <v>370853</v>
      </c>
      <c r="G99" s="30">
        <v>415200</v>
      </c>
      <c r="H99" s="30">
        <v>410220</v>
      </c>
      <c r="I99" s="30">
        <v>529964</v>
      </c>
      <c r="J99" s="55">
        <v>584996</v>
      </c>
      <c r="K99" s="30">
        <v>608620</v>
      </c>
      <c r="L99" s="30">
        <v>604903</v>
      </c>
      <c r="M99" s="30">
        <v>564892</v>
      </c>
      <c r="N99" s="30">
        <v>591324</v>
      </c>
      <c r="O99" s="30">
        <v>632209</v>
      </c>
      <c r="P99" s="30">
        <v>684459</v>
      </c>
      <c r="Q99" s="44">
        <f t="shared" si="3"/>
        <v>6413922</v>
      </c>
      <c r="R99" s="46">
        <f t="shared" si="4"/>
        <v>0.28164117607094474</v>
      </c>
    </row>
    <row r="100" spans="1:18">
      <c r="A100" s="1" t="s">
        <v>238</v>
      </c>
      <c r="B100" s="7" t="s">
        <v>268</v>
      </c>
      <c r="C100" s="7" t="s">
        <v>269</v>
      </c>
      <c r="D100" s="6">
        <f>'2014 pax'!Q98</f>
        <v>1498196</v>
      </c>
      <c r="E100" s="30">
        <v>158908</v>
      </c>
      <c r="F100" s="30">
        <v>129110</v>
      </c>
      <c r="G100" s="30">
        <v>140202</v>
      </c>
      <c r="H100" s="30">
        <v>118647</v>
      </c>
      <c r="I100" s="30">
        <v>147792</v>
      </c>
      <c r="J100" s="30">
        <v>172851</v>
      </c>
      <c r="K100" s="30">
        <v>155008</v>
      </c>
      <c r="L100" s="30">
        <v>174267</v>
      </c>
      <c r="M100" s="30">
        <v>159846</v>
      </c>
      <c r="N100" s="30">
        <v>170460</v>
      </c>
      <c r="O100" s="30">
        <v>181575</v>
      </c>
      <c r="P100" s="30">
        <v>202452</v>
      </c>
      <c r="Q100" s="44">
        <f t="shared" si="3"/>
        <v>1911118</v>
      </c>
      <c r="R100" s="46">
        <f t="shared" si="4"/>
        <v>0.27561280366520813</v>
      </c>
    </row>
    <row r="101" spans="1:18">
      <c r="A101" s="1" t="s">
        <v>238</v>
      </c>
      <c r="B101" s="7" t="s">
        <v>276</v>
      </c>
      <c r="C101" s="7" t="s">
        <v>277</v>
      </c>
      <c r="D101" s="6">
        <f>'2014 pax'!Q99</f>
        <v>1224284</v>
      </c>
      <c r="E101" s="30">
        <v>136386</v>
      </c>
      <c r="F101" s="30">
        <v>99528</v>
      </c>
      <c r="G101" s="30">
        <v>104671</v>
      </c>
      <c r="H101" s="30">
        <v>109866</v>
      </c>
      <c r="I101" s="30">
        <v>113737</v>
      </c>
      <c r="J101" s="30">
        <v>119882</v>
      </c>
      <c r="K101" s="30">
        <v>134847</v>
      </c>
      <c r="L101" s="30">
        <v>138963</v>
      </c>
      <c r="M101" s="30">
        <v>121854</v>
      </c>
      <c r="N101" s="30">
        <v>126303</v>
      </c>
      <c r="O101" s="30">
        <v>120142</v>
      </c>
      <c r="P101" s="30">
        <v>132007</v>
      </c>
      <c r="Q101" s="44">
        <f t="shared" si="3"/>
        <v>1458186</v>
      </c>
      <c r="R101" s="46">
        <f t="shared" si="4"/>
        <v>0.19105207615226538</v>
      </c>
    </row>
    <row r="102" spans="1:18">
      <c r="A102" s="1" t="s">
        <v>238</v>
      </c>
      <c r="B102" s="7" t="s">
        <v>284</v>
      </c>
      <c r="C102" s="7" t="s">
        <v>285</v>
      </c>
      <c r="D102" s="6">
        <f>'2014 pax'!Q100</f>
        <v>362026</v>
      </c>
      <c r="E102" s="30">
        <v>29104</v>
      </c>
      <c r="F102" s="30">
        <v>25587</v>
      </c>
      <c r="G102" s="30">
        <v>28744</v>
      </c>
      <c r="H102" s="30">
        <v>31077</v>
      </c>
      <c r="I102" s="30">
        <v>33364</v>
      </c>
      <c r="J102" s="30">
        <v>31439</v>
      </c>
      <c r="K102" s="30">
        <v>35690</v>
      </c>
      <c r="L102" s="30">
        <v>33301</v>
      </c>
      <c r="M102" s="30">
        <v>32597</v>
      </c>
      <c r="N102" s="30">
        <v>34006</v>
      </c>
      <c r="O102" s="30">
        <v>32412</v>
      </c>
      <c r="P102" s="30">
        <v>32943</v>
      </c>
      <c r="Q102" s="44">
        <f t="shared" si="3"/>
        <v>380264</v>
      </c>
      <c r="R102" s="46">
        <f t="shared" si="4"/>
        <v>5.0377597189152246E-2</v>
      </c>
    </row>
    <row r="103" spans="1:18">
      <c r="A103" s="1" t="s">
        <v>238</v>
      </c>
      <c r="B103" s="7" t="s">
        <v>278</v>
      </c>
      <c r="C103" s="7" t="s">
        <v>279</v>
      </c>
      <c r="D103" s="6">
        <f>'2014 pax'!Q101</f>
        <v>199348</v>
      </c>
      <c r="E103" s="30">
        <v>16893</v>
      </c>
      <c r="F103" s="30">
        <v>18640</v>
      </c>
      <c r="G103" s="30">
        <v>18467</v>
      </c>
      <c r="H103" s="30">
        <v>18545</v>
      </c>
      <c r="I103" s="30">
        <v>18618</v>
      </c>
      <c r="J103" s="30">
        <v>19306</v>
      </c>
      <c r="K103" s="30">
        <v>20312</v>
      </c>
      <c r="L103" s="30">
        <v>20359</v>
      </c>
      <c r="M103" s="30">
        <v>20652</v>
      </c>
      <c r="N103" s="30">
        <v>20184</v>
      </c>
      <c r="O103" s="30">
        <v>17133</v>
      </c>
      <c r="P103" s="30">
        <v>18020</v>
      </c>
      <c r="Q103" s="44">
        <f t="shared" si="3"/>
        <v>227129</v>
      </c>
      <c r="R103" s="46">
        <f t="shared" si="4"/>
        <v>0.13935931135501733</v>
      </c>
    </row>
    <row r="104" spans="1:18">
      <c r="A104" s="1" t="s">
        <v>241</v>
      </c>
      <c r="B104" s="3" t="s">
        <v>529</v>
      </c>
      <c r="C104" s="3" t="s">
        <v>250</v>
      </c>
      <c r="D104" s="6">
        <f>'2014 pax'!Q102</f>
        <v>57781</v>
      </c>
      <c r="E104" s="30">
        <v>7713</v>
      </c>
      <c r="F104" s="30">
        <v>7268</v>
      </c>
      <c r="G104" s="30">
        <v>7820</v>
      </c>
      <c r="H104" s="45">
        <v>5764</v>
      </c>
      <c r="I104" s="30">
        <v>3122</v>
      </c>
      <c r="J104" s="30">
        <v>3866</v>
      </c>
      <c r="K104" s="30">
        <v>4669</v>
      </c>
      <c r="L104" s="30">
        <v>4779</v>
      </c>
      <c r="M104" s="30">
        <v>2373</v>
      </c>
      <c r="N104" s="30">
        <v>2490</v>
      </c>
      <c r="O104" s="30">
        <v>4768</v>
      </c>
      <c r="P104" s="30">
        <v>6768</v>
      </c>
      <c r="Q104" s="44">
        <f t="shared" si="3"/>
        <v>61400</v>
      </c>
      <c r="R104" s="46">
        <f t="shared" si="4"/>
        <v>6.2633045464772108E-2</v>
      </c>
    </row>
    <row r="105" spans="1:18">
      <c r="A105" s="1" t="s">
        <v>241</v>
      </c>
      <c r="B105" s="3" t="s">
        <v>245</v>
      </c>
      <c r="C105" s="3" t="s">
        <v>246</v>
      </c>
      <c r="D105" s="6">
        <f>'2014 pax'!Q103</f>
        <v>596130</v>
      </c>
      <c r="E105" s="30">
        <v>41818</v>
      </c>
      <c r="F105" s="30">
        <v>40764</v>
      </c>
      <c r="G105" s="30">
        <v>50605</v>
      </c>
      <c r="H105" s="45">
        <v>44482</v>
      </c>
      <c r="I105" s="30">
        <v>48002</v>
      </c>
      <c r="J105" s="30">
        <v>60927</v>
      </c>
      <c r="K105" s="30">
        <v>80137</v>
      </c>
      <c r="L105" s="30">
        <v>64880</v>
      </c>
      <c r="M105" s="30">
        <v>39045</v>
      </c>
      <c r="N105" s="30">
        <v>46882</v>
      </c>
      <c r="O105" s="30">
        <v>45606</v>
      </c>
      <c r="P105" s="30">
        <v>72070</v>
      </c>
      <c r="Q105" s="44">
        <f t="shared" si="3"/>
        <v>635218</v>
      </c>
      <c r="R105" s="46">
        <f t="shared" si="4"/>
        <v>6.5569590525556443E-2</v>
      </c>
    </row>
    <row r="106" spans="1:18">
      <c r="A106" s="1" t="s">
        <v>241</v>
      </c>
      <c r="B106" s="3" t="s">
        <v>530</v>
      </c>
      <c r="C106" s="3" t="s">
        <v>247</v>
      </c>
      <c r="D106" s="6">
        <f>'2014 pax'!Q104</f>
        <v>1546361</v>
      </c>
      <c r="E106" s="30">
        <v>128959</v>
      </c>
      <c r="F106" s="30">
        <v>112854</v>
      </c>
      <c r="G106" s="30">
        <v>132438</v>
      </c>
      <c r="H106" s="45">
        <v>126621</v>
      </c>
      <c r="I106" s="30">
        <v>133810</v>
      </c>
      <c r="J106" s="30">
        <v>149036</v>
      </c>
      <c r="K106" s="30">
        <v>181727</v>
      </c>
      <c r="L106" s="30">
        <v>162979</v>
      </c>
      <c r="M106" s="30">
        <v>126541</v>
      </c>
      <c r="N106" s="30">
        <v>140461</v>
      </c>
      <c r="O106" s="30">
        <v>144651</v>
      </c>
      <c r="P106" s="30">
        <v>192593</v>
      </c>
      <c r="Q106" s="44">
        <f t="shared" si="3"/>
        <v>1732670</v>
      </c>
      <c r="R106" s="46">
        <f t="shared" si="4"/>
        <v>0.12048221598966857</v>
      </c>
    </row>
    <row r="107" spans="1:18">
      <c r="A107" s="1" t="s">
        <v>241</v>
      </c>
      <c r="B107" s="3" t="s">
        <v>248</v>
      </c>
      <c r="C107" s="3" t="s">
        <v>249</v>
      </c>
      <c r="D107" s="6">
        <f>'2014 pax'!Q105</f>
        <v>116091</v>
      </c>
      <c r="E107" s="52">
        <v>14527</v>
      </c>
      <c r="F107" s="52">
        <v>12547</v>
      </c>
      <c r="G107" s="52">
        <v>12386</v>
      </c>
      <c r="H107" s="52">
        <v>8542</v>
      </c>
      <c r="I107" s="52">
        <v>5826</v>
      </c>
      <c r="J107" s="52">
        <v>5963</v>
      </c>
      <c r="K107" s="30">
        <v>8046</v>
      </c>
      <c r="L107" s="30">
        <v>7885</v>
      </c>
      <c r="M107" s="30">
        <v>3206</v>
      </c>
      <c r="N107" s="30">
        <v>4867</v>
      </c>
      <c r="O107" s="30">
        <v>7578</v>
      </c>
      <c r="P107" s="30">
        <v>13054</v>
      </c>
      <c r="Q107" s="44">
        <f t="shared" si="3"/>
        <v>104427</v>
      </c>
      <c r="R107" s="46">
        <f t="shared" si="4"/>
        <v>-0.10047290487634697</v>
      </c>
    </row>
    <row r="108" spans="1:18">
      <c r="A108" s="1" t="s">
        <v>241</v>
      </c>
      <c r="B108" s="3" t="s">
        <v>531</v>
      </c>
      <c r="C108" s="3" t="s">
        <v>242</v>
      </c>
      <c r="D108" s="6">
        <f>'2014 pax'!Q106</f>
        <v>728019</v>
      </c>
      <c r="E108" s="52">
        <v>50432</v>
      </c>
      <c r="F108" s="52">
        <v>46672</v>
      </c>
      <c r="G108" s="52">
        <v>51338</v>
      </c>
      <c r="H108" s="52">
        <v>39808</v>
      </c>
      <c r="I108" s="52">
        <v>22714</v>
      </c>
      <c r="J108" s="52">
        <v>23823</v>
      </c>
      <c r="K108" s="30">
        <v>28082</v>
      </c>
      <c r="L108" s="30">
        <v>24809</v>
      </c>
      <c r="M108" s="30">
        <v>16740</v>
      </c>
      <c r="N108" s="30">
        <v>18170</v>
      </c>
      <c r="O108" s="30">
        <v>26431</v>
      </c>
      <c r="P108" s="30">
        <v>43603</v>
      </c>
      <c r="Q108" s="44">
        <f t="shared" si="3"/>
        <v>392622</v>
      </c>
      <c r="R108" s="46">
        <f t="shared" si="4"/>
        <v>-0.46069814111994334</v>
      </c>
    </row>
    <row r="109" spans="1:18">
      <c r="A109" s="1" t="s">
        <v>241</v>
      </c>
      <c r="B109" s="3" t="s">
        <v>243</v>
      </c>
      <c r="C109" s="3" t="s">
        <v>244</v>
      </c>
      <c r="D109" s="6">
        <f>'2014 pax'!Q107</f>
        <v>2927827</v>
      </c>
      <c r="E109" s="52">
        <v>291426</v>
      </c>
      <c r="F109" s="52">
        <v>285144</v>
      </c>
      <c r="G109" s="52">
        <v>316633</v>
      </c>
      <c r="H109" s="52">
        <v>276205</v>
      </c>
      <c r="I109" s="52">
        <v>244367</v>
      </c>
      <c r="J109" s="52">
        <v>277160</v>
      </c>
      <c r="K109" s="30">
        <v>320295</v>
      </c>
      <c r="L109" s="30">
        <v>261901</v>
      </c>
      <c r="M109" s="30">
        <v>184533</v>
      </c>
      <c r="N109" s="30">
        <v>203435</v>
      </c>
      <c r="O109" s="30">
        <v>241200</v>
      </c>
      <c r="P109" s="30">
        <v>304575</v>
      </c>
      <c r="Q109" s="44">
        <f t="shared" si="3"/>
        <v>3206874</v>
      </c>
      <c r="R109" s="46">
        <f t="shared" ref="R109:R170" si="5">Q109/D109-1</f>
        <v>9.5308568436591301E-2</v>
      </c>
    </row>
    <row r="110" spans="1:18">
      <c r="A110" s="3" t="s">
        <v>341</v>
      </c>
      <c r="B110" s="3" t="s">
        <v>342</v>
      </c>
      <c r="C110" s="3" t="s">
        <v>343</v>
      </c>
      <c r="D110" s="6">
        <f>'2014 pax'!Q108</f>
        <v>0</v>
      </c>
      <c r="E110" s="30"/>
      <c r="F110" s="30"/>
      <c r="G110" s="30"/>
      <c r="H110" s="45"/>
      <c r="I110" s="30"/>
      <c r="J110" s="30"/>
      <c r="K110" s="30"/>
      <c r="L110" s="30"/>
      <c r="M110" s="30"/>
      <c r="N110" s="30"/>
      <c r="O110" s="30"/>
      <c r="P110" s="30"/>
      <c r="Q110" s="44">
        <f t="shared" si="3"/>
        <v>0</v>
      </c>
      <c r="R110" s="46"/>
    </row>
    <row r="111" spans="1:18">
      <c r="A111" s="1" t="s">
        <v>251</v>
      </c>
      <c r="B111" s="3" t="s">
        <v>361</v>
      </c>
      <c r="C111" s="3" t="s">
        <v>252</v>
      </c>
      <c r="D111" s="6">
        <f>'2014 pax'!Q109</f>
        <v>2439576</v>
      </c>
      <c r="E111" s="30">
        <v>214903</v>
      </c>
      <c r="F111" s="30">
        <v>183686</v>
      </c>
      <c r="G111" s="30">
        <v>194590</v>
      </c>
      <c r="H111" s="45">
        <v>214205</v>
      </c>
      <c r="I111" s="30">
        <v>206583</v>
      </c>
      <c r="J111" s="30">
        <v>233777</v>
      </c>
      <c r="K111" s="30">
        <v>254420</v>
      </c>
      <c r="L111" s="30">
        <v>265199</v>
      </c>
      <c r="M111" s="30">
        <v>193072</v>
      </c>
      <c r="N111" s="30">
        <v>213609</v>
      </c>
      <c r="O111" s="30">
        <v>267373</v>
      </c>
      <c r="P111" s="30">
        <v>270204</v>
      </c>
      <c r="Q111" s="44">
        <f t="shared" si="3"/>
        <v>2711621</v>
      </c>
      <c r="R111" s="46">
        <f t="shared" si="5"/>
        <v>0.11151323016786518</v>
      </c>
    </row>
    <row r="112" spans="1:18">
      <c r="A112" s="1" t="s">
        <v>334</v>
      </c>
      <c r="B112" s="7" t="s">
        <v>335</v>
      </c>
      <c r="C112" s="7" t="s">
        <v>336</v>
      </c>
      <c r="D112" s="6">
        <f>'2014 pax'!Q110</f>
        <v>2029080</v>
      </c>
      <c r="E112" s="45">
        <v>197431</v>
      </c>
      <c r="F112" s="45">
        <v>202111</v>
      </c>
      <c r="G112" s="45">
        <v>197368</v>
      </c>
      <c r="H112" s="45">
        <v>187096</v>
      </c>
      <c r="I112" s="45">
        <v>152822</v>
      </c>
      <c r="J112" s="45">
        <v>140600</v>
      </c>
      <c r="K112" s="45">
        <v>199483</v>
      </c>
      <c r="L112" s="45">
        <v>225822</v>
      </c>
      <c r="M112" s="45">
        <v>110125</v>
      </c>
      <c r="N112" s="45">
        <v>137362</v>
      </c>
      <c r="O112" s="45">
        <v>139077</v>
      </c>
      <c r="P112" s="45">
        <v>200466</v>
      </c>
      <c r="Q112" s="44">
        <f t="shared" si="3"/>
        <v>2089763</v>
      </c>
      <c r="R112" s="46">
        <f t="shared" si="5"/>
        <v>2.990665720425012E-2</v>
      </c>
    </row>
    <row r="113" spans="1:18" s="42" customFormat="1">
      <c r="A113" s="1" t="s">
        <v>546</v>
      </c>
      <c r="B113" s="7" t="s">
        <v>547</v>
      </c>
      <c r="C113" s="7" t="s">
        <v>548</v>
      </c>
      <c r="D113" s="6">
        <f>'2014 pax'!Q111</f>
        <v>2216885</v>
      </c>
      <c r="E113" s="30">
        <v>190061</v>
      </c>
      <c r="F113" s="30">
        <v>157097</v>
      </c>
      <c r="G113" s="30">
        <v>196931</v>
      </c>
      <c r="H113" s="30">
        <v>180510</v>
      </c>
      <c r="I113" s="30">
        <v>176004</v>
      </c>
      <c r="J113" s="30">
        <v>203759</v>
      </c>
      <c r="K113" s="30">
        <v>224357</v>
      </c>
      <c r="L113" s="30">
        <v>196962</v>
      </c>
      <c r="M113" s="30">
        <v>158957</v>
      </c>
      <c r="N113" s="30">
        <v>182559</v>
      </c>
      <c r="O113" s="30">
        <v>219454</v>
      </c>
      <c r="P113" s="30">
        <v>236709</v>
      </c>
      <c r="Q113" s="44">
        <f t="shared" si="3"/>
        <v>2323360</v>
      </c>
      <c r="R113" s="46">
        <f t="shared" si="5"/>
        <v>4.8029103900292469E-2</v>
      </c>
    </row>
    <row r="114" spans="1:18">
      <c r="A114" s="1" t="s">
        <v>331</v>
      </c>
      <c r="B114" s="7" t="s">
        <v>332</v>
      </c>
      <c r="C114" s="7" t="s">
        <v>333</v>
      </c>
      <c r="D114" s="6">
        <f>'2014 pax'!Q112</f>
        <v>1683339</v>
      </c>
      <c r="E114" s="30">
        <v>154625</v>
      </c>
      <c r="F114" s="45">
        <v>162547</v>
      </c>
      <c r="G114" s="30">
        <v>157544</v>
      </c>
      <c r="H114" s="45" t="s">
        <v>561</v>
      </c>
      <c r="I114" s="30">
        <v>123755</v>
      </c>
      <c r="J114" s="30">
        <v>113351</v>
      </c>
      <c r="K114" s="30"/>
      <c r="L114" s="32"/>
      <c r="M114" s="30"/>
      <c r="N114" s="30"/>
      <c r="O114" s="30"/>
      <c r="P114" s="30"/>
      <c r="Q114" s="44">
        <f t="shared" si="3"/>
        <v>711822</v>
      </c>
      <c r="R114" s="46"/>
    </row>
    <row r="115" spans="1:18" ht="15.75">
      <c r="A115" s="1" t="s">
        <v>85</v>
      </c>
      <c r="B115" s="1" t="s">
        <v>364</v>
      </c>
      <c r="C115" s="1" t="s">
        <v>126</v>
      </c>
      <c r="D115" s="6">
        <f>'2014 pax'!Q113</f>
        <v>631570</v>
      </c>
      <c r="E115" s="60">
        <v>67354</v>
      </c>
      <c r="F115" s="60">
        <v>57809</v>
      </c>
      <c r="G115" s="60">
        <v>74080</v>
      </c>
      <c r="H115" s="60">
        <v>66948</v>
      </c>
      <c r="I115" s="60">
        <v>55752</v>
      </c>
      <c r="J115" s="60">
        <v>48344</v>
      </c>
      <c r="K115" s="60">
        <v>69861</v>
      </c>
      <c r="L115" s="60">
        <v>61787</v>
      </c>
      <c r="M115" s="60">
        <v>43939</v>
      </c>
      <c r="N115" s="60">
        <v>54039</v>
      </c>
      <c r="O115" s="60">
        <v>62366</v>
      </c>
      <c r="P115" s="60">
        <v>68103</v>
      </c>
      <c r="Q115" s="44">
        <f t="shared" si="3"/>
        <v>730382</v>
      </c>
      <c r="R115" s="46">
        <f t="shared" si="5"/>
        <v>0.1564545497727885</v>
      </c>
    </row>
    <row r="116" spans="1:18">
      <c r="A116" s="1" t="s">
        <v>85</v>
      </c>
      <c r="B116" s="1" t="s">
        <v>377</v>
      </c>
      <c r="C116" s="1" t="s">
        <v>121</v>
      </c>
      <c r="D116" s="6">
        <f>'2014 pax'!Q114</f>
        <v>540500</v>
      </c>
      <c r="E116" s="60">
        <v>45200</v>
      </c>
      <c r="F116" s="60">
        <v>38800</v>
      </c>
      <c r="G116" s="60">
        <v>47600</v>
      </c>
      <c r="H116" s="61">
        <v>54700</v>
      </c>
      <c r="I116" s="60">
        <v>54800</v>
      </c>
      <c r="J116" s="60">
        <v>52900</v>
      </c>
      <c r="K116" s="60">
        <v>65200</v>
      </c>
      <c r="L116" s="60">
        <v>60200</v>
      </c>
      <c r="M116" s="60">
        <v>50200</v>
      </c>
      <c r="N116" s="60">
        <v>53800</v>
      </c>
      <c r="O116" s="60">
        <v>53900</v>
      </c>
      <c r="P116" s="60">
        <v>55500</v>
      </c>
      <c r="Q116" s="44">
        <f t="shared" si="3"/>
        <v>632800</v>
      </c>
      <c r="R116" s="46">
        <f t="shared" si="5"/>
        <v>0.17076780758556898</v>
      </c>
    </row>
    <row r="117" spans="1:18">
      <c r="A117" s="1" t="s">
        <v>85</v>
      </c>
      <c r="B117" s="1" t="s">
        <v>88</v>
      </c>
      <c r="C117" s="1" t="s">
        <v>89</v>
      </c>
      <c r="D117" s="6">
        <f>'2014 pax'!Q115</f>
        <v>17455353</v>
      </c>
      <c r="E117" s="60">
        <v>1704963</v>
      </c>
      <c r="F117" s="60">
        <v>1532437</v>
      </c>
      <c r="G117" s="60">
        <v>1801388</v>
      </c>
      <c r="H117" s="60">
        <v>1716752</v>
      </c>
      <c r="I117" s="60">
        <v>1616145</v>
      </c>
      <c r="J117" s="60">
        <v>1632369</v>
      </c>
      <c r="K117" s="60">
        <v>1936293</v>
      </c>
      <c r="L117" s="60">
        <v>1785117</v>
      </c>
      <c r="M117" s="60">
        <v>1225784</v>
      </c>
      <c r="N117" s="60">
        <v>1341198</v>
      </c>
      <c r="O117" s="60">
        <v>1547972</v>
      </c>
      <c r="P117" s="60">
        <v>1756067</v>
      </c>
      <c r="Q117" s="44">
        <f t="shared" si="3"/>
        <v>19596485</v>
      </c>
      <c r="R117" s="46">
        <f t="shared" si="5"/>
        <v>0.12266334573697812</v>
      </c>
    </row>
    <row r="118" spans="1:18" ht="15.75">
      <c r="A118" s="1" t="s">
        <v>85</v>
      </c>
      <c r="B118" s="1" t="s">
        <v>365</v>
      </c>
      <c r="C118" s="1" t="s">
        <v>129</v>
      </c>
      <c r="D118" s="6">
        <f>'2014 pax'!Q116</f>
        <v>961538</v>
      </c>
      <c r="E118" s="60">
        <v>73826</v>
      </c>
      <c r="F118" s="60">
        <v>69591</v>
      </c>
      <c r="G118" s="60">
        <v>89524</v>
      </c>
      <c r="H118" s="60">
        <v>87235</v>
      </c>
      <c r="I118" s="60">
        <v>90269</v>
      </c>
      <c r="J118" s="60">
        <v>92300</v>
      </c>
      <c r="K118" s="60">
        <v>115658</v>
      </c>
      <c r="L118" s="60">
        <v>108152</v>
      </c>
      <c r="M118" s="60">
        <v>93755</v>
      </c>
      <c r="N118" s="60">
        <v>98818</v>
      </c>
      <c r="O118" s="60">
        <v>97441</v>
      </c>
      <c r="P118" s="60">
        <v>93944</v>
      </c>
      <c r="Q118" s="44">
        <f t="shared" si="3"/>
        <v>1110513</v>
      </c>
      <c r="R118" s="46">
        <f t="shared" si="5"/>
        <v>0.1549340743683556</v>
      </c>
    </row>
    <row r="119" spans="1:18" ht="15.75">
      <c r="A119" s="1" t="s">
        <v>85</v>
      </c>
      <c r="B119" s="1" t="s">
        <v>366</v>
      </c>
      <c r="C119" s="1" t="s">
        <v>127</v>
      </c>
      <c r="D119" s="6">
        <f>'2014 pax'!Q117</f>
        <v>769029</v>
      </c>
      <c r="E119" s="60">
        <v>67207</v>
      </c>
      <c r="F119" s="60">
        <v>55870</v>
      </c>
      <c r="G119" s="60">
        <v>71565</v>
      </c>
      <c r="H119" s="60">
        <v>68333</v>
      </c>
      <c r="I119" s="60">
        <v>66586</v>
      </c>
      <c r="J119" s="60">
        <v>71914</v>
      </c>
      <c r="K119" s="60">
        <v>85491</v>
      </c>
      <c r="L119" s="60">
        <v>78502</v>
      </c>
      <c r="M119" s="60">
        <v>67965</v>
      </c>
      <c r="N119" s="60">
        <v>74254</v>
      </c>
      <c r="O119" s="60">
        <v>74027</v>
      </c>
      <c r="P119" s="60">
        <v>82046</v>
      </c>
      <c r="Q119" s="44">
        <f t="shared" si="3"/>
        <v>863760</v>
      </c>
      <c r="R119" s="46">
        <f t="shared" si="5"/>
        <v>0.12318261079881254</v>
      </c>
    </row>
    <row r="120" spans="1:18">
      <c r="A120" s="1" t="s">
        <v>85</v>
      </c>
      <c r="B120" s="1" t="s">
        <v>97</v>
      </c>
      <c r="C120" s="1" t="s">
        <v>98</v>
      </c>
      <c r="D120" s="6">
        <f>'2014 pax'!Q118</f>
        <v>514528</v>
      </c>
      <c r="E120" s="60">
        <v>54271</v>
      </c>
      <c r="F120" s="60">
        <v>54189</v>
      </c>
      <c r="G120" s="60">
        <v>67424</v>
      </c>
      <c r="H120" s="60">
        <v>53562</v>
      </c>
      <c r="I120" s="60">
        <v>41760</v>
      </c>
      <c r="J120" s="60">
        <v>51170</v>
      </c>
      <c r="K120" s="60">
        <v>58731</v>
      </c>
      <c r="L120" s="60">
        <v>39818</v>
      </c>
      <c r="M120" s="60">
        <v>19601</v>
      </c>
      <c r="N120" s="60">
        <v>28006</v>
      </c>
      <c r="O120" s="60">
        <v>37806</v>
      </c>
      <c r="P120" s="60">
        <v>47438</v>
      </c>
      <c r="Q120" s="44">
        <f>SUM(E120:P120)</f>
        <v>553776</v>
      </c>
      <c r="R120" s="46">
        <f t="shared" si="5"/>
        <v>7.6279619379314711E-2</v>
      </c>
    </row>
    <row r="121" spans="1:18" ht="15.75">
      <c r="A121" s="1" t="s">
        <v>85</v>
      </c>
      <c r="B121" s="1" t="s">
        <v>367</v>
      </c>
      <c r="C121" s="1" t="s">
        <v>125</v>
      </c>
      <c r="D121" s="6">
        <f>'2014 pax'!Q119</f>
        <v>1307717</v>
      </c>
      <c r="E121" s="60">
        <v>103087</v>
      </c>
      <c r="F121" s="60">
        <v>94634</v>
      </c>
      <c r="G121" s="60">
        <v>116448</v>
      </c>
      <c r="H121" s="60">
        <v>117270</v>
      </c>
      <c r="I121" s="60">
        <v>120485</v>
      </c>
      <c r="J121" s="60">
        <v>114013</v>
      </c>
      <c r="K121" s="60">
        <v>133516</v>
      </c>
      <c r="L121" s="60">
        <v>126778</v>
      </c>
      <c r="M121" s="60">
        <v>109614</v>
      </c>
      <c r="N121" s="60">
        <v>124527</v>
      </c>
      <c r="O121" s="60">
        <v>133938</v>
      </c>
      <c r="P121" s="60">
        <v>138005</v>
      </c>
      <c r="Q121" s="44">
        <f>SUM(E121:P121)</f>
        <v>1432315</v>
      </c>
      <c r="R121" s="46">
        <f t="shared" si="5"/>
        <v>9.5279024437244342E-2</v>
      </c>
    </row>
    <row r="122" spans="1:18" ht="15.75">
      <c r="A122" s="1" t="s">
        <v>85</v>
      </c>
      <c r="B122" s="1" t="s">
        <v>368</v>
      </c>
      <c r="C122" s="1" t="s">
        <v>136</v>
      </c>
      <c r="D122" s="6">
        <f>'2014 pax'!Q120</f>
        <v>255937</v>
      </c>
      <c r="E122" s="60">
        <v>20149</v>
      </c>
      <c r="F122" s="60">
        <v>20951</v>
      </c>
      <c r="G122" s="60">
        <v>23037</v>
      </c>
      <c r="H122" s="60">
        <v>21525</v>
      </c>
      <c r="I122" s="60">
        <v>23645</v>
      </c>
      <c r="J122" s="60">
        <v>25550</v>
      </c>
      <c r="K122" s="60">
        <v>31653</v>
      </c>
      <c r="L122" s="60">
        <v>30729</v>
      </c>
      <c r="M122" s="60">
        <v>26142</v>
      </c>
      <c r="N122" s="60">
        <v>30007</v>
      </c>
      <c r="O122" s="60">
        <v>29393</v>
      </c>
      <c r="P122" s="60">
        <v>33054</v>
      </c>
      <c r="Q122" s="44">
        <f t="shared" si="3"/>
        <v>315835</v>
      </c>
      <c r="R122" s="46">
        <f t="shared" si="5"/>
        <v>0.23403415684328555</v>
      </c>
    </row>
    <row r="123" spans="1:18">
      <c r="A123" s="1" t="s">
        <v>85</v>
      </c>
      <c r="B123" s="1" t="s">
        <v>105</v>
      </c>
      <c r="C123" s="1" t="s">
        <v>106</v>
      </c>
      <c r="D123" s="6">
        <f>'2014 pax'!Q121</f>
        <v>8733200</v>
      </c>
      <c r="E123" s="60">
        <v>771600</v>
      </c>
      <c r="F123" s="60">
        <v>649400</v>
      </c>
      <c r="G123" s="60">
        <v>775000</v>
      </c>
      <c r="H123" s="61">
        <v>771000</v>
      </c>
      <c r="I123" s="60">
        <v>796100</v>
      </c>
      <c r="J123" s="60">
        <v>826200</v>
      </c>
      <c r="K123" s="60">
        <v>957000</v>
      </c>
      <c r="L123" s="60">
        <v>905300</v>
      </c>
      <c r="M123" s="60">
        <v>749700</v>
      </c>
      <c r="N123" s="60">
        <v>811200</v>
      </c>
      <c r="O123" s="60">
        <v>836300</v>
      </c>
      <c r="P123" s="60">
        <v>939700</v>
      </c>
      <c r="Q123" s="44">
        <f t="shared" si="3"/>
        <v>9788500</v>
      </c>
      <c r="R123" s="46">
        <f t="shared" si="5"/>
        <v>0.12083772271332394</v>
      </c>
    </row>
    <row r="124" spans="1:18">
      <c r="A124" s="1" t="s">
        <v>85</v>
      </c>
      <c r="B124" s="1" t="s">
        <v>113</v>
      </c>
      <c r="C124" s="1" t="s">
        <v>114</v>
      </c>
      <c r="D124" s="6">
        <f>'2014 pax'!Q122</f>
        <v>1326300</v>
      </c>
      <c r="E124" s="60">
        <v>102200</v>
      </c>
      <c r="F124" s="60">
        <v>90700</v>
      </c>
      <c r="G124" s="60">
        <v>114200</v>
      </c>
      <c r="H124" s="61">
        <v>107600</v>
      </c>
      <c r="I124" s="60">
        <v>112900</v>
      </c>
      <c r="J124" s="60">
        <v>106000</v>
      </c>
      <c r="K124" s="60">
        <v>123100</v>
      </c>
      <c r="L124" s="60">
        <v>111500</v>
      </c>
      <c r="M124" s="60">
        <v>106100</v>
      </c>
      <c r="N124" s="60">
        <v>122600</v>
      </c>
      <c r="O124" s="60">
        <v>123200</v>
      </c>
      <c r="P124" s="60">
        <v>129200</v>
      </c>
      <c r="Q124" s="44">
        <f t="shared" si="3"/>
        <v>1349300</v>
      </c>
      <c r="R124" s="46">
        <f t="shared" si="5"/>
        <v>1.7341476287416224E-2</v>
      </c>
    </row>
    <row r="125" spans="1:18">
      <c r="A125" s="1" t="s">
        <v>85</v>
      </c>
      <c r="B125" s="1" t="s">
        <v>99</v>
      </c>
      <c r="C125" s="1" t="s">
        <v>100</v>
      </c>
      <c r="D125" s="6">
        <f>'2014 pax'!Q123</f>
        <v>519619</v>
      </c>
      <c r="E125" s="60">
        <v>62423</v>
      </c>
      <c r="F125" s="60">
        <v>56048</v>
      </c>
      <c r="G125" s="60">
        <v>62886</v>
      </c>
      <c r="H125" s="60">
        <v>53596</v>
      </c>
      <c r="I125" s="60">
        <v>44597</v>
      </c>
      <c r="J125" s="60">
        <v>42354</v>
      </c>
      <c r="K125" s="60">
        <v>55459</v>
      </c>
      <c r="L125" s="60">
        <v>55818</v>
      </c>
      <c r="M125" s="60">
        <v>37000</v>
      </c>
      <c r="N125" s="60">
        <v>38384</v>
      </c>
      <c r="O125" s="60">
        <v>48605</v>
      </c>
      <c r="P125" s="60">
        <v>61597</v>
      </c>
      <c r="Q125" s="44">
        <f>SUM(E125:P125)</f>
        <v>618767</v>
      </c>
      <c r="R125" s="46">
        <f t="shared" si="5"/>
        <v>0.19080903508147307</v>
      </c>
    </row>
    <row r="126" spans="1:18">
      <c r="A126" s="1" t="s">
        <v>85</v>
      </c>
      <c r="B126" s="1" t="s">
        <v>381</v>
      </c>
      <c r="C126" s="1" t="s">
        <v>120</v>
      </c>
      <c r="D126" s="6">
        <f>'2014 pax'!Q124</f>
        <v>671700</v>
      </c>
      <c r="E126" s="60">
        <v>49900</v>
      </c>
      <c r="F126" s="60">
        <v>44300</v>
      </c>
      <c r="G126" s="60">
        <v>56700</v>
      </c>
      <c r="H126" s="61">
        <v>57000</v>
      </c>
      <c r="I126" s="60">
        <v>55500</v>
      </c>
      <c r="J126" s="60">
        <v>49000</v>
      </c>
      <c r="K126" s="60">
        <v>66000</v>
      </c>
      <c r="L126" s="60">
        <v>62100</v>
      </c>
      <c r="M126" s="60">
        <v>47300</v>
      </c>
      <c r="N126" s="60">
        <v>57900</v>
      </c>
      <c r="O126" s="60">
        <v>63200</v>
      </c>
      <c r="P126" s="60">
        <v>73600</v>
      </c>
      <c r="Q126" s="44">
        <f t="shared" si="3"/>
        <v>682500</v>
      </c>
      <c r="R126" s="46">
        <f t="shared" si="5"/>
        <v>1.6078606520768091E-2</v>
      </c>
    </row>
    <row r="127" spans="1:18">
      <c r="A127" s="1" t="s">
        <v>85</v>
      </c>
      <c r="B127" s="1" t="s">
        <v>380</v>
      </c>
      <c r="C127" s="1" t="s">
        <v>115</v>
      </c>
      <c r="D127" s="6">
        <f>'2014 pax'!Q125</f>
        <v>1222100</v>
      </c>
      <c r="E127" s="60">
        <v>114100</v>
      </c>
      <c r="F127" s="60">
        <v>92700</v>
      </c>
      <c r="G127" s="60">
        <v>115600</v>
      </c>
      <c r="H127" s="61">
        <v>112600</v>
      </c>
      <c r="I127" s="60">
        <v>116600</v>
      </c>
      <c r="J127" s="60">
        <v>123800</v>
      </c>
      <c r="K127" s="60">
        <v>155700</v>
      </c>
      <c r="L127" s="60">
        <v>145700</v>
      </c>
      <c r="M127" s="60">
        <v>120100</v>
      </c>
      <c r="N127" s="60">
        <v>125200</v>
      </c>
      <c r="O127" s="60">
        <v>128700</v>
      </c>
      <c r="P127" s="60">
        <v>141300</v>
      </c>
      <c r="Q127" s="44">
        <f t="shared" si="3"/>
        <v>1492100</v>
      </c>
      <c r="R127" s="46">
        <f t="shared" si="5"/>
        <v>0.22093118402749368</v>
      </c>
    </row>
    <row r="128" spans="1:18">
      <c r="A128" s="1" t="s">
        <v>85</v>
      </c>
      <c r="B128" s="1" t="s">
        <v>379</v>
      </c>
      <c r="C128" s="1" t="s">
        <v>123</v>
      </c>
      <c r="D128" s="6">
        <f>'2014 pax'!Q126</f>
        <v>228800</v>
      </c>
      <c r="E128" s="60">
        <v>22000</v>
      </c>
      <c r="F128" s="60">
        <v>18400</v>
      </c>
      <c r="G128" s="60">
        <v>23800</v>
      </c>
      <c r="H128" s="61">
        <v>24000</v>
      </c>
      <c r="I128" s="60">
        <v>23700</v>
      </c>
      <c r="J128" s="60">
        <v>22000</v>
      </c>
      <c r="K128" s="60">
        <v>29200</v>
      </c>
      <c r="L128" s="60">
        <v>25900</v>
      </c>
      <c r="M128" s="60">
        <v>21400</v>
      </c>
      <c r="N128" s="60">
        <v>24700</v>
      </c>
      <c r="O128" s="60">
        <v>25300</v>
      </c>
      <c r="P128" s="60">
        <v>30200</v>
      </c>
      <c r="Q128" s="44">
        <f t="shared" si="3"/>
        <v>290600</v>
      </c>
      <c r="R128" s="46">
        <f t="shared" si="5"/>
        <v>0.27010489510489522</v>
      </c>
    </row>
    <row r="129" spans="1:18">
      <c r="A129" s="1" t="s">
        <v>85</v>
      </c>
      <c r="B129" s="1" t="s">
        <v>378</v>
      </c>
      <c r="C129" s="1" t="s">
        <v>122</v>
      </c>
      <c r="D129" s="6">
        <f>'2014 pax'!Q127</f>
        <v>211300</v>
      </c>
      <c r="E129" s="60">
        <v>28700</v>
      </c>
      <c r="F129" s="60">
        <v>26400</v>
      </c>
      <c r="G129" s="60">
        <v>27100</v>
      </c>
      <c r="H129" s="61">
        <v>16700</v>
      </c>
      <c r="I129" s="60">
        <v>12100</v>
      </c>
      <c r="J129" s="60">
        <v>10400</v>
      </c>
      <c r="K129" s="60">
        <v>11000</v>
      </c>
      <c r="L129" s="60">
        <v>9900</v>
      </c>
      <c r="M129" s="60">
        <v>8200</v>
      </c>
      <c r="N129" s="60">
        <v>9200</v>
      </c>
      <c r="O129" s="60">
        <v>14400</v>
      </c>
      <c r="P129" s="60">
        <v>20300</v>
      </c>
      <c r="Q129" s="44">
        <f t="shared" si="3"/>
        <v>194400</v>
      </c>
      <c r="R129" s="46">
        <f t="shared" si="5"/>
        <v>-7.9981069569332708E-2</v>
      </c>
    </row>
    <row r="130" spans="1:18" ht="15.75">
      <c r="A130" s="1" t="s">
        <v>85</v>
      </c>
      <c r="B130" s="1" t="s">
        <v>369</v>
      </c>
      <c r="C130" s="1" t="s">
        <v>128</v>
      </c>
      <c r="D130" s="6">
        <f>'2014 pax'!Q128</f>
        <v>789234</v>
      </c>
      <c r="E130" s="60">
        <v>75068</v>
      </c>
      <c r="F130" s="60">
        <v>74272</v>
      </c>
      <c r="G130" s="60">
        <v>87691</v>
      </c>
      <c r="H130" s="60">
        <v>72958</v>
      </c>
      <c r="I130" s="60">
        <v>65073</v>
      </c>
      <c r="J130" s="60">
        <v>59684</v>
      </c>
      <c r="K130" s="60">
        <v>72668</v>
      </c>
      <c r="L130" s="60">
        <v>68647</v>
      </c>
      <c r="M130" s="60">
        <v>51759</v>
      </c>
      <c r="N130" s="60">
        <v>62848</v>
      </c>
      <c r="O130" s="60">
        <v>75546</v>
      </c>
      <c r="P130" s="60">
        <v>87195</v>
      </c>
      <c r="Q130" s="44">
        <f t="shared" si="3"/>
        <v>853409</v>
      </c>
      <c r="R130" s="46">
        <f t="shared" si="5"/>
        <v>8.131301996619511E-2</v>
      </c>
    </row>
    <row r="131" spans="1:18">
      <c r="A131" s="1" t="s">
        <v>85</v>
      </c>
      <c r="B131" s="1" t="s">
        <v>488</v>
      </c>
      <c r="C131" s="1" t="s">
        <v>90</v>
      </c>
      <c r="D131" s="6">
        <f>'2014 pax'!Q129</f>
        <v>1436959</v>
      </c>
      <c r="E131" s="60">
        <v>122652</v>
      </c>
      <c r="F131" s="60">
        <v>113769</v>
      </c>
      <c r="G131" s="60">
        <v>132311</v>
      </c>
      <c r="H131" s="60">
        <v>133394</v>
      </c>
      <c r="I131" s="60">
        <v>136018</v>
      </c>
      <c r="J131" s="60">
        <v>133154</v>
      </c>
      <c r="K131" s="60">
        <v>160512</v>
      </c>
      <c r="L131" s="60">
        <v>149532</v>
      </c>
      <c r="M131" s="60">
        <v>125881</v>
      </c>
      <c r="N131" s="60">
        <v>146677</v>
      </c>
      <c r="O131" s="60">
        <v>151709</v>
      </c>
      <c r="P131" s="60">
        <v>158007</v>
      </c>
      <c r="Q131" s="44">
        <f>SUM(E131:P131)</f>
        <v>1663616</v>
      </c>
      <c r="R131" s="46">
        <f t="shared" si="5"/>
        <v>0.15773379755441863</v>
      </c>
    </row>
    <row r="132" spans="1:18">
      <c r="A132" s="1" t="s">
        <v>85</v>
      </c>
      <c r="B132" s="1" t="s">
        <v>116</v>
      </c>
      <c r="C132" s="1" t="s">
        <v>117</v>
      </c>
      <c r="D132" s="6">
        <f>'2014 pax'!Q130</f>
        <v>507600</v>
      </c>
      <c r="E132" s="60">
        <v>43200</v>
      </c>
      <c r="F132" s="60">
        <v>36200</v>
      </c>
      <c r="G132" s="60">
        <v>44500</v>
      </c>
      <c r="H132" s="61">
        <v>45400</v>
      </c>
      <c r="I132" s="60">
        <v>48900</v>
      </c>
      <c r="J132" s="60">
        <v>51400</v>
      </c>
      <c r="K132" s="60">
        <v>60900</v>
      </c>
      <c r="L132" s="60">
        <v>53900</v>
      </c>
      <c r="M132" s="60">
        <v>44300</v>
      </c>
      <c r="N132" s="60">
        <v>51600</v>
      </c>
      <c r="O132" s="60">
        <v>53400</v>
      </c>
      <c r="P132" s="60">
        <v>59800</v>
      </c>
      <c r="Q132" s="44">
        <f t="shared" ref="Q132:Q175" si="6">SUM(E132:P132)</f>
        <v>593500</v>
      </c>
      <c r="R132" s="46">
        <f t="shared" si="5"/>
        <v>0.16922773837667449</v>
      </c>
    </row>
    <row r="133" spans="1:18">
      <c r="A133" s="1" t="s">
        <v>85</v>
      </c>
      <c r="B133" s="1" t="s">
        <v>86</v>
      </c>
      <c r="C133" s="1" t="s">
        <v>87</v>
      </c>
      <c r="D133" s="6">
        <f>'2014 pax'!Q131</f>
        <v>34255739</v>
      </c>
      <c r="E133" s="22">
        <v>2893800</v>
      </c>
      <c r="F133" s="22">
        <v>2569463</v>
      </c>
      <c r="G133" s="61">
        <v>3116950</v>
      </c>
      <c r="H133" s="61">
        <v>3080489</v>
      </c>
      <c r="I133" s="61">
        <v>3217890</v>
      </c>
      <c r="J133" s="60">
        <v>3199283</v>
      </c>
      <c r="K133" s="60">
        <v>3710642</v>
      </c>
      <c r="L133" s="60">
        <v>3531791</v>
      </c>
      <c r="M133" s="60">
        <v>3009413</v>
      </c>
      <c r="N133" s="60">
        <v>3265434</v>
      </c>
      <c r="O133" s="60">
        <v>3309697</v>
      </c>
      <c r="P133" s="60">
        <v>3528160</v>
      </c>
      <c r="Q133" s="44">
        <f t="shared" si="6"/>
        <v>38433012</v>
      </c>
      <c r="R133" s="46">
        <f t="shared" si="5"/>
        <v>0.12194374203983749</v>
      </c>
    </row>
    <row r="134" spans="1:18">
      <c r="A134" s="1" t="s">
        <v>85</v>
      </c>
      <c r="B134" s="1" t="s">
        <v>103</v>
      </c>
      <c r="C134" s="1" t="s">
        <v>104</v>
      </c>
      <c r="D134" s="6">
        <f>'2014 pax'!Q132</f>
        <v>234749</v>
      </c>
      <c r="E134" s="60">
        <v>18633</v>
      </c>
      <c r="F134" s="60">
        <v>18045</v>
      </c>
      <c r="G134" s="60">
        <v>20684</v>
      </c>
      <c r="H134" s="60">
        <v>20905</v>
      </c>
      <c r="I134" s="60">
        <v>22367</v>
      </c>
      <c r="J134" s="60">
        <v>21503</v>
      </c>
      <c r="K134" s="60">
        <v>23077</v>
      </c>
      <c r="L134" s="60">
        <v>22706</v>
      </c>
      <c r="M134" s="60">
        <v>21264</v>
      </c>
      <c r="N134" s="60">
        <v>22407</v>
      </c>
      <c r="O134" s="60">
        <v>21493</v>
      </c>
      <c r="P134" s="60">
        <v>22519</v>
      </c>
      <c r="Q134" s="44">
        <f>SUM(E134:P134)</f>
        <v>255603</v>
      </c>
      <c r="R134" s="46">
        <f t="shared" si="5"/>
        <v>8.8835309202595081E-2</v>
      </c>
    </row>
    <row r="135" spans="1:18" ht="15.75">
      <c r="A135" s="1" t="s">
        <v>85</v>
      </c>
      <c r="B135" s="1" t="s">
        <v>370</v>
      </c>
      <c r="C135" s="1" t="s">
        <v>124</v>
      </c>
      <c r="D135" s="6">
        <f>'2014 pax'!Q133</f>
        <v>7128531</v>
      </c>
      <c r="E135" s="60">
        <v>566680</v>
      </c>
      <c r="F135" s="60">
        <v>549890</v>
      </c>
      <c r="G135" s="60">
        <v>675512</v>
      </c>
      <c r="H135" s="60">
        <v>688692</v>
      </c>
      <c r="I135" s="60">
        <v>729548</v>
      </c>
      <c r="J135" s="60">
        <v>722568</v>
      </c>
      <c r="K135" s="60">
        <v>874829</v>
      </c>
      <c r="L135" s="60">
        <v>821421</v>
      </c>
      <c r="M135" s="60">
        <v>676892</v>
      </c>
      <c r="N135" s="60">
        <v>727873</v>
      </c>
      <c r="O135" s="60">
        <v>713103</v>
      </c>
      <c r="P135" s="60">
        <v>714909</v>
      </c>
      <c r="Q135" s="44">
        <f t="shared" si="6"/>
        <v>8461917</v>
      </c>
      <c r="R135" s="46">
        <f t="shared" si="5"/>
        <v>0.1870491970926409</v>
      </c>
    </row>
    <row r="136" spans="1:18">
      <c r="A136" s="1" t="s">
        <v>85</v>
      </c>
      <c r="B136" s="1" t="s">
        <v>118</v>
      </c>
      <c r="C136" s="1" t="s">
        <v>119</v>
      </c>
      <c r="D136" s="6">
        <f>'2014 pax'!Q134</f>
        <v>476100</v>
      </c>
      <c r="E136" s="60">
        <v>45300</v>
      </c>
      <c r="F136" s="60">
        <v>32700</v>
      </c>
      <c r="G136" s="60">
        <v>37500</v>
      </c>
      <c r="H136" s="61">
        <v>35400</v>
      </c>
      <c r="I136" s="60">
        <v>38600</v>
      </c>
      <c r="J136" s="60">
        <v>43000</v>
      </c>
      <c r="K136" s="60">
        <v>47900</v>
      </c>
      <c r="L136" s="60">
        <v>44500</v>
      </c>
      <c r="M136" s="60">
        <v>32500</v>
      </c>
      <c r="N136" s="60">
        <v>35500</v>
      </c>
      <c r="O136" s="60">
        <v>38300</v>
      </c>
      <c r="P136" s="60">
        <v>47000</v>
      </c>
      <c r="Q136" s="44">
        <f t="shared" si="6"/>
        <v>478200</v>
      </c>
      <c r="R136" s="46">
        <f t="shared" si="5"/>
        <v>4.410838059231148E-3</v>
      </c>
    </row>
    <row r="137" spans="1:18">
      <c r="A137" s="1" t="s">
        <v>85</v>
      </c>
      <c r="B137" s="1" t="s">
        <v>95</v>
      </c>
      <c r="C137" s="1" t="s">
        <v>96</v>
      </c>
      <c r="D137" s="6">
        <f>'2014 pax'!Q135</f>
        <v>542271</v>
      </c>
      <c r="E137" s="60">
        <v>50534</v>
      </c>
      <c r="F137" s="60">
        <v>45878</v>
      </c>
      <c r="G137" s="60">
        <v>53360</v>
      </c>
      <c r="H137" s="60">
        <v>51174</v>
      </c>
      <c r="I137" s="60">
        <v>51435</v>
      </c>
      <c r="J137" s="60">
        <v>51580</v>
      </c>
      <c r="K137" s="60">
        <v>68852</v>
      </c>
      <c r="L137" s="60">
        <v>61487</v>
      </c>
      <c r="M137" s="60">
        <v>49462</v>
      </c>
      <c r="N137" s="60">
        <v>54217</v>
      </c>
      <c r="O137" s="60">
        <v>61642</v>
      </c>
      <c r="P137" s="60">
        <v>63566</v>
      </c>
      <c r="Q137" s="44">
        <f>SUM(E137:P137)</f>
        <v>663187</v>
      </c>
      <c r="R137" s="46">
        <f t="shared" si="5"/>
        <v>0.22298076054223803</v>
      </c>
    </row>
    <row r="138" spans="1:18">
      <c r="A138" s="1" t="s">
        <v>85</v>
      </c>
      <c r="B138" s="1" t="s">
        <v>109</v>
      </c>
      <c r="C138" s="1" t="s">
        <v>110</v>
      </c>
      <c r="D138" s="6">
        <f>'2014 pax'!Q136</f>
        <v>3127500</v>
      </c>
      <c r="E138" s="60">
        <v>321900</v>
      </c>
      <c r="F138" s="60">
        <v>357300</v>
      </c>
      <c r="G138" s="60">
        <v>417500</v>
      </c>
      <c r="H138" s="61">
        <v>338000</v>
      </c>
      <c r="I138" s="60">
        <v>245600</v>
      </c>
      <c r="J138" s="60">
        <v>240900</v>
      </c>
      <c r="K138" s="60">
        <v>291800</v>
      </c>
      <c r="L138" s="60">
        <v>259500</v>
      </c>
      <c r="M138" s="60">
        <v>152200</v>
      </c>
      <c r="N138" s="60">
        <v>201700</v>
      </c>
      <c r="O138" s="60">
        <v>316100</v>
      </c>
      <c r="P138" s="60">
        <v>384300</v>
      </c>
      <c r="Q138" s="44">
        <f t="shared" si="6"/>
        <v>3526800</v>
      </c>
      <c r="R138" s="46">
        <f t="shared" si="5"/>
        <v>0.12767386091127109</v>
      </c>
    </row>
    <row r="139" spans="1:18" ht="15.75">
      <c r="A139" s="1" t="s">
        <v>85</v>
      </c>
      <c r="B139" s="1" t="s">
        <v>371</v>
      </c>
      <c r="C139" s="1" t="s">
        <v>135</v>
      </c>
      <c r="D139" s="6">
        <f>'2014 pax'!Q137</f>
        <v>472027</v>
      </c>
      <c r="E139" s="60">
        <v>34617</v>
      </c>
      <c r="F139" s="60">
        <v>30551</v>
      </c>
      <c r="G139" s="60">
        <v>38406</v>
      </c>
      <c r="H139" s="60">
        <v>41028</v>
      </c>
      <c r="I139" s="60">
        <v>42486</v>
      </c>
      <c r="J139" s="60">
        <v>43171</v>
      </c>
      <c r="K139" s="60">
        <v>55812</v>
      </c>
      <c r="L139" s="60">
        <v>53460</v>
      </c>
      <c r="M139" s="60">
        <v>38315</v>
      </c>
      <c r="N139" s="60">
        <v>41022</v>
      </c>
      <c r="O139" s="60">
        <v>43549</v>
      </c>
      <c r="P139" s="60">
        <v>44769</v>
      </c>
      <c r="Q139" s="44">
        <f t="shared" si="6"/>
        <v>507186</v>
      </c>
      <c r="R139" s="46">
        <f t="shared" si="5"/>
        <v>7.4485145976819211E-2</v>
      </c>
    </row>
    <row r="140" spans="1:18">
      <c r="A140" s="1" t="s">
        <v>85</v>
      </c>
      <c r="B140" s="1" t="s">
        <v>111</v>
      </c>
      <c r="C140" s="1" t="s">
        <v>112</v>
      </c>
      <c r="D140" s="6">
        <f>'2014 pax'!Q138</f>
        <v>3284100</v>
      </c>
      <c r="E140" s="60">
        <v>285100</v>
      </c>
      <c r="F140" s="60">
        <v>267500</v>
      </c>
      <c r="G140" s="60">
        <v>349500</v>
      </c>
      <c r="H140" s="61">
        <v>329700</v>
      </c>
      <c r="I140" s="60">
        <v>302800</v>
      </c>
      <c r="J140" s="60">
        <v>308100</v>
      </c>
      <c r="K140" s="60">
        <v>358500</v>
      </c>
      <c r="L140" s="60">
        <v>311400</v>
      </c>
      <c r="M140" s="60">
        <v>199800</v>
      </c>
      <c r="N140" s="60">
        <v>275200</v>
      </c>
      <c r="O140" s="60">
        <v>320100</v>
      </c>
      <c r="P140" s="60">
        <v>345200</v>
      </c>
      <c r="Q140" s="44">
        <f t="shared" si="6"/>
        <v>3652900</v>
      </c>
      <c r="R140" s="46">
        <f t="shared" si="5"/>
        <v>0.11229865107639836</v>
      </c>
    </row>
    <row r="141" spans="1:18" ht="15.75">
      <c r="A141" s="1" t="s">
        <v>85</v>
      </c>
      <c r="B141" s="1" t="s">
        <v>372</v>
      </c>
      <c r="C141" s="1" t="s">
        <v>134</v>
      </c>
      <c r="D141" s="6">
        <f>'2014 pax'!Q139</f>
        <v>373986</v>
      </c>
      <c r="E141" s="60">
        <v>31795</v>
      </c>
      <c r="F141" s="60">
        <v>28773</v>
      </c>
      <c r="G141" s="60">
        <v>36558</v>
      </c>
      <c r="H141" s="60">
        <v>35318</v>
      </c>
      <c r="I141" s="60">
        <v>37642</v>
      </c>
      <c r="J141" s="60">
        <v>38026</v>
      </c>
      <c r="K141" s="60">
        <v>46849</v>
      </c>
      <c r="L141" s="60">
        <v>44679</v>
      </c>
      <c r="M141" s="60">
        <v>35308</v>
      </c>
      <c r="N141" s="60">
        <v>36657</v>
      </c>
      <c r="O141" s="60">
        <v>36419</v>
      </c>
      <c r="P141" s="60">
        <v>36445</v>
      </c>
      <c r="Q141" s="44">
        <f t="shared" si="6"/>
        <v>444469</v>
      </c>
      <c r="R141" s="46">
        <f t="shared" si="5"/>
        <v>0.188464274063735</v>
      </c>
    </row>
    <row r="142" spans="1:18" ht="15.75">
      <c r="A142" s="1" t="s">
        <v>85</v>
      </c>
      <c r="B142" s="1" t="s">
        <v>373</v>
      </c>
      <c r="C142" s="1" t="s">
        <v>131</v>
      </c>
      <c r="D142" s="6">
        <f>'2014 pax'!Q140</f>
        <v>688893</v>
      </c>
      <c r="E142" s="60">
        <v>56909</v>
      </c>
      <c r="F142" s="60">
        <v>52164</v>
      </c>
      <c r="G142" s="60">
        <v>64579</v>
      </c>
      <c r="H142" s="60">
        <v>66670</v>
      </c>
      <c r="I142" s="60">
        <v>62528</v>
      </c>
      <c r="J142" s="60">
        <v>62744</v>
      </c>
      <c r="K142" s="60">
        <v>74473</v>
      </c>
      <c r="L142" s="60">
        <v>66891</v>
      </c>
      <c r="M142" s="60">
        <v>60359</v>
      </c>
      <c r="N142" s="60">
        <v>65672</v>
      </c>
      <c r="O142" s="60">
        <v>63143</v>
      </c>
      <c r="P142" s="60">
        <v>67612</v>
      </c>
      <c r="Q142" s="44">
        <f t="shared" si="6"/>
        <v>763744</v>
      </c>
      <c r="R142" s="46">
        <f t="shared" si="5"/>
        <v>0.10865402900014942</v>
      </c>
    </row>
    <row r="143" spans="1:18">
      <c r="A143" s="1" t="s">
        <v>85</v>
      </c>
      <c r="B143" s="1" t="s">
        <v>101</v>
      </c>
      <c r="C143" s="1" t="s">
        <v>102</v>
      </c>
      <c r="D143" s="6">
        <f>'2014 pax'!Q141</f>
        <v>175194</v>
      </c>
      <c r="E143" s="60">
        <v>18992</v>
      </c>
      <c r="F143" s="60">
        <v>16526</v>
      </c>
      <c r="G143" s="60">
        <v>21274</v>
      </c>
      <c r="H143" s="60">
        <v>19944</v>
      </c>
      <c r="I143" s="60">
        <v>21957</v>
      </c>
      <c r="J143" s="60">
        <v>21755</v>
      </c>
      <c r="K143" s="60">
        <v>25391</v>
      </c>
      <c r="L143" s="60">
        <v>24071</v>
      </c>
      <c r="M143" s="60">
        <v>20848</v>
      </c>
      <c r="N143" s="60">
        <v>23087</v>
      </c>
      <c r="O143" s="60">
        <v>24046</v>
      </c>
      <c r="P143" s="60">
        <v>27779</v>
      </c>
      <c r="Q143" s="44">
        <f>SUM(E143:P143)</f>
        <v>265670</v>
      </c>
      <c r="R143" s="46">
        <f t="shared" si="5"/>
        <v>0.51643321118303143</v>
      </c>
    </row>
    <row r="144" spans="1:18">
      <c r="A144" s="1" t="s">
        <v>85</v>
      </c>
      <c r="B144" s="1" t="s">
        <v>107</v>
      </c>
      <c r="C144" s="1" t="s">
        <v>108</v>
      </c>
      <c r="D144" s="6">
        <f>'2014 pax'!Q142</f>
        <v>4385500</v>
      </c>
      <c r="E144" s="60">
        <v>379800</v>
      </c>
      <c r="F144" s="60">
        <v>292800</v>
      </c>
      <c r="G144" s="60">
        <v>358200</v>
      </c>
      <c r="H144" s="61">
        <v>370200</v>
      </c>
      <c r="I144" s="60">
        <v>386100</v>
      </c>
      <c r="J144" s="60">
        <v>404100</v>
      </c>
      <c r="K144" s="60">
        <v>490600</v>
      </c>
      <c r="L144" s="60">
        <v>454100</v>
      </c>
      <c r="M144" s="60">
        <v>359700</v>
      </c>
      <c r="N144" s="60">
        <v>400000</v>
      </c>
      <c r="O144" s="60">
        <v>432000</v>
      </c>
      <c r="P144" s="60">
        <v>542600</v>
      </c>
      <c r="Q144" s="44">
        <f t="shared" si="6"/>
        <v>4870200</v>
      </c>
      <c r="R144" s="46">
        <f t="shared" si="5"/>
        <v>0.11052331547144001</v>
      </c>
    </row>
    <row r="145" spans="1:18" ht="15.75">
      <c r="A145" s="1" t="s">
        <v>85</v>
      </c>
      <c r="B145" s="1" t="s">
        <v>374</v>
      </c>
      <c r="C145" s="1" t="s">
        <v>132</v>
      </c>
      <c r="D145" s="6">
        <f>'2014 pax'!Q143</f>
        <v>523783</v>
      </c>
      <c r="E145" s="60">
        <v>36810</v>
      </c>
      <c r="F145" s="60">
        <v>35740</v>
      </c>
      <c r="G145" s="60">
        <v>45201</v>
      </c>
      <c r="H145" s="60">
        <v>43676</v>
      </c>
      <c r="I145" s="60">
        <v>45529</v>
      </c>
      <c r="J145" s="60">
        <v>45626</v>
      </c>
      <c r="K145" s="60">
        <v>51813</v>
      </c>
      <c r="L145" s="60">
        <v>50115</v>
      </c>
      <c r="M145" s="60">
        <v>46698</v>
      </c>
      <c r="N145" s="60">
        <v>52057</v>
      </c>
      <c r="O145" s="60">
        <v>50786</v>
      </c>
      <c r="P145" s="60">
        <v>52398</v>
      </c>
      <c r="Q145" s="44">
        <f t="shared" si="6"/>
        <v>556449</v>
      </c>
      <c r="R145" s="46">
        <f t="shared" si="5"/>
        <v>6.2365521599593743E-2</v>
      </c>
    </row>
    <row r="146" spans="1:18">
      <c r="A146" s="1" t="s">
        <v>85</v>
      </c>
      <c r="B146" s="1" t="s">
        <v>91</v>
      </c>
      <c r="C146" s="1" t="s">
        <v>92</v>
      </c>
      <c r="D146" s="6">
        <f>'2014 pax'!Q144</f>
        <v>1157522</v>
      </c>
      <c r="E146" s="60">
        <v>93223</v>
      </c>
      <c r="F146" s="60">
        <v>89758</v>
      </c>
      <c r="G146" s="60">
        <v>100149</v>
      </c>
      <c r="H146" s="60">
        <v>106170</v>
      </c>
      <c r="I146" s="60">
        <v>112272</v>
      </c>
      <c r="J146" s="60">
        <v>101422</v>
      </c>
      <c r="K146" s="60">
        <v>122433</v>
      </c>
      <c r="L146" s="60">
        <v>115340</v>
      </c>
      <c r="M146" s="60">
        <v>95844</v>
      </c>
      <c r="N146" s="60">
        <v>101948</v>
      </c>
      <c r="O146" s="60">
        <v>99982</v>
      </c>
      <c r="P146" s="60">
        <v>111373</v>
      </c>
      <c r="Q146" s="44">
        <f>SUM(E146:P146)</f>
        <v>1249914</v>
      </c>
      <c r="R146" s="46">
        <f t="shared" si="5"/>
        <v>7.9818785301704942E-2</v>
      </c>
    </row>
    <row r="147" spans="1:18">
      <c r="A147" s="1" t="s">
        <v>85</v>
      </c>
      <c r="B147" s="1" t="s">
        <v>93</v>
      </c>
      <c r="C147" s="1" t="s">
        <v>94</v>
      </c>
      <c r="D147" s="6">
        <f>'2014 pax'!Q145</f>
        <v>1116262</v>
      </c>
      <c r="E147" s="60">
        <v>96503</v>
      </c>
      <c r="F147" s="60">
        <v>87629</v>
      </c>
      <c r="G147" s="60">
        <v>106666</v>
      </c>
      <c r="H147" s="60">
        <v>108510</v>
      </c>
      <c r="I147" s="60">
        <v>105990</v>
      </c>
      <c r="J147" s="60">
        <v>107492</v>
      </c>
      <c r="K147" s="60">
        <v>120573</v>
      </c>
      <c r="L147" s="60">
        <v>112673</v>
      </c>
      <c r="M147" s="60">
        <v>96859</v>
      </c>
      <c r="N147" s="60"/>
      <c r="O147" s="60"/>
      <c r="P147" s="60"/>
      <c r="Q147" s="44">
        <f t="shared" si="6"/>
        <v>942895</v>
      </c>
      <c r="R147" s="46"/>
    </row>
    <row r="148" spans="1:18" ht="15.75">
      <c r="A148" s="1" t="s">
        <v>85</v>
      </c>
      <c r="B148" s="1" t="s">
        <v>375</v>
      </c>
      <c r="C148" s="1" t="s">
        <v>133</v>
      </c>
      <c r="D148" s="6">
        <f>'2014 pax'!Q146</f>
        <v>284625</v>
      </c>
      <c r="E148" s="60">
        <v>21428</v>
      </c>
      <c r="F148" s="60">
        <v>18128</v>
      </c>
      <c r="G148" s="60">
        <v>23863</v>
      </c>
      <c r="H148" s="60">
        <v>25121</v>
      </c>
      <c r="I148" s="60">
        <v>26147</v>
      </c>
      <c r="J148" s="60">
        <v>30436</v>
      </c>
      <c r="K148" s="60">
        <v>33717</v>
      </c>
      <c r="L148" s="60">
        <v>32756</v>
      </c>
      <c r="M148" s="60">
        <v>26521</v>
      </c>
      <c r="N148" s="60">
        <v>26734</v>
      </c>
      <c r="O148" s="60">
        <v>26845</v>
      </c>
      <c r="P148" s="60">
        <v>28369</v>
      </c>
      <c r="Q148" s="44">
        <f t="shared" si="6"/>
        <v>320065</v>
      </c>
      <c r="R148" s="46">
        <f t="shared" si="5"/>
        <v>0.12451471234079925</v>
      </c>
    </row>
    <row r="149" spans="1:18" ht="15.75">
      <c r="A149" s="1" t="s">
        <v>85</v>
      </c>
      <c r="B149" s="1" t="s">
        <v>376</v>
      </c>
      <c r="C149" s="1" t="s">
        <v>130</v>
      </c>
      <c r="D149" s="6">
        <f>'2014 pax'!Q147</f>
        <v>508065</v>
      </c>
      <c r="E149" s="60">
        <v>73550</v>
      </c>
      <c r="F149" s="60">
        <v>67314</v>
      </c>
      <c r="G149" s="60">
        <v>71827</v>
      </c>
      <c r="H149" s="60">
        <v>48510</v>
      </c>
      <c r="I149" s="60">
        <v>35815</v>
      </c>
      <c r="J149" s="60">
        <v>32138</v>
      </c>
      <c r="K149" s="60">
        <v>44624</v>
      </c>
      <c r="L149" s="60">
        <v>40471</v>
      </c>
      <c r="M149" s="60">
        <v>23888</v>
      </c>
      <c r="N149" s="60">
        <v>25965</v>
      </c>
      <c r="O149" s="60">
        <v>39435</v>
      </c>
      <c r="P149" s="60">
        <v>58562</v>
      </c>
      <c r="Q149" s="44">
        <f t="shared" si="6"/>
        <v>562099</v>
      </c>
      <c r="R149" s="46">
        <f t="shared" si="5"/>
        <v>0.10635253363250774</v>
      </c>
    </row>
    <row r="150" spans="1:18">
      <c r="A150" s="1" t="s">
        <v>512</v>
      </c>
      <c r="B150" s="1" t="s">
        <v>513</v>
      </c>
      <c r="C150" s="1" t="s">
        <v>514</v>
      </c>
      <c r="D150" s="6">
        <f>'2014 pax'!Q148</f>
        <v>12782167</v>
      </c>
      <c r="E150" s="30">
        <v>1219661</v>
      </c>
      <c r="F150" s="30">
        <v>1066613</v>
      </c>
      <c r="G150" s="30">
        <v>1112482</v>
      </c>
      <c r="H150" s="45">
        <v>1057828</v>
      </c>
      <c r="I150" s="30">
        <v>1091200</v>
      </c>
      <c r="J150" s="30">
        <v>1095146</v>
      </c>
      <c r="K150" s="30">
        <v>1209128</v>
      </c>
      <c r="L150" s="30">
        <v>1155243</v>
      </c>
      <c r="M150" s="30">
        <v>1016785</v>
      </c>
      <c r="N150" s="30">
        <v>1066121</v>
      </c>
      <c r="O150" s="30">
        <v>1085222</v>
      </c>
      <c r="P150" s="30">
        <v>1259244</v>
      </c>
      <c r="Q150" s="44">
        <f t="shared" si="6"/>
        <v>13434673</v>
      </c>
      <c r="R150" s="46">
        <f t="shared" si="5"/>
        <v>5.1048151694466304E-2</v>
      </c>
    </row>
    <row r="151" spans="1:18">
      <c r="A151" s="1" t="s">
        <v>414</v>
      </c>
      <c r="B151" s="1" t="s">
        <v>415</v>
      </c>
      <c r="C151" s="1" t="s">
        <v>416</v>
      </c>
      <c r="D151" s="6">
        <f>'2014 pax'!Q149</f>
        <v>915639</v>
      </c>
      <c r="E151" s="30">
        <v>89322</v>
      </c>
      <c r="F151" s="30">
        <v>75011</v>
      </c>
      <c r="G151" s="30">
        <v>77955</v>
      </c>
      <c r="H151" s="45">
        <v>67366</v>
      </c>
      <c r="I151" s="30">
        <v>72243</v>
      </c>
      <c r="J151" s="30">
        <v>65239</v>
      </c>
      <c r="K151" s="32">
        <v>81168</v>
      </c>
      <c r="L151" s="30">
        <v>75908</v>
      </c>
      <c r="M151" s="30">
        <v>72733</v>
      </c>
      <c r="N151" s="30">
        <v>72876</v>
      </c>
      <c r="O151" s="30">
        <v>74800</v>
      </c>
      <c r="P151" s="30">
        <v>86982</v>
      </c>
      <c r="Q151" s="44">
        <f t="shared" si="6"/>
        <v>911603</v>
      </c>
      <c r="R151" s="46">
        <f t="shared" si="5"/>
        <v>-4.4078506922488048E-3</v>
      </c>
    </row>
    <row r="152" spans="1:18">
      <c r="A152" s="1" t="s">
        <v>414</v>
      </c>
      <c r="B152" s="1" t="s">
        <v>508</v>
      </c>
      <c r="C152" s="1" t="s">
        <v>509</v>
      </c>
      <c r="D152" s="6">
        <f>'2014 pax'!Q150</f>
        <v>30386</v>
      </c>
      <c r="E152" s="30">
        <v>1989</v>
      </c>
      <c r="F152" s="30">
        <v>2552</v>
      </c>
      <c r="G152" s="30">
        <v>2812</v>
      </c>
      <c r="H152" s="45">
        <v>1711</v>
      </c>
      <c r="I152" s="30">
        <v>1738</v>
      </c>
      <c r="J152" s="30">
        <v>1370</v>
      </c>
      <c r="K152" s="30">
        <v>1637</v>
      </c>
      <c r="L152" s="30">
        <v>1509</v>
      </c>
      <c r="M152" s="30">
        <v>1845</v>
      </c>
      <c r="N152" s="30">
        <v>3601</v>
      </c>
      <c r="O152" s="30">
        <v>3551</v>
      </c>
      <c r="P152" s="30">
        <v>2902</v>
      </c>
      <c r="Q152" s="44">
        <f t="shared" si="6"/>
        <v>27217</v>
      </c>
      <c r="R152" s="46">
        <f t="shared" si="5"/>
        <v>-0.10429145000987294</v>
      </c>
    </row>
    <row r="153" spans="1:18">
      <c r="A153" s="1" t="s">
        <v>253</v>
      </c>
      <c r="B153" s="7" t="s">
        <v>304</v>
      </c>
      <c r="C153" s="7" t="s">
        <v>305</v>
      </c>
      <c r="D153" s="6">
        <f>'2014 pax'!Q151</f>
        <v>1351182</v>
      </c>
      <c r="E153" s="30">
        <v>111250</v>
      </c>
      <c r="F153" s="30">
        <v>102186</v>
      </c>
      <c r="G153" s="30">
        <v>100475</v>
      </c>
      <c r="H153" s="45">
        <v>109896</v>
      </c>
      <c r="I153" s="30">
        <v>117406</v>
      </c>
      <c r="J153" s="30">
        <v>110583</v>
      </c>
      <c r="K153" s="30">
        <v>131887</v>
      </c>
      <c r="L153" s="30">
        <v>152412.4</v>
      </c>
      <c r="M153" s="30">
        <v>140467</v>
      </c>
      <c r="N153" s="30">
        <v>152764</v>
      </c>
      <c r="O153" s="30">
        <v>129327</v>
      </c>
      <c r="P153" s="30">
        <v>133770</v>
      </c>
      <c r="Q153" s="44">
        <f t="shared" si="6"/>
        <v>1492423.4</v>
      </c>
      <c r="R153" s="46">
        <f t="shared" si="5"/>
        <v>0.10453173591714515</v>
      </c>
    </row>
    <row r="154" spans="1:18" s="42" customFormat="1">
      <c r="A154" s="1" t="s">
        <v>253</v>
      </c>
      <c r="B154" s="7" t="s">
        <v>554</v>
      </c>
      <c r="C154" s="7" t="s">
        <v>555</v>
      </c>
      <c r="D154" s="6">
        <f>'2014 pax'!Q152</f>
        <v>85702</v>
      </c>
      <c r="E154" s="30">
        <v>9691</v>
      </c>
      <c r="F154" s="30">
        <v>10466</v>
      </c>
      <c r="G154" s="30">
        <v>11110</v>
      </c>
      <c r="H154" s="30">
        <v>12677</v>
      </c>
      <c r="I154" s="30">
        <v>12465</v>
      </c>
      <c r="J154" s="30">
        <v>10491</v>
      </c>
      <c r="K154" s="30">
        <v>10951</v>
      </c>
      <c r="L154" s="30">
        <v>11580</v>
      </c>
      <c r="M154" s="30">
        <v>12608</v>
      </c>
      <c r="N154" s="30">
        <v>13595</v>
      </c>
      <c r="O154" s="30">
        <v>12745</v>
      </c>
      <c r="P154" s="30">
        <v>13334</v>
      </c>
      <c r="Q154" s="44">
        <f t="shared" si="6"/>
        <v>141713</v>
      </c>
      <c r="R154" s="46">
        <f t="shared" si="5"/>
        <v>0.65355534293248696</v>
      </c>
    </row>
    <row r="155" spans="1:18">
      <c r="A155" s="1" t="s">
        <v>253</v>
      </c>
      <c r="B155" s="7" t="s">
        <v>324</v>
      </c>
      <c r="C155" s="7" t="s">
        <v>325</v>
      </c>
      <c r="D155" s="6">
        <f>'2014 pax'!Q153</f>
        <v>252460</v>
      </c>
      <c r="E155" s="30">
        <v>18105</v>
      </c>
      <c r="F155" s="30">
        <v>19929</v>
      </c>
      <c r="G155" s="30">
        <v>19698</v>
      </c>
      <c r="H155" s="30">
        <v>18795</v>
      </c>
      <c r="I155" s="30">
        <v>23043</v>
      </c>
      <c r="J155" s="30">
        <v>19906</v>
      </c>
      <c r="K155" s="30">
        <v>23286</v>
      </c>
      <c r="L155" s="30">
        <v>24270</v>
      </c>
      <c r="M155" s="30">
        <v>23931</v>
      </c>
      <c r="N155" s="30">
        <v>29916</v>
      </c>
      <c r="O155" s="30">
        <v>25862</v>
      </c>
      <c r="P155" s="30">
        <v>24616</v>
      </c>
      <c r="Q155" s="44">
        <f t="shared" si="6"/>
        <v>271357</v>
      </c>
      <c r="R155" s="46">
        <f t="shared" si="5"/>
        <v>7.485146161768208E-2</v>
      </c>
    </row>
    <row r="156" spans="1:18">
      <c r="A156" s="1" t="s">
        <v>253</v>
      </c>
      <c r="B156" s="7" t="s">
        <v>320</v>
      </c>
      <c r="C156" s="7" t="s">
        <v>321</v>
      </c>
      <c r="D156" s="6">
        <f>'2014 pax'!Q154</f>
        <v>438724</v>
      </c>
      <c r="E156" s="30">
        <v>36930</v>
      </c>
      <c r="F156" s="30">
        <v>36054</v>
      </c>
      <c r="G156" s="30">
        <v>34438</v>
      </c>
      <c r="H156" s="30">
        <v>33522</v>
      </c>
      <c r="I156" s="30">
        <v>37213</v>
      </c>
      <c r="J156" s="30">
        <v>36294</v>
      </c>
      <c r="K156" s="30">
        <v>36234</v>
      </c>
      <c r="L156" s="30">
        <v>41949</v>
      </c>
      <c r="M156" s="30">
        <v>39946</v>
      </c>
      <c r="N156" s="30">
        <v>37655</v>
      </c>
      <c r="O156" s="30">
        <v>31694</v>
      </c>
      <c r="P156" s="30">
        <v>30446</v>
      </c>
      <c r="Q156" s="44">
        <f t="shared" si="6"/>
        <v>432375</v>
      </c>
      <c r="R156" s="46">
        <f t="shared" si="5"/>
        <v>-1.4471512841786605E-2</v>
      </c>
    </row>
    <row r="157" spans="1:18">
      <c r="A157" s="1" t="s">
        <v>253</v>
      </c>
      <c r="B157" s="7" t="s">
        <v>302</v>
      </c>
      <c r="C157" s="1" t="s">
        <v>303</v>
      </c>
      <c r="D157" s="6">
        <f>'2014 pax'!Q155</f>
        <v>2485859</v>
      </c>
      <c r="E157" s="30">
        <v>209333</v>
      </c>
      <c r="F157" s="30">
        <v>186744</v>
      </c>
      <c r="G157" s="30">
        <v>204124</v>
      </c>
      <c r="H157" s="45">
        <v>217605</v>
      </c>
      <c r="I157" s="30">
        <v>243577</v>
      </c>
      <c r="J157" s="30">
        <v>228968</v>
      </c>
      <c r="K157" s="30">
        <v>280650</v>
      </c>
      <c r="L157" s="30">
        <v>300545</v>
      </c>
      <c r="M157" s="30">
        <v>264854</v>
      </c>
      <c r="N157" s="30">
        <v>283967</v>
      </c>
      <c r="O157" s="30">
        <v>240383</v>
      </c>
      <c r="P157" s="30">
        <v>228426</v>
      </c>
      <c r="Q157" s="44">
        <f t="shared" si="6"/>
        <v>2889176</v>
      </c>
      <c r="R157" s="46">
        <f t="shared" si="5"/>
        <v>0.16224451990237587</v>
      </c>
    </row>
    <row r="158" spans="1:18">
      <c r="A158" s="1" t="s">
        <v>253</v>
      </c>
      <c r="B158" s="7" t="s">
        <v>306</v>
      </c>
      <c r="C158" s="7" t="s">
        <v>307</v>
      </c>
      <c r="D158" s="6">
        <f>'2014 pax'!Q156</f>
        <v>999373</v>
      </c>
      <c r="E158" s="30">
        <v>99164</v>
      </c>
      <c r="F158" s="30">
        <v>96787</v>
      </c>
      <c r="G158" s="30">
        <v>88162</v>
      </c>
      <c r="H158" s="45">
        <v>79026</v>
      </c>
      <c r="I158" s="30">
        <v>83161</v>
      </c>
      <c r="J158" s="30">
        <v>81171</v>
      </c>
      <c r="K158" s="30">
        <v>86525</v>
      </c>
      <c r="L158" s="30">
        <v>96244</v>
      </c>
      <c r="M158" s="30">
        <v>79368</v>
      </c>
      <c r="N158" s="30">
        <v>84161</v>
      </c>
      <c r="O158" s="30">
        <v>78759</v>
      </c>
      <c r="P158" s="30">
        <v>90602</v>
      </c>
      <c r="Q158" s="44">
        <f t="shared" si="6"/>
        <v>1043130</v>
      </c>
      <c r="R158" s="46">
        <f t="shared" si="5"/>
        <v>4.3784452851938216E-2</v>
      </c>
    </row>
    <row r="159" spans="1:18">
      <c r="A159" s="1" t="s">
        <v>253</v>
      </c>
      <c r="B159" s="7" t="s">
        <v>310</v>
      </c>
      <c r="C159" s="7" t="s">
        <v>311</v>
      </c>
      <c r="D159" s="6">
        <f>'2014 pax'!Q157</f>
        <v>369571</v>
      </c>
      <c r="E159" s="30">
        <v>32500</v>
      </c>
      <c r="F159" s="30">
        <v>37526</v>
      </c>
      <c r="G159" s="30">
        <v>33845</v>
      </c>
      <c r="H159" s="30">
        <v>34000</v>
      </c>
      <c r="I159" s="30">
        <v>37179</v>
      </c>
      <c r="J159" s="30">
        <v>33711</v>
      </c>
      <c r="K159" s="30">
        <v>37034</v>
      </c>
      <c r="L159" s="30">
        <v>38590</v>
      </c>
      <c r="M159" s="30">
        <v>36708</v>
      </c>
      <c r="N159" s="30">
        <v>39508</v>
      </c>
      <c r="O159" s="30">
        <v>38177</v>
      </c>
      <c r="P159" s="30">
        <v>35388</v>
      </c>
      <c r="Q159" s="44">
        <f t="shared" si="6"/>
        <v>434166</v>
      </c>
      <c r="R159" s="46">
        <f t="shared" si="5"/>
        <v>0.17478373573684092</v>
      </c>
    </row>
    <row r="160" spans="1:18">
      <c r="A160" s="1" t="s">
        <v>253</v>
      </c>
      <c r="B160" s="7" t="s">
        <v>300</v>
      </c>
      <c r="C160" s="7" t="s">
        <v>301</v>
      </c>
      <c r="D160" s="6">
        <f>'2014 pax'!Q158</f>
        <v>16063131</v>
      </c>
      <c r="E160" s="30">
        <v>1403403</v>
      </c>
      <c r="F160" s="30">
        <v>1363562</v>
      </c>
      <c r="G160" s="30">
        <v>1378830</v>
      </c>
      <c r="H160" s="45">
        <v>1329269</v>
      </c>
      <c r="I160" s="30">
        <v>1453275</v>
      </c>
      <c r="J160" s="30">
        <v>1349482</v>
      </c>
      <c r="K160" s="30">
        <v>1536620</v>
      </c>
      <c r="L160" s="30">
        <v>1636805</v>
      </c>
      <c r="M160" s="30">
        <v>1500218</v>
      </c>
      <c r="N160" s="30">
        <v>1616563</v>
      </c>
      <c r="O160" s="30">
        <v>1466101</v>
      </c>
      <c r="P160" s="30">
        <v>1497301</v>
      </c>
      <c r="Q160" s="44">
        <f t="shared" si="6"/>
        <v>17531429</v>
      </c>
      <c r="R160" s="46">
        <f t="shared" si="5"/>
        <v>9.1407957763651515E-2</v>
      </c>
    </row>
    <row r="161" spans="1:18" s="42" customFormat="1">
      <c r="A161" s="1" t="s">
        <v>253</v>
      </c>
      <c r="B161" s="7" t="s">
        <v>556</v>
      </c>
      <c r="C161" s="7" t="s">
        <v>557</v>
      </c>
      <c r="D161" s="6">
        <f>'2014 pax'!Q159</f>
        <v>157233</v>
      </c>
      <c r="E161" s="30">
        <v>13598</v>
      </c>
      <c r="F161" s="30">
        <v>10240</v>
      </c>
      <c r="G161" s="30">
        <v>11738</v>
      </c>
      <c r="H161" s="30">
        <v>14256</v>
      </c>
      <c r="I161" s="30">
        <v>14663</v>
      </c>
      <c r="J161" s="30">
        <v>12084</v>
      </c>
      <c r="K161" s="30">
        <v>18216</v>
      </c>
      <c r="L161" s="30">
        <v>17922</v>
      </c>
      <c r="M161" s="30">
        <v>14719</v>
      </c>
      <c r="N161" s="30">
        <v>15584</v>
      </c>
      <c r="O161" s="30">
        <v>13340</v>
      </c>
      <c r="P161" s="30">
        <v>10441</v>
      </c>
      <c r="Q161" s="44">
        <f t="shared" si="6"/>
        <v>166801</v>
      </c>
      <c r="R161" s="46">
        <f t="shared" si="5"/>
        <v>6.0852365597552582E-2</v>
      </c>
    </row>
    <row r="162" spans="1:18">
      <c r="A162" s="1" t="s">
        <v>253</v>
      </c>
      <c r="B162" s="7" t="s">
        <v>312</v>
      </c>
      <c r="C162" s="7" t="s">
        <v>313</v>
      </c>
      <c r="D162" s="6">
        <f>'2014 pax'!Q160</f>
        <v>746934</v>
      </c>
      <c r="E162" s="30">
        <v>69049</v>
      </c>
      <c r="F162" s="30">
        <v>71756</v>
      </c>
      <c r="G162" s="30">
        <v>66895</v>
      </c>
      <c r="H162" s="30">
        <v>61828</v>
      </c>
      <c r="I162" s="30">
        <v>65613</v>
      </c>
      <c r="J162" s="30">
        <v>66980</v>
      </c>
      <c r="K162" s="30">
        <v>66083</v>
      </c>
      <c r="L162" s="30">
        <v>73754</v>
      </c>
      <c r="M162" s="30">
        <v>67040</v>
      </c>
      <c r="N162" s="30">
        <v>79747</v>
      </c>
      <c r="O162" s="30">
        <v>70801</v>
      </c>
      <c r="P162" s="30">
        <v>71305</v>
      </c>
      <c r="Q162" s="44">
        <f t="shared" si="6"/>
        <v>830851</v>
      </c>
      <c r="R162" s="46">
        <f t="shared" si="5"/>
        <v>0.11234861446928379</v>
      </c>
    </row>
    <row r="163" spans="1:18">
      <c r="A163" s="1" t="s">
        <v>253</v>
      </c>
      <c r="B163" s="7" t="s">
        <v>314</v>
      </c>
      <c r="C163" s="7" t="s">
        <v>315</v>
      </c>
      <c r="D163" s="6">
        <f>'2014 pax'!Q161</f>
        <v>446545</v>
      </c>
      <c r="E163" s="30">
        <v>40293</v>
      </c>
      <c r="F163" s="30">
        <v>40427</v>
      </c>
      <c r="G163" s="30">
        <v>39872</v>
      </c>
      <c r="H163" s="30">
        <v>38089</v>
      </c>
      <c r="I163" s="30">
        <v>39239</v>
      </c>
      <c r="J163" s="30">
        <v>38533</v>
      </c>
      <c r="K163" s="30">
        <v>45090</v>
      </c>
      <c r="L163" s="30">
        <v>45872</v>
      </c>
      <c r="M163" s="30">
        <v>39345</v>
      </c>
      <c r="N163" s="30">
        <v>45464</v>
      </c>
      <c r="O163" s="30">
        <v>42158</v>
      </c>
      <c r="P163" s="30">
        <v>42367</v>
      </c>
      <c r="Q163" s="44">
        <f t="shared" si="6"/>
        <v>496749</v>
      </c>
      <c r="R163" s="46">
        <f t="shared" si="5"/>
        <v>0.1124276388717822</v>
      </c>
    </row>
    <row r="164" spans="1:18">
      <c r="A164" s="1" t="s">
        <v>253</v>
      </c>
      <c r="B164" s="7" t="s">
        <v>308</v>
      </c>
      <c r="C164" s="7" t="s">
        <v>309</v>
      </c>
      <c r="D164" s="6">
        <f>'2014 pax'!Q162</f>
        <v>267951</v>
      </c>
      <c r="E164" s="30">
        <v>19461</v>
      </c>
      <c r="F164" s="30">
        <v>18400</v>
      </c>
      <c r="G164" s="30">
        <v>20260</v>
      </c>
      <c r="H164" s="30">
        <v>22250</v>
      </c>
      <c r="I164" s="30">
        <v>24371</v>
      </c>
      <c r="J164" s="30">
        <v>21561</v>
      </c>
      <c r="K164" s="30">
        <v>24705</v>
      </c>
      <c r="L164" s="30">
        <v>31052</v>
      </c>
      <c r="M164" s="30">
        <v>26536</v>
      </c>
      <c r="N164" s="30">
        <v>27243</v>
      </c>
      <c r="O164" s="30">
        <v>23310</v>
      </c>
      <c r="P164" s="30">
        <v>22365</v>
      </c>
      <c r="Q164" s="44">
        <f t="shared" si="6"/>
        <v>281514</v>
      </c>
      <c r="R164" s="46">
        <f t="shared" si="5"/>
        <v>5.0617463640740379E-2</v>
      </c>
    </row>
    <row r="165" spans="1:18">
      <c r="A165" s="1" t="s">
        <v>253</v>
      </c>
      <c r="B165" s="7" t="s">
        <v>322</v>
      </c>
      <c r="C165" s="7" t="s">
        <v>323</v>
      </c>
      <c r="D165" s="6">
        <f>'2014 pax'!Q163</f>
        <v>340562</v>
      </c>
      <c r="E165" s="30">
        <v>30163</v>
      </c>
      <c r="F165" s="30">
        <v>33494</v>
      </c>
      <c r="G165" s="30">
        <v>28200</v>
      </c>
      <c r="H165" s="30">
        <v>27687</v>
      </c>
      <c r="I165" s="30">
        <v>30691</v>
      </c>
      <c r="J165" s="30">
        <v>27816</v>
      </c>
      <c r="K165" s="30">
        <v>31428</v>
      </c>
      <c r="L165" s="30">
        <v>34207</v>
      </c>
      <c r="M165" s="30">
        <v>34009</v>
      </c>
      <c r="N165" s="30">
        <v>35845</v>
      </c>
      <c r="O165" s="30">
        <v>35039</v>
      </c>
      <c r="P165" s="30">
        <v>34991</v>
      </c>
      <c r="Q165" s="44">
        <f t="shared" si="6"/>
        <v>383570</v>
      </c>
      <c r="R165" s="46">
        <f t="shared" si="5"/>
        <v>0.12628537535015649</v>
      </c>
    </row>
    <row r="166" spans="1:18">
      <c r="A166" s="1" t="s">
        <v>253</v>
      </c>
      <c r="B166" s="7" t="s">
        <v>318</v>
      </c>
      <c r="C166" s="7" t="s">
        <v>319</v>
      </c>
      <c r="D166" s="6">
        <f>'2014 pax'!Q164</f>
        <v>650998</v>
      </c>
      <c r="E166" s="30">
        <v>54257</v>
      </c>
      <c r="F166" s="30">
        <v>55337</v>
      </c>
      <c r="G166" s="30">
        <v>50509</v>
      </c>
      <c r="H166" s="30">
        <v>47834</v>
      </c>
      <c r="I166" s="30">
        <v>52920</v>
      </c>
      <c r="J166" s="30">
        <v>50700</v>
      </c>
      <c r="K166" s="30">
        <v>53918</v>
      </c>
      <c r="L166" s="30">
        <v>61057</v>
      </c>
      <c r="M166" s="30">
        <v>50673</v>
      </c>
      <c r="N166" s="30">
        <v>55858</v>
      </c>
      <c r="O166" s="30">
        <v>50386</v>
      </c>
      <c r="P166" s="30">
        <v>54413</v>
      </c>
      <c r="Q166" s="44">
        <f t="shared" si="6"/>
        <v>637862</v>
      </c>
      <c r="R166" s="46">
        <f t="shared" si="5"/>
        <v>-2.0178249395543468E-2</v>
      </c>
    </row>
    <row r="167" spans="1:18">
      <c r="A167" s="1" t="s">
        <v>253</v>
      </c>
      <c r="B167" s="7" t="s">
        <v>316</v>
      </c>
      <c r="C167" s="7" t="s">
        <v>317</v>
      </c>
      <c r="D167" s="6">
        <f>'2014 pax'!Q165</f>
        <v>480057</v>
      </c>
      <c r="E167" s="30">
        <v>39918</v>
      </c>
      <c r="F167" s="30">
        <v>38054</v>
      </c>
      <c r="G167" s="30">
        <v>39394</v>
      </c>
      <c r="H167" s="30">
        <v>36682</v>
      </c>
      <c r="I167" s="30">
        <v>41677</v>
      </c>
      <c r="J167" s="30">
        <v>38448</v>
      </c>
      <c r="K167" s="30">
        <v>42282</v>
      </c>
      <c r="L167" s="30">
        <v>43620</v>
      </c>
      <c r="M167" s="30">
        <v>41914</v>
      </c>
      <c r="N167" s="30">
        <v>44745</v>
      </c>
      <c r="O167" s="30">
        <v>44188</v>
      </c>
      <c r="P167" s="30">
        <v>46171</v>
      </c>
      <c r="Q167" s="44">
        <f t="shared" si="6"/>
        <v>497093</v>
      </c>
      <c r="R167" s="46">
        <f t="shared" si="5"/>
        <v>3.548745253167862E-2</v>
      </c>
    </row>
    <row r="168" spans="1:18" s="42" customFormat="1">
      <c r="A168" s="1" t="s">
        <v>253</v>
      </c>
      <c r="B168" s="7" t="s">
        <v>553</v>
      </c>
      <c r="C168" s="7" t="s">
        <v>552</v>
      </c>
      <c r="D168" s="6">
        <f>'2014 pax'!Q166</f>
        <v>183491</v>
      </c>
      <c r="E168" s="30">
        <v>18906</v>
      </c>
      <c r="F168" s="30">
        <v>18858</v>
      </c>
      <c r="G168" s="30">
        <v>15301</v>
      </c>
      <c r="H168" s="30">
        <v>12951</v>
      </c>
      <c r="I168" s="30">
        <v>14774</v>
      </c>
      <c r="J168" s="30">
        <v>12808</v>
      </c>
      <c r="K168" s="30">
        <v>17056</v>
      </c>
      <c r="L168" s="30">
        <v>17036</v>
      </c>
      <c r="M168" s="30">
        <v>15624</v>
      </c>
      <c r="N168" s="30">
        <v>16465</v>
      </c>
      <c r="O168" s="30">
        <v>14448</v>
      </c>
      <c r="P168" s="30">
        <v>15907</v>
      </c>
      <c r="Q168" s="44">
        <f t="shared" si="6"/>
        <v>190134</v>
      </c>
      <c r="R168" s="46">
        <f t="shared" si="5"/>
        <v>3.6203410521497004E-2</v>
      </c>
    </row>
    <row r="169" spans="1:18" s="42" customFormat="1">
      <c r="A169" s="1" t="s">
        <v>632</v>
      </c>
      <c r="B169" s="7" t="s">
        <v>635</v>
      </c>
      <c r="C169" s="7" t="s">
        <v>636</v>
      </c>
      <c r="D169" s="6">
        <v>195087</v>
      </c>
      <c r="E169" s="30">
        <v>14612</v>
      </c>
      <c r="F169" s="30">
        <v>14466</v>
      </c>
      <c r="G169" s="30">
        <v>15702</v>
      </c>
      <c r="H169" s="30">
        <v>16272</v>
      </c>
      <c r="I169" s="30">
        <v>16888</v>
      </c>
      <c r="J169" s="30">
        <v>14366</v>
      </c>
      <c r="K169" s="30">
        <v>18400</v>
      </c>
      <c r="L169" s="30">
        <v>18738</v>
      </c>
      <c r="M169" s="30">
        <v>13256</v>
      </c>
      <c r="N169" s="30">
        <v>15834</v>
      </c>
      <c r="O169" s="30">
        <v>14820</v>
      </c>
      <c r="P169" s="30">
        <v>18096</v>
      </c>
      <c r="Q169" s="44">
        <f t="shared" si="6"/>
        <v>191450</v>
      </c>
      <c r="R169" s="46">
        <f t="shared" si="5"/>
        <v>-1.8642964421001884E-2</v>
      </c>
    </row>
    <row r="170" spans="1:18" s="42" customFormat="1">
      <c r="A170" s="1" t="s">
        <v>632</v>
      </c>
      <c r="B170" s="7" t="s">
        <v>634</v>
      </c>
      <c r="C170" s="7" t="s">
        <v>633</v>
      </c>
      <c r="D170" s="6">
        <v>614754</v>
      </c>
      <c r="E170" s="30">
        <v>63791</v>
      </c>
      <c r="F170" s="30">
        <v>58899</v>
      </c>
      <c r="G170" s="30">
        <v>66192</v>
      </c>
      <c r="H170" s="30">
        <v>57421</v>
      </c>
      <c r="I170" s="30">
        <v>51099</v>
      </c>
      <c r="J170" s="30">
        <v>48062</v>
      </c>
      <c r="K170" s="30">
        <v>55187</v>
      </c>
      <c r="L170" s="30">
        <v>53805</v>
      </c>
      <c r="M170" s="30">
        <v>33112</v>
      </c>
      <c r="N170" s="30">
        <v>41396</v>
      </c>
      <c r="O170" s="30">
        <v>47332</v>
      </c>
      <c r="P170" s="30">
        <v>56182</v>
      </c>
      <c r="Q170" s="44">
        <f t="shared" si="6"/>
        <v>632478</v>
      </c>
      <c r="R170" s="46">
        <f t="shared" si="5"/>
        <v>2.8831044612967149E-2</v>
      </c>
    </row>
    <row r="171" spans="1:18">
      <c r="A171" s="1" t="s">
        <v>326</v>
      </c>
      <c r="B171" s="7" t="s">
        <v>327</v>
      </c>
      <c r="C171" s="7" t="s">
        <v>328</v>
      </c>
      <c r="D171" s="6">
        <f>'2014 pax'!Q167</f>
        <v>0</v>
      </c>
      <c r="E171" s="30"/>
      <c r="F171" s="30"/>
      <c r="G171" s="30"/>
      <c r="H171" s="45"/>
      <c r="I171" s="30"/>
      <c r="J171" s="30"/>
      <c r="K171" s="30"/>
      <c r="L171" s="30"/>
      <c r="M171" s="30"/>
      <c r="N171" s="30"/>
      <c r="O171" s="30"/>
      <c r="P171" s="30"/>
      <c r="Q171" s="44">
        <f t="shared" si="6"/>
        <v>0</v>
      </c>
      <c r="R171" s="46"/>
    </row>
    <row r="172" spans="1:18">
      <c r="A172" s="1" t="s">
        <v>326</v>
      </c>
      <c r="B172" s="7" t="s">
        <v>329</v>
      </c>
      <c r="C172" s="7" t="s">
        <v>330</v>
      </c>
      <c r="D172" s="6">
        <f>'2014 pax'!Q168</f>
        <v>0</v>
      </c>
      <c r="E172" s="30"/>
      <c r="F172" s="30"/>
      <c r="G172" s="30"/>
      <c r="H172" s="45"/>
      <c r="I172" s="30"/>
      <c r="J172" s="30"/>
      <c r="K172" s="30"/>
      <c r="L172" s="30"/>
      <c r="M172" s="30"/>
      <c r="N172" s="30"/>
      <c r="O172" s="30"/>
      <c r="P172" s="30"/>
      <c r="Q172" s="44">
        <f t="shared" si="6"/>
        <v>0</v>
      </c>
      <c r="R172" s="46"/>
    </row>
    <row r="173" spans="1:18" s="42" customFormat="1">
      <c r="A173" s="1" t="s">
        <v>16</v>
      </c>
      <c r="B173" s="7" t="s">
        <v>574</v>
      </c>
      <c r="C173" s="7" t="s">
        <v>575</v>
      </c>
      <c r="D173" s="6"/>
      <c r="E173" s="30">
        <v>109293</v>
      </c>
      <c r="F173" s="30">
        <v>105469</v>
      </c>
      <c r="G173" s="30">
        <v>147080</v>
      </c>
      <c r="H173" s="45">
        <v>132817</v>
      </c>
      <c r="I173" s="30">
        <v>133952</v>
      </c>
      <c r="J173" s="30">
        <v>145984</v>
      </c>
      <c r="K173" s="30">
        <v>148707</v>
      </c>
      <c r="L173" s="30">
        <v>134620</v>
      </c>
      <c r="M173" s="30">
        <v>121047</v>
      </c>
      <c r="N173" s="30">
        <v>129278</v>
      </c>
      <c r="O173" s="30">
        <v>119349</v>
      </c>
      <c r="P173" s="30">
        <v>118401</v>
      </c>
      <c r="Q173" s="44">
        <f t="shared" si="6"/>
        <v>1545997</v>
      </c>
      <c r="R173" s="46"/>
    </row>
    <row r="174" spans="1:18">
      <c r="A174" s="1" t="s">
        <v>16</v>
      </c>
      <c r="B174" s="1" t="s">
        <v>353</v>
      </c>
      <c r="C174" s="1" t="s">
        <v>354</v>
      </c>
      <c r="D174" s="6">
        <f>'2014 pax'!Q169</f>
        <v>4871901</v>
      </c>
      <c r="E174" s="30">
        <v>304545</v>
      </c>
      <c r="F174" s="30">
        <v>280958</v>
      </c>
      <c r="G174" s="30">
        <v>369022</v>
      </c>
      <c r="H174" s="45">
        <v>379963</v>
      </c>
      <c r="I174" s="30">
        <v>425363</v>
      </c>
      <c r="J174" s="30">
        <v>437755</v>
      </c>
      <c r="K174" s="30">
        <v>459392</v>
      </c>
      <c r="L174" s="30">
        <v>431382</v>
      </c>
      <c r="M174" s="30">
        <v>403825</v>
      </c>
      <c r="N174" s="30">
        <v>462163</v>
      </c>
      <c r="O174" s="30">
        <v>379451</v>
      </c>
      <c r="P174" s="30">
        <v>405933</v>
      </c>
      <c r="Q174" s="44">
        <f t="shared" si="6"/>
        <v>4739752</v>
      </c>
      <c r="R174" s="46">
        <f t="shared" ref="R174:R240" si="7">Q174/D174-1</f>
        <v>-2.7124730161799282E-2</v>
      </c>
    </row>
    <row r="175" spans="1:18" s="42" customFormat="1">
      <c r="A175" s="1" t="s">
        <v>16</v>
      </c>
      <c r="B175" s="1" t="s">
        <v>549</v>
      </c>
      <c r="C175" s="1" t="s">
        <v>550</v>
      </c>
      <c r="D175" s="6"/>
      <c r="E175" s="30">
        <v>98267</v>
      </c>
      <c r="F175" s="30">
        <v>96496</v>
      </c>
      <c r="G175" s="30">
        <v>116690</v>
      </c>
      <c r="H175" s="45">
        <v>105700</v>
      </c>
      <c r="I175" s="30">
        <v>104093</v>
      </c>
      <c r="J175" s="30">
        <v>97360</v>
      </c>
      <c r="K175" s="30">
        <v>111141</v>
      </c>
      <c r="L175" s="30">
        <v>110632</v>
      </c>
      <c r="M175" s="30">
        <v>82583</v>
      </c>
      <c r="N175" s="30">
        <v>81344</v>
      </c>
      <c r="O175" s="30">
        <v>94358</v>
      </c>
      <c r="P175" s="30"/>
      <c r="Q175" s="44">
        <f t="shared" si="6"/>
        <v>1098664</v>
      </c>
      <c r="R175" s="46"/>
    </row>
    <row r="176" spans="1:18">
      <c r="A176" s="1" t="s">
        <v>16</v>
      </c>
      <c r="B176" s="1" t="s">
        <v>17</v>
      </c>
      <c r="C176" s="1" t="s">
        <v>18</v>
      </c>
      <c r="D176" s="6">
        <f>'2014 pax'!Q170</f>
        <v>96123070</v>
      </c>
      <c r="E176" s="30">
        <v>7288267</v>
      </c>
      <c r="F176" s="30">
        <v>6833991</v>
      </c>
      <c r="G176" s="30">
        <v>8623751</v>
      </c>
      <c r="H176" s="45">
        <v>8418370</v>
      </c>
      <c r="I176" s="30">
        <v>8894339</v>
      </c>
      <c r="J176" s="30">
        <v>9035794</v>
      </c>
      <c r="K176" s="30">
        <v>9384797</v>
      </c>
      <c r="L176" s="30">
        <v>9053951</v>
      </c>
      <c r="M176" s="30">
        <v>8321227</v>
      </c>
      <c r="N176" s="30">
        <v>8919729</v>
      </c>
      <c r="O176" s="30">
        <v>8493790</v>
      </c>
      <c r="P176" s="30">
        <v>8221881</v>
      </c>
      <c r="Q176" s="44">
        <f>SUM(E176:P176)</f>
        <v>101489887</v>
      </c>
      <c r="R176" s="46">
        <f t="shared" si="7"/>
        <v>5.5832767305497022E-2</v>
      </c>
    </row>
    <row r="177" spans="1:21" ht="15.75">
      <c r="A177" s="1" t="s">
        <v>16</v>
      </c>
      <c r="B177" s="1" t="s">
        <v>382</v>
      </c>
      <c r="C177" s="1" t="s">
        <v>348</v>
      </c>
      <c r="D177" s="6">
        <f>'2014 pax'!Q171</f>
        <v>10718854</v>
      </c>
      <c r="E177" s="30">
        <v>779481</v>
      </c>
      <c r="F177" s="30">
        <v>738355</v>
      </c>
      <c r="G177" s="30">
        <v>1006899</v>
      </c>
      <c r="H177" s="45">
        <v>957916</v>
      </c>
      <c r="I177" s="30">
        <v>1022353</v>
      </c>
      <c r="J177" s="30">
        <v>1088399</v>
      </c>
      <c r="K177" s="30">
        <v>1165811</v>
      </c>
      <c r="L177" s="30">
        <v>1062997</v>
      </c>
      <c r="M177" s="30">
        <v>964975</v>
      </c>
      <c r="N177" s="30">
        <v>1044747</v>
      </c>
      <c r="O177" s="30">
        <v>1036223</v>
      </c>
      <c r="P177" s="30">
        <v>1029803</v>
      </c>
      <c r="Q177" s="44">
        <f t="shared" ref="Q177:Q240" si="8">SUM(E177:P177)</f>
        <v>11897959</v>
      </c>
      <c r="R177" s="46">
        <f t="shared" si="7"/>
        <v>0.11000289769783222</v>
      </c>
    </row>
    <row r="178" spans="1:21" ht="15.75">
      <c r="A178" s="1" t="s">
        <v>16</v>
      </c>
      <c r="B178" s="1" t="s">
        <v>383</v>
      </c>
      <c r="C178" s="1" t="s">
        <v>53</v>
      </c>
      <c r="D178" s="6">
        <f>'2014 pax'!Q172</f>
        <v>22310731</v>
      </c>
      <c r="E178" s="30">
        <v>1518245</v>
      </c>
      <c r="F178" s="30">
        <v>1405820</v>
      </c>
      <c r="G178" s="30">
        <v>1909652</v>
      </c>
      <c r="H178" s="45">
        <v>2021105</v>
      </c>
      <c r="I178" s="30">
        <v>2137675</v>
      </c>
      <c r="J178" s="30">
        <v>2181039</v>
      </c>
      <c r="K178" s="30">
        <v>2364872</v>
      </c>
      <c r="L178" s="30">
        <v>2194399</v>
      </c>
      <c r="M178" s="30">
        <v>1934935</v>
      </c>
      <c r="N178" s="30">
        <v>2114532</v>
      </c>
      <c r="O178" s="30">
        <v>2029393</v>
      </c>
      <c r="P178" s="30">
        <v>2011865</v>
      </c>
      <c r="Q178" s="44">
        <f>SUM(E178:P178)</f>
        <v>23823532</v>
      </c>
      <c r="R178" s="46">
        <f t="shared" si="7"/>
        <v>6.7805980897712503E-2</v>
      </c>
    </row>
    <row r="179" spans="1:21" ht="15.75">
      <c r="A179" s="1" t="s">
        <v>16</v>
      </c>
      <c r="B179" s="1" t="s">
        <v>489</v>
      </c>
      <c r="C179" s="1" t="s">
        <v>431</v>
      </c>
      <c r="D179" s="6">
        <f>'2014 pax'!Q173</f>
        <v>1278403</v>
      </c>
      <c r="E179" s="30">
        <v>89506</v>
      </c>
      <c r="F179" s="30">
        <v>87269</v>
      </c>
      <c r="G179" s="30">
        <v>101354</v>
      </c>
      <c r="H179" s="45">
        <v>107042</v>
      </c>
      <c r="I179" s="30">
        <v>114774</v>
      </c>
      <c r="J179" s="30">
        <v>124880</v>
      </c>
      <c r="K179" s="30">
        <v>125888</v>
      </c>
      <c r="L179" s="30">
        <v>118445</v>
      </c>
      <c r="M179" s="30">
        <v>110775</v>
      </c>
      <c r="N179" s="30">
        <v>116183</v>
      </c>
      <c r="O179" s="30">
        <v>100168</v>
      </c>
      <c r="P179" s="30">
        <v>94566</v>
      </c>
      <c r="Q179" s="44">
        <f t="shared" si="8"/>
        <v>1290850</v>
      </c>
      <c r="R179" s="46">
        <f t="shared" si="7"/>
        <v>9.736366388376716E-3</v>
      </c>
      <c r="U179" s="42"/>
    </row>
    <row r="180" spans="1:21" s="42" customFormat="1">
      <c r="A180" s="1" t="s">
        <v>16</v>
      </c>
      <c r="B180" s="1" t="s">
        <v>568</v>
      </c>
      <c r="C180" s="1" t="s">
        <v>569</v>
      </c>
      <c r="D180" s="6">
        <v>2624665</v>
      </c>
      <c r="E180" s="30">
        <v>187392</v>
      </c>
      <c r="F180" s="30">
        <v>181517</v>
      </c>
      <c r="G180" s="30">
        <v>230373</v>
      </c>
      <c r="H180" s="45">
        <v>220658</v>
      </c>
      <c r="I180" s="30">
        <v>245447</v>
      </c>
      <c r="J180" s="30">
        <v>239167</v>
      </c>
      <c r="K180" s="30">
        <v>243997</v>
      </c>
      <c r="L180" s="30">
        <v>225895</v>
      </c>
      <c r="M180" s="30">
        <v>223592</v>
      </c>
      <c r="N180" s="30">
        <v>249635</v>
      </c>
      <c r="O180" s="30">
        <v>236156</v>
      </c>
      <c r="P180" s="30">
        <v>211691</v>
      </c>
      <c r="Q180" s="44">
        <f t="shared" si="8"/>
        <v>2695520</v>
      </c>
      <c r="R180" s="46">
        <f t="shared" si="7"/>
        <v>2.6995826134001755E-2</v>
      </c>
    </row>
    <row r="181" spans="1:21">
      <c r="A181" s="1" t="s">
        <v>16</v>
      </c>
      <c r="B181" s="1" t="s">
        <v>423</v>
      </c>
      <c r="C181" s="1" t="s">
        <v>424</v>
      </c>
      <c r="D181" s="6">
        <f>'2014 pax'!Q174</f>
        <v>2752370</v>
      </c>
      <c r="E181" s="30">
        <v>215235</v>
      </c>
      <c r="F181" s="30">
        <v>198742</v>
      </c>
      <c r="G181" s="30">
        <v>230995</v>
      </c>
      <c r="H181" s="45">
        <v>214830</v>
      </c>
      <c r="I181" s="30">
        <v>244875</v>
      </c>
      <c r="J181" s="30">
        <v>278039</v>
      </c>
      <c r="K181" s="30">
        <v>289215</v>
      </c>
      <c r="L181" s="30">
        <v>272699</v>
      </c>
      <c r="M181" s="30">
        <v>246037</v>
      </c>
      <c r="N181" s="30">
        <v>266967</v>
      </c>
      <c r="O181" s="30">
        <v>250329</v>
      </c>
      <c r="P181" s="30">
        <v>270318</v>
      </c>
      <c r="Q181" s="44">
        <f t="shared" si="8"/>
        <v>2978281</v>
      </c>
      <c r="R181" s="46">
        <f t="shared" si="7"/>
        <v>8.2078717614274321E-2</v>
      </c>
      <c r="T181" s="59"/>
      <c r="U181" s="59"/>
    </row>
    <row r="182" spans="1:21" ht="15.75">
      <c r="A182" s="1" t="s">
        <v>16</v>
      </c>
      <c r="B182" s="1" t="s">
        <v>452</v>
      </c>
      <c r="C182" s="1" t="s">
        <v>48</v>
      </c>
      <c r="D182" s="6">
        <f>'2014 pax'!Q175</f>
        <v>31634445</v>
      </c>
      <c r="E182" s="30">
        <v>2108046</v>
      </c>
      <c r="F182" s="30">
        <v>1941426</v>
      </c>
      <c r="G182" s="30">
        <v>2704714</v>
      </c>
      <c r="H182" s="45">
        <v>2833871</v>
      </c>
      <c r="I182" s="30">
        <v>3017234</v>
      </c>
      <c r="J182" s="30">
        <v>3105133</v>
      </c>
      <c r="K182" s="30">
        <v>3349845</v>
      </c>
      <c r="L182" s="30">
        <v>3324880</v>
      </c>
      <c r="M182" s="30">
        <v>2830912</v>
      </c>
      <c r="N182" s="30">
        <v>3043178</v>
      </c>
      <c r="O182" s="30">
        <v>2645260</v>
      </c>
      <c r="P182" s="30">
        <v>2545081</v>
      </c>
      <c r="Q182" s="44">
        <f t="shared" si="8"/>
        <v>33449580</v>
      </c>
      <c r="R182" s="46">
        <f t="shared" si="7"/>
        <v>5.7378436700880942E-2</v>
      </c>
    </row>
    <row r="183" spans="1:21">
      <c r="A183" s="1" t="s">
        <v>16</v>
      </c>
      <c r="B183" s="1" t="s">
        <v>535</v>
      </c>
      <c r="C183" s="1" t="s">
        <v>536</v>
      </c>
      <c r="D183" s="6">
        <f>'2014 pax'!Q176</f>
        <v>1905909</v>
      </c>
      <c r="E183" s="30"/>
      <c r="F183" s="30"/>
      <c r="G183" s="30"/>
      <c r="H183" s="45"/>
      <c r="I183" s="30"/>
      <c r="J183" s="30"/>
      <c r="K183" s="30"/>
      <c r="L183" s="30"/>
      <c r="M183" s="30"/>
      <c r="N183" s="30"/>
      <c r="O183" s="30"/>
      <c r="P183" s="30"/>
      <c r="Q183" s="44">
        <f t="shared" si="8"/>
        <v>0</v>
      </c>
      <c r="R183" s="46"/>
    </row>
    <row r="184" spans="1:21" ht="15.75">
      <c r="A184" s="1" t="s">
        <v>16</v>
      </c>
      <c r="B184" s="1" t="s">
        <v>417</v>
      </c>
      <c r="C184" s="1" t="s">
        <v>407</v>
      </c>
      <c r="D184" s="6">
        <f>'2014 pax'!Q177</f>
        <v>3861179</v>
      </c>
      <c r="E184" s="30">
        <v>297209</v>
      </c>
      <c r="F184" s="30">
        <v>284496</v>
      </c>
      <c r="G184" s="30">
        <v>337432</v>
      </c>
      <c r="H184" s="45">
        <v>333406</v>
      </c>
      <c r="I184" s="30">
        <v>341191</v>
      </c>
      <c r="J184" s="30">
        <v>336978</v>
      </c>
      <c r="K184" s="30">
        <v>334738</v>
      </c>
      <c r="L184" s="30">
        <v>342095</v>
      </c>
      <c r="M184" s="30">
        <v>318769</v>
      </c>
      <c r="N184" s="30">
        <v>343508</v>
      </c>
      <c r="O184" s="30">
        <v>337572</v>
      </c>
      <c r="P184" s="30">
        <v>336235</v>
      </c>
      <c r="Q184" s="44">
        <f t="shared" si="8"/>
        <v>3943629</v>
      </c>
      <c r="R184" s="46">
        <f t="shared" si="7"/>
        <v>2.1353581380195052E-2</v>
      </c>
    </row>
    <row r="185" spans="1:21">
      <c r="A185" s="1" t="s">
        <v>16</v>
      </c>
      <c r="B185" s="1" t="s">
        <v>439</v>
      </c>
      <c r="C185" s="1" t="s">
        <v>440</v>
      </c>
      <c r="D185" s="6">
        <f>'2014 pax'!Q178</f>
        <v>3131072</v>
      </c>
      <c r="E185" s="30">
        <v>202998</v>
      </c>
      <c r="F185" s="30">
        <v>196254</v>
      </c>
      <c r="G185" s="30">
        <v>275614</v>
      </c>
      <c r="H185" s="45">
        <v>301871</v>
      </c>
      <c r="I185" s="30">
        <v>307221</v>
      </c>
      <c r="J185" s="30">
        <v>323832</v>
      </c>
      <c r="K185" s="30">
        <v>322340</v>
      </c>
      <c r="L185" s="30">
        <v>313345</v>
      </c>
      <c r="M185" s="30">
        <v>300336</v>
      </c>
      <c r="N185" s="30">
        <v>313622</v>
      </c>
      <c r="O185" s="30">
        <v>285719</v>
      </c>
      <c r="P185" s="30">
        <v>272800</v>
      </c>
      <c r="Q185" s="44">
        <f t="shared" si="8"/>
        <v>3415952</v>
      </c>
      <c r="R185" s="46">
        <f t="shared" si="7"/>
        <v>9.0984812869202569E-2</v>
      </c>
    </row>
    <row r="186" spans="1:21">
      <c r="A186" s="1" t="s">
        <v>16</v>
      </c>
      <c r="B186" s="1" t="s">
        <v>34</v>
      </c>
      <c r="C186" s="1" t="s">
        <v>35</v>
      </c>
      <c r="D186" s="6">
        <f>'2014 pax'!Q179</f>
        <v>47894477</v>
      </c>
      <c r="E186" s="30">
        <v>3403970</v>
      </c>
      <c r="F186" s="30">
        <v>3056678</v>
      </c>
      <c r="G186" s="30">
        <v>3884284</v>
      </c>
      <c r="H186" s="45">
        <v>3834986</v>
      </c>
      <c r="I186" s="30">
        <v>4019110</v>
      </c>
      <c r="J186" s="30">
        <v>3925530</v>
      </c>
      <c r="K186" s="30">
        <v>4089547</v>
      </c>
      <c r="L186" s="30">
        <v>3926753</v>
      </c>
      <c r="M186" s="30">
        <v>3576122</v>
      </c>
      <c r="N186" s="30">
        <v>3854027</v>
      </c>
      <c r="O186" s="30">
        <v>3632602</v>
      </c>
      <c r="P186" s="30">
        <v>3673030</v>
      </c>
      <c r="Q186" s="44">
        <f t="shared" si="8"/>
        <v>44876639</v>
      </c>
      <c r="R186" s="46">
        <f t="shared" si="7"/>
        <v>-6.3010146242958198E-2</v>
      </c>
    </row>
    <row r="187" spans="1:21" ht="15.75">
      <c r="A187" s="1" t="s">
        <v>16</v>
      </c>
      <c r="B187" s="1" t="s">
        <v>384</v>
      </c>
      <c r="C187" s="1" t="s">
        <v>57</v>
      </c>
      <c r="D187" s="6">
        <f>'2014 pax'!Q180</f>
        <v>21204642</v>
      </c>
      <c r="E187" s="30">
        <v>1414385</v>
      </c>
      <c r="F187" s="30">
        <v>1308365</v>
      </c>
      <c r="G187" s="30">
        <v>1824773</v>
      </c>
      <c r="H187" s="45">
        <v>1876511</v>
      </c>
      <c r="I187" s="30">
        <v>1966841</v>
      </c>
      <c r="J187" s="30">
        <v>2082761</v>
      </c>
      <c r="K187" s="30">
        <v>2239420</v>
      </c>
      <c r="L187" s="30">
        <v>2097390</v>
      </c>
      <c r="M187" s="30">
        <v>1918437</v>
      </c>
      <c r="N187" s="30">
        <v>2043207</v>
      </c>
      <c r="O187" s="30">
        <v>1746343</v>
      </c>
      <c r="P187" s="30">
        <v>1703066</v>
      </c>
      <c r="Q187" s="44">
        <f t="shared" si="8"/>
        <v>22221499</v>
      </c>
      <c r="R187" s="46">
        <f t="shared" si="7"/>
        <v>4.7954452614668019E-2</v>
      </c>
    </row>
    <row r="188" spans="1:21" ht="15.75">
      <c r="A188" s="1" t="s">
        <v>16</v>
      </c>
      <c r="B188" s="1" t="s">
        <v>385</v>
      </c>
      <c r="C188" s="1" t="s">
        <v>19</v>
      </c>
      <c r="D188" s="6">
        <f>'2014 pax'!Q181</f>
        <v>70028298</v>
      </c>
      <c r="E188" s="30">
        <v>5154356</v>
      </c>
      <c r="F188" s="30">
        <v>4771240</v>
      </c>
      <c r="G188" s="30">
        <v>6332548</v>
      </c>
      <c r="H188" s="45">
        <v>6244765</v>
      </c>
      <c r="I188" s="30">
        <v>6859906</v>
      </c>
      <c r="J188" s="30">
        <v>7012037</v>
      </c>
      <c r="K188" s="30">
        <v>7372910</v>
      </c>
      <c r="L188" s="30">
        <v>7271026</v>
      </c>
      <c r="M188" s="30">
        <v>6552126</v>
      </c>
      <c r="N188" s="30">
        <v>6975986</v>
      </c>
      <c r="O188" s="30">
        <v>6265527</v>
      </c>
      <c r="P188" s="30">
        <v>6125843</v>
      </c>
      <c r="Q188" s="44">
        <f t="shared" si="8"/>
        <v>76938270</v>
      </c>
      <c r="R188" s="46">
        <f t="shared" si="7"/>
        <v>9.8673996046569679E-2</v>
      </c>
    </row>
    <row r="189" spans="1:21">
      <c r="A189" s="1" t="s">
        <v>16</v>
      </c>
      <c r="B189" s="1" t="s">
        <v>349</v>
      </c>
      <c r="C189" s="1" t="s">
        <v>350</v>
      </c>
      <c r="D189" s="6">
        <f>'2014 pax'!Q182</f>
        <v>5908711</v>
      </c>
      <c r="E189" s="30">
        <v>409523</v>
      </c>
      <c r="F189" s="30">
        <v>403072</v>
      </c>
      <c r="G189" s="30">
        <v>524428</v>
      </c>
      <c r="H189" s="45">
        <v>517863</v>
      </c>
      <c r="I189" s="30">
        <v>561734</v>
      </c>
      <c r="J189" s="30">
        <v>595544</v>
      </c>
      <c r="K189" s="30">
        <v>604735</v>
      </c>
      <c r="L189" s="30">
        <v>580114</v>
      </c>
      <c r="M189" s="30">
        <v>521558</v>
      </c>
      <c r="N189" s="30">
        <v>591859</v>
      </c>
      <c r="O189" s="30">
        <v>512450</v>
      </c>
      <c r="P189" s="30">
        <v>493737</v>
      </c>
      <c r="Q189" s="44">
        <f t="shared" si="8"/>
        <v>6316617</v>
      </c>
      <c r="R189" s="46">
        <f t="shared" si="7"/>
        <v>6.903468455302697E-2</v>
      </c>
    </row>
    <row r="190" spans="1:21">
      <c r="A190" s="1" t="s">
        <v>16</v>
      </c>
      <c r="B190" s="1" t="s">
        <v>544</v>
      </c>
      <c r="C190" s="1" t="s">
        <v>543</v>
      </c>
      <c r="D190" s="6">
        <f>'2014 pax'!Q183</f>
        <v>7609404</v>
      </c>
      <c r="E190" s="30"/>
      <c r="F190" s="30"/>
      <c r="G190" s="45"/>
      <c r="H190" s="30"/>
      <c r="I190" s="30">
        <v>717895</v>
      </c>
      <c r="J190" s="30">
        <v>749945</v>
      </c>
      <c r="K190" s="30">
        <v>759707</v>
      </c>
      <c r="L190" s="30">
        <v>741565</v>
      </c>
      <c r="M190" s="30"/>
      <c r="N190" s="30">
        <v>736559</v>
      </c>
      <c r="O190" s="45">
        <v>682367</v>
      </c>
      <c r="P190" s="30"/>
      <c r="Q190" s="44">
        <v>8100073</v>
      </c>
      <c r="R190" s="46">
        <f t="shared" si="7"/>
        <v>6.4481922631522748E-2</v>
      </c>
    </row>
    <row r="191" spans="1:21" ht="15.75">
      <c r="A191" s="1" t="s">
        <v>16</v>
      </c>
      <c r="B191" s="1" t="s">
        <v>451</v>
      </c>
      <c r="C191" s="1" t="s">
        <v>434</v>
      </c>
      <c r="D191" s="6">
        <f>'2014 pax'!Q184</f>
        <v>361492</v>
      </c>
      <c r="E191" s="30"/>
      <c r="F191" s="30"/>
      <c r="G191" s="30"/>
      <c r="H191" s="45"/>
      <c r="I191" s="30"/>
      <c r="J191" s="30"/>
      <c r="K191" s="30"/>
      <c r="L191" s="30"/>
      <c r="M191" s="30"/>
      <c r="N191" s="30"/>
      <c r="O191" s="30"/>
      <c r="P191" s="30"/>
      <c r="Q191" s="44">
        <f t="shared" si="8"/>
        <v>0</v>
      </c>
      <c r="R191" s="46"/>
    </row>
    <row r="192" spans="1:21">
      <c r="A192" s="1" t="s">
        <v>16</v>
      </c>
      <c r="B192" s="1" t="s">
        <v>517</v>
      </c>
      <c r="C192" s="1" t="s">
        <v>518</v>
      </c>
      <c r="D192" s="6">
        <f>'2014 pax'!Q185</f>
        <v>1034902</v>
      </c>
      <c r="E192" s="30">
        <v>75032</v>
      </c>
      <c r="F192" s="30">
        <v>72546</v>
      </c>
      <c r="G192" s="30">
        <v>90492</v>
      </c>
      <c r="H192" s="45">
        <v>98900</v>
      </c>
      <c r="I192" s="30">
        <v>102669</v>
      </c>
      <c r="J192" s="30">
        <v>97297</v>
      </c>
      <c r="K192" s="30">
        <v>101960</v>
      </c>
      <c r="L192" s="30">
        <v>98804</v>
      </c>
      <c r="M192" s="30">
        <v>92360</v>
      </c>
      <c r="N192" s="30">
        <v>91339</v>
      </c>
      <c r="O192" s="30">
        <v>92846</v>
      </c>
      <c r="P192" s="30">
        <v>87766</v>
      </c>
      <c r="Q192" s="44">
        <f t="shared" si="8"/>
        <v>1102011</v>
      </c>
      <c r="R192" s="46">
        <f t="shared" si="7"/>
        <v>6.4845753510960558E-2</v>
      </c>
    </row>
    <row r="193" spans="1:20">
      <c r="A193" s="1" t="s">
        <v>16</v>
      </c>
      <c r="B193" s="1" t="s">
        <v>403</v>
      </c>
      <c r="C193" s="1" t="s">
        <v>404</v>
      </c>
      <c r="D193" s="6">
        <f>'2014 pax'!Q186</f>
        <v>6335426</v>
      </c>
      <c r="E193" s="30">
        <v>463553</v>
      </c>
      <c r="F193" s="30">
        <v>443797</v>
      </c>
      <c r="G193" s="30">
        <v>579565</v>
      </c>
      <c r="H193" s="45">
        <v>557455</v>
      </c>
      <c r="I193" s="30">
        <v>591921</v>
      </c>
      <c r="J193" s="30">
        <v>618169</v>
      </c>
      <c r="K193" s="30">
        <v>619602</v>
      </c>
      <c r="L193" s="30">
        <v>576947</v>
      </c>
      <c r="M193" s="30">
        <v>545355</v>
      </c>
      <c r="N193" s="30">
        <v>623405</v>
      </c>
      <c r="O193" s="30">
        <v>582430</v>
      </c>
      <c r="P193" s="30">
        <v>565589</v>
      </c>
      <c r="Q193" s="44">
        <f t="shared" si="8"/>
        <v>6767788</v>
      </c>
      <c r="R193" s="46">
        <f t="shared" si="7"/>
        <v>6.8245134581320865E-2</v>
      </c>
    </row>
    <row r="194" spans="1:20">
      <c r="A194" s="1" t="s">
        <v>16</v>
      </c>
      <c r="B194" s="1" t="s">
        <v>22</v>
      </c>
      <c r="C194" s="1" t="s">
        <v>23</v>
      </c>
      <c r="D194" s="6">
        <f>'2014 pax'!Q187</f>
        <v>63523508</v>
      </c>
      <c r="E194" s="30">
        <v>4901943</v>
      </c>
      <c r="F194" s="30">
        <v>4293035</v>
      </c>
      <c r="G194" s="30">
        <v>5292773</v>
      </c>
      <c r="H194" s="45">
        <v>5184985</v>
      </c>
      <c r="I194" s="30">
        <v>5406544</v>
      </c>
      <c r="J194" s="30">
        <v>5857338</v>
      </c>
      <c r="K194" s="30">
        <v>6158607</v>
      </c>
      <c r="L194" s="30">
        <v>5839500</v>
      </c>
      <c r="M194" s="30">
        <v>5265516</v>
      </c>
      <c r="N194" s="30">
        <v>5532892</v>
      </c>
      <c r="O194" s="30">
        <v>5103283</v>
      </c>
      <c r="P194" s="30">
        <v>5236052</v>
      </c>
      <c r="Q194" s="44">
        <f t="shared" si="8"/>
        <v>64072468</v>
      </c>
      <c r="R194" s="46">
        <f t="shared" si="7"/>
        <v>8.6418401200387684E-3</v>
      </c>
    </row>
    <row r="195" spans="1:20" ht="15.75">
      <c r="A195" s="1" t="s">
        <v>16</v>
      </c>
      <c r="B195" s="1" t="s">
        <v>505</v>
      </c>
      <c r="C195" s="1" t="s">
        <v>495</v>
      </c>
      <c r="D195" s="6">
        <f>'2014 pax'!Q188</f>
        <v>9413636</v>
      </c>
      <c r="E195" s="30">
        <v>966548</v>
      </c>
      <c r="F195" s="30">
        <v>916278</v>
      </c>
      <c r="G195" s="30">
        <v>1130032</v>
      </c>
      <c r="H195" s="45">
        <v>1162896</v>
      </c>
      <c r="I195" s="30">
        <v>1235181</v>
      </c>
      <c r="J195" s="30">
        <v>1232233</v>
      </c>
      <c r="K195" s="30">
        <v>1270096</v>
      </c>
      <c r="L195" s="30">
        <v>1299700</v>
      </c>
      <c r="M195" s="30">
        <v>1296192</v>
      </c>
      <c r="N195" s="30">
        <v>1376644</v>
      </c>
      <c r="O195" s="30">
        <v>1302084</v>
      </c>
      <c r="P195" s="30">
        <v>1309614</v>
      </c>
      <c r="Q195" s="44">
        <f t="shared" si="8"/>
        <v>14497498</v>
      </c>
      <c r="R195" s="46">
        <f t="shared" si="7"/>
        <v>0.54005296146993564</v>
      </c>
    </row>
    <row r="196" spans="1:20" s="42" customFormat="1">
      <c r="A196" s="1" t="s">
        <v>16</v>
      </c>
      <c r="B196" s="1" t="s">
        <v>570</v>
      </c>
      <c r="C196" s="1" t="s">
        <v>571</v>
      </c>
      <c r="D196" s="6"/>
      <c r="E196" s="30">
        <v>77253</v>
      </c>
      <c r="F196" s="30">
        <v>74808</v>
      </c>
      <c r="G196" s="30">
        <v>92341</v>
      </c>
      <c r="H196" s="45">
        <v>86454</v>
      </c>
      <c r="I196" s="30">
        <v>97887</v>
      </c>
      <c r="J196" s="30">
        <v>99056</v>
      </c>
      <c r="K196" s="30">
        <v>100475</v>
      </c>
      <c r="L196" s="30">
        <v>90651</v>
      </c>
      <c r="M196" s="30">
        <v>88264</v>
      </c>
      <c r="N196" s="30">
        <v>94876</v>
      </c>
      <c r="O196" s="30">
        <v>87919</v>
      </c>
      <c r="P196" s="30">
        <v>82636</v>
      </c>
      <c r="Q196" s="44">
        <f t="shared" si="8"/>
        <v>1072620</v>
      </c>
      <c r="R196" s="46"/>
    </row>
    <row r="197" spans="1:20" ht="15.75">
      <c r="A197" s="1" t="s">
        <v>16</v>
      </c>
      <c r="B197" s="1" t="s">
        <v>386</v>
      </c>
      <c r="C197" s="1" t="s">
        <v>24</v>
      </c>
      <c r="D197" s="6">
        <f>'2014 pax'!Q189</f>
        <v>53472514</v>
      </c>
      <c r="E197" s="30">
        <v>3985981</v>
      </c>
      <c r="F197" s="30">
        <v>3693876</v>
      </c>
      <c r="G197" s="30">
        <v>4533547</v>
      </c>
      <c r="H197" s="45">
        <v>4223220</v>
      </c>
      <c r="I197" s="30">
        <v>4532025</v>
      </c>
      <c r="J197" s="30">
        <v>4802776</v>
      </c>
      <c r="K197" s="30">
        <v>5019260</v>
      </c>
      <c r="L197" s="30">
        <v>4896795</v>
      </c>
      <c r="M197" s="30">
        <v>4533397</v>
      </c>
      <c r="N197" s="30">
        <v>4827675</v>
      </c>
      <c r="O197" s="30">
        <v>4383945</v>
      </c>
      <c r="P197" s="30">
        <v>4581239</v>
      </c>
      <c r="Q197" s="44">
        <f t="shared" si="8"/>
        <v>54013736</v>
      </c>
      <c r="R197" s="46">
        <f t="shared" si="7"/>
        <v>1.0121499056505945E-2</v>
      </c>
    </row>
    <row r="198" spans="1:20">
      <c r="A198" s="1" t="s">
        <v>16</v>
      </c>
      <c r="B198" s="1" t="s">
        <v>437</v>
      </c>
      <c r="C198" s="1" t="s">
        <v>438</v>
      </c>
      <c r="D198" s="6">
        <f>'2014 pax'!Q190</f>
        <v>2319448</v>
      </c>
      <c r="E198" s="30">
        <v>178065</v>
      </c>
      <c r="F198" s="30">
        <v>170051</v>
      </c>
      <c r="G198" s="30">
        <v>200959</v>
      </c>
      <c r="H198" s="45">
        <v>183688</v>
      </c>
      <c r="I198" s="30">
        <v>210890</v>
      </c>
      <c r="J198" s="30">
        <v>215517</v>
      </c>
      <c r="K198" s="30">
        <v>209258</v>
      </c>
      <c r="L198" s="30">
        <v>206847</v>
      </c>
      <c r="M198" s="30">
        <v>189858</v>
      </c>
      <c r="N198" s="30">
        <v>213070</v>
      </c>
      <c r="O198" s="30">
        <v>198703</v>
      </c>
      <c r="P198" s="30">
        <v>188737</v>
      </c>
      <c r="Q198" s="44">
        <f t="shared" si="8"/>
        <v>2365643</v>
      </c>
      <c r="R198" s="46">
        <f t="shared" si="7"/>
        <v>1.9916376655135126E-2</v>
      </c>
    </row>
    <row r="199" spans="1:20">
      <c r="A199" s="1" t="s">
        <v>16</v>
      </c>
      <c r="B199" s="1" t="s">
        <v>42</v>
      </c>
      <c r="C199" s="1" t="s">
        <v>43</v>
      </c>
      <c r="D199" s="6">
        <f>'2014 pax'!Q191</f>
        <v>32529718</v>
      </c>
      <c r="E199" s="30">
        <v>2299687</v>
      </c>
      <c r="F199" s="30">
        <v>2218796</v>
      </c>
      <c r="G199" s="30">
        <v>2867949</v>
      </c>
      <c r="H199" s="45">
        <v>2776688</v>
      </c>
      <c r="I199" s="30">
        <v>2949535</v>
      </c>
      <c r="J199" s="30">
        <v>2955727</v>
      </c>
      <c r="K199" s="30">
        <v>3122476</v>
      </c>
      <c r="L199" s="30">
        <v>3120540</v>
      </c>
      <c r="M199" s="30">
        <v>2768943</v>
      </c>
      <c r="N199" s="30">
        <v>2947595</v>
      </c>
      <c r="O199" s="30">
        <v>2748266</v>
      </c>
      <c r="P199" s="30">
        <v>2663910</v>
      </c>
      <c r="Q199" s="44">
        <f t="shared" si="8"/>
        <v>33440112</v>
      </c>
      <c r="R199" s="46">
        <f t="shared" si="7"/>
        <v>2.7986532191886848E-2</v>
      </c>
    </row>
    <row r="200" spans="1:20">
      <c r="A200" s="1" t="s">
        <v>16</v>
      </c>
      <c r="B200" s="1" t="s">
        <v>421</v>
      </c>
      <c r="C200" s="1" t="s">
        <v>422</v>
      </c>
      <c r="D200" s="6">
        <f>'2014 pax'!Q192</f>
        <v>2771462</v>
      </c>
      <c r="E200" s="30">
        <v>193427</v>
      </c>
      <c r="F200" s="30">
        <v>177319</v>
      </c>
      <c r="G200" s="30">
        <v>235610</v>
      </c>
      <c r="H200" s="45">
        <v>227658</v>
      </c>
      <c r="I200" s="30">
        <v>247419</v>
      </c>
      <c r="J200" s="30">
        <v>249986</v>
      </c>
      <c r="K200" s="30">
        <v>257756</v>
      </c>
      <c r="L200" s="30">
        <v>235993</v>
      </c>
      <c r="M200" s="30">
        <v>222751</v>
      </c>
      <c r="N200" s="30">
        <v>244840</v>
      </c>
      <c r="O200" s="30">
        <v>228210</v>
      </c>
      <c r="P200" s="30">
        <v>242244</v>
      </c>
      <c r="Q200" s="44">
        <f t="shared" si="8"/>
        <v>2763213</v>
      </c>
      <c r="R200" s="46">
        <f t="shared" si="7"/>
        <v>-2.9764073979726691E-3</v>
      </c>
    </row>
    <row r="201" spans="1:20">
      <c r="A201" s="1" t="s">
        <v>16</v>
      </c>
      <c r="B201" s="1" t="s">
        <v>51</v>
      </c>
      <c r="C201" s="1" t="s">
        <v>52</v>
      </c>
      <c r="D201" s="6">
        <f>'2014 pax'!Q193</f>
        <v>24648306</v>
      </c>
      <c r="E201" s="30">
        <v>2157913</v>
      </c>
      <c r="F201" s="30">
        <v>2213483</v>
      </c>
      <c r="G201" s="30">
        <v>2658793</v>
      </c>
      <c r="H201" s="45">
        <v>2348311</v>
      </c>
      <c r="I201" s="30">
        <v>2173825</v>
      </c>
      <c r="J201" s="30">
        <v>2135608</v>
      </c>
      <c r="K201" s="30">
        <v>2315600</v>
      </c>
      <c r="L201" s="30">
        <v>2184983</v>
      </c>
      <c r="M201" s="30">
        <v>1935627</v>
      </c>
      <c r="N201" s="30">
        <v>1975187</v>
      </c>
      <c r="O201" s="30">
        <v>2242656</v>
      </c>
      <c r="P201" s="30">
        <v>2599525</v>
      </c>
      <c r="Q201" s="44">
        <f t="shared" si="8"/>
        <v>26941511</v>
      </c>
      <c r="R201" s="46">
        <f t="shared" si="7"/>
        <v>9.3037022503696498E-2</v>
      </c>
      <c r="S201" s="48"/>
      <c r="T201" s="48"/>
    </row>
    <row r="202" spans="1:20">
      <c r="A202" s="1" t="s">
        <v>16</v>
      </c>
      <c r="B202" s="1" t="s">
        <v>398</v>
      </c>
      <c r="C202" s="1" t="s">
        <v>399</v>
      </c>
      <c r="D202" s="6">
        <f>'2014 pax'!Q194</f>
        <v>7970493</v>
      </c>
      <c r="E202" s="30">
        <v>854953</v>
      </c>
      <c r="F202" s="30">
        <v>906039</v>
      </c>
      <c r="G202" s="30">
        <v>1181382</v>
      </c>
      <c r="H202" s="45">
        <v>902669</v>
      </c>
      <c r="I202" s="30">
        <v>602891</v>
      </c>
      <c r="J202" s="30">
        <v>481512</v>
      </c>
      <c r="K202" s="30">
        <v>492114</v>
      </c>
      <c r="L202" s="30">
        <v>454360</v>
      </c>
      <c r="M202" s="30">
        <v>404045</v>
      </c>
      <c r="N202" s="30">
        <v>535921</v>
      </c>
      <c r="O202" s="30">
        <v>720556</v>
      </c>
      <c r="P202" s="30">
        <v>835359</v>
      </c>
      <c r="Q202" s="44">
        <f t="shared" si="8"/>
        <v>8371801</v>
      </c>
      <c r="R202" s="46">
        <f t="shared" si="7"/>
        <v>5.0349206755466724E-2</v>
      </c>
    </row>
    <row r="203" spans="1:20">
      <c r="A203" s="1" t="s">
        <v>16</v>
      </c>
      <c r="B203" s="1" t="s">
        <v>537</v>
      </c>
      <c r="C203" s="1" t="s">
        <v>538</v>
      </c>
      <c r="D203" s="6">
        <f>'2014 pax'!Q195</f>
        <v>1437670</v>
      </c>
      <c r="E203" s="30">
        <v>103725</v>
      </c>
      <c r="F203" s="30">
        <v>92046</v>
      </c>
      <c r="G203" s="30">
        <v>106574</v>
      </c>
      <c r="H203" s="45">
        <v>111369</v>
      </c>
      <c r="I203" s="30">
        <v>119330</v>
      </c>
      <c r="J203" s="30">
        <v>126151</v>
      </c>
      <c r="K203" s="30">
        <v>125657</v>
      </c>
      <c r="L203" s="30">
        <v>126273</v>
      </c>
      <c r="M203" s="30">
        <v>113549</v>
      </c>
      <c r="N203" s="30">
        <v>126506</v>
      </c>
      <c r="O203" s="30">
        <v>114891</v>
      </c>
      <c r="P203" s="30">
        <v>115909</v>
      </c>
      <c r="Q203" s="44">
        <f t="shared" si="8"/>
        <v>1381980</v>
      </c>
      <c r="R203" s="46">
        <f t="shared" si="7"/>
        <v>-3.8736288578046452E-2</v>
      </c>
    </row>
    <row r="204" spans="1:20">
      <c r="A204" s="1" t="s">
        <v>16</v>
      </c>
      <c r="B204" s="1" t="s">
        <v>432</v>
      </c>
      <c r="C204" s="1" t="s">
        <v>433</v>
      </c>
      <c r="D204" s="6">
        <f>'2014 pax'!Q196</f>
        <v>2335105</v>
      </c>
      <c r="E204" s="30">
        <v>181049</v>
      </c>
      <c r="F204" s="30">
        <v>188149</v>
      </c>
      <c r="G204" s="30">
        <v>231138</v>
      </c>
      <c r="H204" s="45">
        <v>216421</v>
      </c>
      <c r="I204" s="30">
        <v>215745</v>
      </c>
      <c r="J204" s="30">
        <v>222480</v>
      </c>
      <c r="K204" s="30">
        <v>234282</v>
      </c>
      <c r="L204" s="30">
        <v>231297</v>
      </c>
      <c r="M204" s="30">
        <v>203264</v>
      </c>
      <c r="N204" s="30">
        <v>218511</v>
      </c>
      <c r="O204" s="30">
        <v>205088</v>
      </c>
      <c r="P204" s="30">
        <v>202769</v>
      </c>
      <c r="Q204" s="44">
        <f t="shared" si="8"/>
        <v>2550193</v>
      </c>
      <c r="R204" s="46">
        <f t="shared" si="7"/>
        <v>9.2110633140693787E-2</v>
      </c>
    </row>
    <row r="205" spans="1:20">
      <c r="A205" s="1" t="s">
        <v>16</v>
      </c>
      <c r="B205" s="1" t="s">
        <v>447</v>
      </c>
      <c r="C205" s="1" t="s">
        <v>448</v>
      </c>
      <c r="D205" s="6">
        <f>'2014 pax'!Q197</f>
        <v>1897264</v>
      </c>
      <c r="E205" s="30">
        <v>133961</v>
      </c>
      <c r="F205" s="30">
        <v>119904</v>
      </c>
      <c r="G205" s="30">
        <v>146714</v>
      </c>
      <c r="H205" s="45">
        <v>163861</v>
      </c>
      <c r="I205" s="30">
        <v>169796</v>
      </c>
      <c r="J205" s="30">
        <v>172977</v>
      </c>
      <c r="K205" s="30">
        <v>178967</v>
      </c>
      <c r="L205" s="30">
        <v>171614</v>
      </c>
      <c r="M205" s="30">
        <v>165873</v>
      </c>
      <c r="N205" s="30">
        <v>186344</v>
      </c>
      <c r="O205" s="30">
        <v>170565</v>
      </c>
      <c r="P205" s="30">
        <v>159461</v>
      </c>
      <c r="Q205" s="44">
        <f t="shared" si="8"/>
        <v>1940037</v>
      </c>
      <c r="R205" s="46">
        <f t="shared" si="7"/>
        <v>2.2544569443156082E-2</v>
      </c>
    </row>
    <row r="206" spans="1:20">
      <c r="A206" s="1" t="s">
        <v>16</v>
      </c>
      <c r="B206" s="1" t="s">
        <v>496</v>
      </c>
      <c r="C206" s="1" t="s">
        <v>497</v>
      </c>
      <c r="D206" s="6">
        <f>'2014 pax'!Q198</f>
        <v>5873024</v>
      </c>
      <c r="E206" s="30">
        <v>425729</v>
      </c>
      <c r="F206" s="30">
        <v>400119</v>
      </c>
      <c r="G206" s="30">
        <v>519494</v>
      </c>
      <c r="H206" s="45">
        <v>526638</v>
      </c>
      <c r="I206" s="30">
        <v>542888</v>
      </c>
      <c r="J206" s="30">
        <v>508122</v>
      </c>
      <c r="K206" s="30">
        <v>534071</v>
      </c>
      <c r="L206" s="30">
        <v>521000</v>
      </c>
      <c r="M206" s="30">
        <v>457145</v>
      </c>
      <c r="N206" s="30">
        <v>518571</v>
      </c>
      <c r="O206" s="30">
        <v>500102</v>
      </c>
      <c r="P206" s="30">
        <v>480018</v>
      </c>
      <c r="Q206" s="44">
        <f t="shared" si="8"/>
        <v>5933897</v>
      </c>
      <c r="R206" s="46">
        <f t="shared" si="7"/>
        <v>1.0364847819453793E-2</v>
      </c>
    </row>
    <row r="207" spans="1:20">
      <c r="A207" s="1" t="s">
        <v>16</v>
      </c>
      <c r="B207" s="1" t="s">
        <v>559</v>
      </c>
      <c r="C207" s="1" t="s">
        <v>27</v>
      </c>
      <c r="D207" s="6">
        <f>'2014 pax'!Q199</f>
        <v>41196854</v>
      </c>
      <c r="E207" s="30">
        <v>3302827</v>
      </c>
      <c r="F207" s="30">
        <v>3022454</v>
      </c>
      <c r="G207" s="30">
        <v>3623961</v>
      </c>
      <c r="H207" s="45">
        <v>3384327</v>
      </c>
      <c r="I207" s="30">
        <v>3669633</v>
      </c>
      <c r="J207" s="30">
        <v>3891034</v>
      </c>
      <c r="K207" s="30">
        <v>4166577</v>
      </c>
      <c r="L207" s="30">
        <v>3766402</v>
      </c>
      <c r="M207" s="30">
        <v>3223069</v>
      </c>
      <c r="N207" s="30">
        <v>3615704</v>
      </c>
      <c r="O207" s="30">
        <v>3557316</v>
      </c>
      <c r="P207" s="30">
        <v>3751798</v>
      </c>
      <c r="Q207" s="44">
        <f t="shared" si="8"/>
        <v>42975102</v>
      </c>
      <c r="R207" s="46">
        <f t="shared" si="7"/>
        <v>4.3164655242849292E-2</v>
      </c>
      <c r="S207" s="48"/>
      <c r="T207" s="48"/>
    </row>
    <row r="208" spans="1:20">
      <c r="A208" s="1" t="s">
        <v>16</v>
      </c>
      <c r="B208" s="7" t="s">
        <v>64</v>
      </c>
      <c r="C208" s="7" t="s">
        <v>65</v>
      </c>
      <c r="D208" s="6">
        <f>'2014 pax'!Q200</f>
        <v>11944105</v>
      </c>
      <c r="E208" s="30">
        <v>848573</v>
      </c>
      <c r="F208" s="30">
        <v>806312</v>
      </c>
      <c r="G208" s="30">
        <v>1030602</v>
      </c>
      <c r="H208" s="45">
        <v>973075</v>
      </c>
      <c r="I208" s="30">
        <v>983360</v>
      </c>
      <c r="J208" s="30">
        <v>1086077</v>
      </c>
      <c r="K208" s="30">
        <v>1167822</v>
      </c>
      <c r="L208" s="30">
        <v>1022731</v>
      </c>
      <c r="M208" s="30">
        <v>935064</v>
      </c>
      <c r="N208" s="30">
        <v>1067298</v>
      </c>
      <c r="O208" s="30">
        <v>1094825</v>
      </c>
      <c r="P208" s="30">
        <v>1130574</v>
      </c>
      <c r="Q208" s="44">
        <f t="shared" si="8"/>
        <v>12146313</v>
      </c>
      <c r="R208" s="46">
        <f t="shared" si="7"/>
        <v>1.6929522973885502E-2</v>
      </c>
    </row>
    <row r="209" spans="1:18">
      <c r="A209" s="1" t="s">
        <v>16</v>
      </c>
      <c r="B209" s="1" t="s">
        <v>351</v>
      </c>
      <c r="C209" s="1" t="s">
        <v>352</v>
      </c>
      <c r="D209" s="6">
        <f>'2014 pax'!Q201</f>
        <v>7363671</v>
      </c>
      <c r="E209" s="30">
        <v>526017</v>
      </c>
      <c r="F209" s="30">
        <v>524471</v>
      </c>
      <c r="G209" s="30">
        <v>682721</v>
      </c>
      <c r="H209" s="45">
        <v>656791</v>
      </c>
      <c r="I209" s="30">
        <v>682869</v>
      </c>
      <c r="J209" s="30">
        <v>726257</v>
      </c>
      <c r="K209" s="30">
        <v>745496</v>
      </c>
      <c r="L209" s="30">
        <v>659419</v>
      </c>
      <c r="M209" s="30">
        <v>623985</v>
      </c>
      <c r="N209" s="30">
        <v>657479</v>
      </c>
      <c r="O209" s="30">
        <v>721538</v>
      </c>
      <c r="P209" s="30">
        <v>716682</v>
      </c>
      <c r="Q209" s="44">
        <f t="shared" si="8"/>
        <v>7923725</v>
      </c>
      <c r="R209" s="46">
        <f t="shared" si="7"/>
        <v>7.6056358302808436E-2</v>
      </c>
    </row>
    <row r="210" spans="1:18">
      <c r="A210" s="1" t="s">
        <v>16</v>
      </c>
      <c r="B210" s="1" t="s">
        <v>449</v>
      </c>
      <c r="C210" s="1" t="s">
        <v>450</v>
      </c>
      <c r="D210" s="6">
        <f>'2014 pax'!Q202</f>
        <v>1075608</v>
      </c>
      <c r="E210" s="30">
        <v>73512</v>
      </c>
      <c r="F210" s="30">
        <v>65299</v>
      </c>
      <c r="G210" s="30">
        <v>78788</v>
      </c>
      <c r="H210" s="45">
        <v>78104</v>
      </c>
      <c r="I210" s="30">
        <v>90591</v>
      </c>
      <c r="J210" s="30">
        <v>92010</v>
      </c>
      <c r="K210" s="30">
        <v>94869</v>
      </c>
      <c r="L210" s="30">
        <v>87320</v>
      </c>
      <c r="M210" s="30">
        <v>80922</v>
      </c>
      <c r="N210" s="30">
        <v>88765</v>
      </c>
      <c r="O210" s="30">
        <v>87601</v>
      </c>
      <c r="P210" s="30">
        <v>77380</v>
      </c>
      <c r="Q210" s="44">
        <f t="shared" si="8"/>
        <v>995161</v>
      </c>
      <c r="R210" s="46">
        <f t="shared" si="7"/>
        <v>-7.4792117574432271E-2</v>
      </c>
    </row>
    <row r="211" spans="1:18">
      <c r="A211" s="1" t="s">
        <v>16</v>
      </c>
      <c r="B211" s="1" t="s">
        <v>486</v>
      </c>
      <c r="C211" s="1" t="s">
        <v>487</v>
      </c>
      <c r="D211" s="6">
        <f>'2014 pax'!Q203</f>
        <v>4823019</v>
      </c>
      <c r="E211" s="30">
        <v>378396</v>
      </c>
      <c r="F211" s="30">
        <v>343125</v>
      </c>
      <c r="G211" s="30">
        <v>467829</v>
      </c>
      <c r="H211" s="45">
        <v>489536</v>
      </c>
      <c r="I211" s="30">
        <v>497722</v>
      </c>
      <c r="J211" s="30">
        <v>491617</v>
      </c>
      <c r="K211" s="30">
        <v>514172</v>
      </c>
      <c r="L211" s="30">
        <v>479361</v>
      </c>
      <c r="M211" s="30">
        <v>440981</v>
      </c>
      <c r="N211" s="30">
        <v>484586</v>
      </c>
      <c r="O211" s="30">
        <v>459037</v>
      </c>
      <c r="P211" s="30">
        <v>455307</v>
      </c>
      <c r="Q211" s="44">
        <f t="shared" si="8"/>
        <v>5501669</v>
      </c>
      <c r="R211" s="46">
        <f t="shared" si="7"/>
        <v>0.14071062129342637</v>
      </c>
    </row>
    <row r="212" spans="1:18" ht="15.75">
      <c r="A212" s="1" t="s">
        <v>16</v>
      </c>
      <c r="B212" s="1" t="s">
        <v>418</v>
      </c>
      <c r="C212" s="1" t="s">
        <v>506</v>
      </c>
      <c r="D212" s="6">
        <f>'2014 pax'!Q204</f>
        <v>10112272</v>
      </c>
      <c r="E212" s="30">
        <v>700353</v>
      </c>
      <c r="F212" s="30">
        <v>673800</v>
      </c>
      <c r="G212" s="30">
        <v>865037</v>
      </c>
      <c r="H212" s="45">
        <v>853337</v>
      </c>
      <c r="I212" s="30">
        <v>938657</v>
      </c>
      <c r="J212" s="30">
        <v>980483</v>
      </c>
      <c r="K212" s="30">
        <v>1015851</v>
      </c>
      <c r="L212" s="30">
        <v>903303</v>
      </c>
      <c r="M212" s="30">
        <v>860790</v>
      </c>
      <c r="N212" s="30">
        <v>960109</v>
      </c>
      <c r="O212" s="30">
        <v>868721</v>
      </c>
      <c r="P212" s="30">
        <v>847164</v>
      </c>
      <c r="Q212" s="44">
        <f t="shared" si="8"/>
        <v>10467605</v>
      </c>
      <c r="R212" s="46">
        <f t="shared" si="7"/>
        <v>3.513878977938889E-2</v>
      </c>
    </row>
    <row r="213" spans="1:18">
      <c r="A213" s="1" t="s">
        <v>16</v>
      </c>
      <c r="B213" s="1" t="s">
        <v>445</v>
      </c>
      <c r="C213" s="1" t="s">
        <v>446</v>
      </c>
      <c r="D213" s="6">
        <f>'2014 pax'!Q205</f>
        <v>1738033</v>
      </c>
      <c r="E213" s="30">
        <v>116829</v>
      </c>
      <c r="F213" s="30">
        <v>101588</v>
      </c>
      <c r="G213" s="30">
        <v>149593</v>
      </c>
      <c r="H213" s="45">
        <v>136818</v>
      </c>
      <c r="I213" s="30">
        <v>147493</v>
      </c>
      <c r="J213" s="30">
        <v>163099</v>
      </c>
      <c r="K213" s="30">
        <v>172131</v>
      </c>
      <c r="L213" s="30">
        <v>167517</v>
      </c>
      <c r="M213" s="30">
        <v>148845</v>
      </c>
      <c r="N213" s="30">
        <v>173400</v>
      </c>
      <c r="O213" s="30">
        <v>148111</v>
      </c>
      <c r="P213" s="30">
        <v>140311</v>
      </c>
      <c r="Q213" s="44">
        <f t="shared" si="8"/>
        <v>1765735</v>
      </c>
      <c r="R213" s="46">
        <f t="shared" si="7"/>
        <v>1.5938707723040846E-2</v>
      </c>
    </row>
    <row r="214" spans="1:18">
      <c r="A214" s="1" t="s">
        <v>16</v>
      </c>
      <c r="B214" s="1" t="s">
        <v>28</v>
      </c>
      <c r="C214" s="1" t="s">
        <v>29</v>
      </c>
      <c r="D214" s="6">
        <f>'2014 pax'!Q206</f>
        <v>42869517</v>
      </c>
      <c r="E214" s="30">
        <v>3309999</v>
      </c>
      <c r="F214" s="30">
        <v>3162945</v>
      </c>
      <c r="G214" s="30">
        <v>3863154</v>
      </c>
      <c r="H214" s="45">
        <v>3785075</v>
      </c>
      <c r="I214" s="30">
        <v>3992150</v>
      </c>
      <c r="J214" s="30">
        <v>3911813</v>
      </c>
      <c r="K214" s="30">
        <v>4064096</v>
      </c>
      <c r="L214" s="30">
        <v>4007006</v>
      </c>
      <c r="M214" s="30">
        <v>3779105</v>
      </c>
      <c r="N214" s="30">
        <v>4104971</v>
      </c>
      <c r="O214" s="30">
        <v>3739755</v>
      </c>
      <c r="P214" s="30">
        <v>3669005</v>
      </c>
      <c r="Q214" s="44">
        <f t="shared" si="8"/>
        <v>45389074</v>
      </c>
      <c r="R214" s="46">
        <f t="shared" si="7"/>
        <v>5.8772693893425432E-2</v>
      </c>
    </row>
    <row r="215" spans="1:18">
      <c r="A215" s="1" t="s">
        <v>16</v>
      </c>
      <c r="B215" s="1" t="s">
        <v>429</v>
      </c>
      <c r="C215" s="1" t="s">
        <v>430</v>
      </c>
      <c r="D215" s="6">
        <f>'2014 pax'!Q207</f>
        <v>2076551</v>
      </c>
      <c r="E215" s="30">
        <v>137742</v>
      </c>
      <c r="F215" s="30">
        <v>123855</v>
      </c>
      <c r="G215" s="30">
        <v>160162</v>
      </c>
      <c r="H215" s="45">
        <v>157623</v>
      </c>
      <c r="I215" s="30">
        <v>176200</v>
      </c>
      <c r="J215" s="30">
        <v>189154</v>
      </c>
      <c r="K215" s="30">
        <v>191051</v>
      </c>
      <c r="L215" s="30">
        <v>176564</v>
      </c>
      <c r="M215" s="30">
        <v>162264</v>
      </c>
      <c r="N215" s="30">
        <v>186965</v>
      </c>
      <c r="O215" s="30">
        <v>166188</v>
      </c>
      <c r="P215" s="30">
        <v>159387</v>
      </c>
      <c r="Q215" s="44">
        <f t="shared" si="8"/>
        <v>1987155</v>
      </c>
      <c r="R215" s="46">
        <f t="shared" si="7"/>
        <v>-4.3050230887659358E-2</v>
      </c>
    </row>
    <row r="216" spans="1:18">
      <c r="A216" s="1" t="s">
        <v>16</v>
      </c>
      <c r="B216" s="1" t="s">
        <v>427</v>
      </c>
      <c r="C216" s="1" t="s">
        <v>428</v>
      </c>
      <c r="D216" s="6">
        <f>'2014 pax'!Q208</f>
        <v>2821030</v>
      </c>
      <c r="E216" s="30">
        <v>190027</v>
      </c>
      <c r="F216" s="30">
        <v>171963</v>
      </c>
      <c r="G216" s="30">
        <v>204238</v>
      </c>
      <c r="H216" s="45">
        <v>203258</v>
      </c>
      <c r="I216" s="30">
        <v>220993</v>
      </c>
      <c r="J216" s="30">
        <v>233101</v>
      </c>
      <c r="K216" s="30">
        <v>245340</v>
      </c>
      <c r="L216" s="30">
        <v>243880</v>
      </c>
      <c r="M216" s="30">
        <v>204346</v>
      </c>
      <c r="N216" s="30">
        <v>209734</v>
      </c>
      <c r="O216" s="30">
        <v>196396</v>
      </c>
      <c r="P216" s="30">
        <v>200301</v>
      </c>
      <c r="Q216" s="44">
        <f t="shared" si="8"/>
        <v>2523577</v>
      </c>
      <c r="R216" s="46">
        <f t="shared" si="7"/>
        <v>-0.10544127499530309</v>
      </c>
    </row>
    <row r="217" spans="1:18">
      <c r="A217" s="1" t="s">
        <v>16</v>
      </c>
      <c r="B217" s="1" t="s">
        <v>20</v>
      </c>
      <c r="C217" s="1" t="s">
        <v>21</v>
      </c>
      <c r="D217" s="6">
        <f>'2014 pax'!Q209</f>
        <v>70664893</v>
      </c>
      <c r="E217" s="30">
        <v>5439089</v>
      </c>
      <c r="F217" s="30">
        <v>4950595</v>
      </c>
      <c r="G217" s="30">
        <v>6026597</v>
      </c>
      <c r="H217" s="45">
        <v>5938284</v>
      </c>
      <c r="I217" s="30">
        <v>6356940</v>
      </c>
      <c r="J217" s="30">
        <v>6782534</v>
      </c>
      <c r="K217" s="30">
        <v>7275519</v>
      </c>
      <c r="L217" s="30">
        <v>7109136</v>
      </c>
      <c r="M217" s="30">
        <v>6027057</v>
      </c>
      <c r="N217" s="30">
        <v>6374462</v>
      </c>
      <c r="O217" s="30">
        <v>6016968</v>
      </c>
      <c r="P217" s="30">
        <v>6384379</v>
      </c>
      <c r="Q217" s="44">
        <f t="shared" si="8"/>
        <v>74681560</v>
      </c>
      <c r="R217" s="46">
        <f t="shared" si="7"/>
        <v>5.6841054015322801E-2</v>
      </c>
    </row>
    <row r="218" spans="1:18">
      <c r="A218" s="34" t="s">
        <v>16</v>
      </c>
      <c r="B218" s="34" t="s">
        <v>507</v>
      </c>
      <c r="C218" s="34" t="s">
        <v>402</v>
      </c>
      <c r="D218" s="6">
        <f>'2014 pax'!Q210</f>
        <v>4122349</v>
      </c>
      <c r="E218" s="30">
        <v>313347</v>
      </c>
      <c r="F218" s="30">
        <v>287939</v>
      </c>
      <c r="G218" s="30">
        <v>355199</v>
      </c>
      <c r="H218" s="45">
        <v>353362</v>
      </c>
      <c r="I218" s="30">
        <v>365059</v>
      </c>
      <c r="J218" s="30">
        <v>367236</v>
      </c>
      <c r="K218" s="30">
        <v>367458</v>
      </c>
      <c r="L218" s="30">
        <v>368631</v>
      </c>
      <c r="M218" s="30">
        <v>341089</v>
      </c>
      <c r="N218" s="30">
        <v>372529</v>
      </c>
      <c r="O218" s="30">
        <v>359046</v>
      </c>
      <c r="P218" s="30">
        <v>358416</v>
      </c>
      <c r="Q218" s="44">
        <f t="shared" si="8"/>
        <v>4209311</v>
      </c>
      <c r="R218" s="46">
        <f t="shared" si="7"/>
        <v>2.1095254186387358E-2</v>
      </c>
    </row>
    <row r="219" spans="1:18">
      <c r="A219" s="1" t="s">
        <v>16</v>
      </c>
      <c r="B219" s="1" t="s">
        <v>500</v>
      </c>
      <c r="C219" s="1" t="s">
        <v>501</v>
      </c>
      <c r="D219" s="6">
        <f>'2014 pax'!Q211</f>
        <v>3355861</v>
      </c>
      <c r="E219" s="30">
        <v>239389</v>
      </c>
      <c r="F219" s="30">
        <v>217479</v>
      </c>
      <c r="G219" s="30">
        <v>281475</v>
      </c>
      <c r="H219" s="45">
        <v>286122</v>
      </c>
      <c r="I219" s="30">
        <v>302669</v>
      </c>
      <c r="J219" s="30">
        <v>318042</v>
      </c>
      <c r="K219" s="30">
        <v>318429</v>
      </c>
      <c r="L219" s="30">
        <v>275213</v>
      </c>
      <c r="M219" s="30">
        <v>277747</v>
      </c>
      <c r="N219" s="30">
        <v>315711</v>
      </c>
      <c r="O219" s="30">
        <v>271564</v>
      </c>
      <c r="P219" s="30">
        <v>255632</v>
      </c>
      <c r="Q219" s="44">
        <f t="shared" si="8"/>
        <v>3359472</v>
      </c>
      <c r="R219" s="46">
        <f t="shared" si="7"/>
        <v>1.0760278807733226E-3</v>
      </c>
    </row>
    <row r="220" spans="1:18">
      <c r="A220" s="1" t="s">
        <v>16</v>
      </c>
      <c r="B220" s="1" t="s">
        <v>522</v>
      </c>
      <c r="C220" s="1" t="s">
        <v>523</v>
      </c>
      <c r="D220" s="6">
        <f>'2014 pax'!Q212</f>
        <v>3596800</v>
      </c>
      <c r="E220" s="30">
        <v>244382</v>
      </c>
      <c r="F220" s="30">
        <v>224197</v>
      </c>
      <c r="G220" s="30">
        <v>292424</v>
      </c>
      <c r="H220" s="45">
        <v>300433</v>
      </c>
      <c r="I220" s="30">
        <v>346578</v>
      </c>
      <c r="J220" s="30">
        <v>350008</v>
      </c>
      <c r="K220" s="30">
        <v>351195</v>
      </c>
      <c r="L220" s="30">
        <v>316101</v>
      </c>
      <c r="M220" s="30">
        <v>315555</v>
      </c>
      <c r="N220" s="30">
        <v>363499</v>
      </c>
      <c r="O220" s="30">
        <v>338839</v>
      </c>
      <c r="P220" s="30">
        <v>313849</v>
      </c>
      <c r="Q220" s="44">
        <f t="shared" si="8"/>
        <v>3757060</v>
      </c>
      <c r="R220" s="46">
        <f t="shared" si="7"/>
        <v>4.4556272241992989E-2</v>
      </c>
    </row>
    <row r="221" spans="1:18">
      <c r="A221" s="1" t="s">
        <v>16</v>
      </c>
      <c r="B221" s="1" t="s">
        <v>36</v>
      </c>
      <c r="C221" s="1" t="s">
        <v>37</v>
      </c>
      <c r="D221" s="6">
        <f>'2014 pax'!Q213</f>
        <v>40941879</v>
      </c>
      <c r="E221" s="30">
        <v>3802696</v>
      </c>
      <c r="F221" s="30">
        <v>3367446</v>
      </c>
      <c r="G221" s="30">
        <v>3808259</v>
      </c>
      <c r="H221" s="45">
        <v>3618134</v>
      </c>
      <c r="I221" s="30">
        <v>3677037</v>
      </c>
      <c r="J221" s="49">
        <v>3673423</v>
      </c>
      <c r="K221" s="30">
        <v>4061577</v>
      </c>
      <c r="L221" s="30">
        <v>3907929</v>
      </c>
      <c r="M221" s="30">
        <v>3265344</v>
      </c>
      <c r="N221" s="30">
        <v>3545343</v>
      </c>
      <c r="O221" s="30">
        <v>3575747</v>
      </c>
      <c r="P221" s="30">
        <v>4047315</v>
      </c>
      <c r="Q221" s="44">
        <f t="shared" si="8"/>
        <v>44350250</v>
      </c>
      <c r="R221" s="46">
        <f t="shared" si="7"/>
        <v>8.3249012581958048E-2</v>
      </c>
    </row>
    <row r="222" spans="1:18">
      <c r="A222" s="1" t="s">
        <v>16</v>
      </c>
      <c r="B222" s="1" t="s">
        <v>346</v>
      </c>
      <c r="C222" s="1" t="s">
        <v>347</v>
      </c>
      <c r="D222" s="6">
        <f>'2014 pax'!Q214</f>
        <v>6554152</v>
      </c>
      <c r="E222" s="30">
        <v>464749</v>
      </c>
      <c r="F222" s="30">
        <v>454948</v>
      </c>
      <c r="G222" s="30">
        <v>626067</v>
      </c>
      <c r="H222" s="45">
        <v>586292</v>
      </c>
      <c r="I222" s="30">
        <v>555810</v>
      </c>
      <c r="J222" s="30">
        <v>591145</v>
      </c>
      <c r="K222" s="30">
        <v>610271</v>
      </c>
      <c r="L222" s="30">
        <v>583715</v>
      </c>
      <c r="M222" s="30">
        <v>500817</v>
      </c>
      <c r="N222" s="30">
        <v>555834</v>
      </c>
      <c r="O222" s="30">
        <v>517333</v>
      </c>
      <c r="P222" s="30">
        <v>502372</v>
      </c>
      <c r="Q222" s="44">
        <f t="shared" si="8"/>
        <v>6549353</v>
      </c>
      <c r="R222" s="46">
        <f t="shared" si="7"/>
        <v>-7.3220761434888981E-4</v>
      </c>
    </row>
    <row r="223" spans="1:18" ht="15.75">
      <c r="A223" s="1" t="s">
        <v>16</v>
      </c>
      <c r="B223" s="1" t="s">
        <v>387</v>
      </c>
      <c r="C223" s="1" t="s">
        <v>41</v>
      </c>
      <c r="D223" s="6">
        <f>'2014 pax'!Q215</f>
        <v>35152460</v>
      </c>
      <c r="E223" s="30">
        <v>2594000</v>
      </c>
      <c r="F223" s="30">
        <v>2529873</v>
      </c>
      <c r="G223" s="30">
        <v>3224506</v>
      </c>
      <c r="H223" s="45">
        <v>2904620</v>
      </c>
      <c r="I223" s="30">
        <v>3033893</v>
      </c>
      <c r="J223" s="50">
        <v>3360195</v>
      </c>
      <c r="K223" s="30">
        <v>3568923</v>
      </c>
      <c r="L223" s="30">
        <v>3527350</v>
      </c>
      <c r="M223" s="30">
        <v>3006363</v>
      </c>
      <c r="N223" s="30">
        <v>3159472</v>
      </c>
      <c r="O223" s="30">
        <v>2837350</v>
      </c>
      <c r="P223" s="30">
        <v>2671840</v>
      </c>
      <c r="Q223" s="44">
        <f t="shared" si="8"/>
        <v>36418385</v>
      </c>
      <c r="R223" s="46">
        <f t="shared" si="7"/>
        <v>3.6012415631793582E-2</v>
      </c>
    </row>
    <row r="224" spans="1:18">
      <c r="A224" s="1" t="s">
        <v>16</v>
      </c>
      <c r="B224" s="1" t="s">
        <v>515</v>
      </c>
      <c r="C224" s="1" t="s">
        <v>516</v>
      </c>
      <c r="D224" s="6">
        <f>'2014 pax'!Q216</f>
        <v>1749657</v>
      </c>
      <c r="E224" s="30">
        <v>62973</v>
      </c>
      <c r="F224" s="30">
        <v>73798</v>
      </c>
      <c r="G224" s="30">
        <v>129246</v>
      </c>
      <c r="H224" s="45">
        <v>160806</v>
      </c>
      <c r="I224" s="30">
        <v>201331</v>
      </c>
      <c r="J224" s="30">
        <v>219723</v>
      </c>
      <c r="K224" s="30">
        <v>248692</v>
      </c>
      <c r="L224" s="30">
        <v>234745</v>
      </c>
      <c r="M224" s="30">
        <v>171879</v>
      </c>
      <c r="N224" s="30">
        <v>151368</v>
      </c>
      <c r="O224" s="30">
        <v>98088</v>
      </c>
      <c r="P224" s="30">
        <v>77416</v>
      </c>
      <c r="Q224" s="44">
        <f t="shared" si="8"/>
        <v>1830065</v>
      </c>
      <c r="R224" s="46">
        <f t="shared" si="7"/>
        <v>4.5956436032891013E-2</v>
      </c>
    </row>
    <row r="225" spans="1:18">
      <c r="A225" s="1" t="s">
        <v>16</v>
      </c>
      <c r="B225" s="1" t="s">
        <v>359</v>
      </c>
      <c r="C225" s="1" t="s">
        <v>360</v>
      </c>
      <c r="D225" s="6">
        <f>'2014 pax'!Q217</f>
        <v>11041259</v>
      </c>
      <c r="E225" s="30">
        <v>767896</v>
      </c>
      <c r="F225" s="30">
        <v>693479</v>
      </c>
      <c r="G225" s="30">
        <v>979744</v>
      </c>
      <c r="H225" s="45">
        <v>981314</v>
      </c>
      <c r="I225" s="30">
        <v>1039256</v>
      </c>
      <c r="J225" s="30">
        <v>1071025</v>
      </c>
      <c r="K225" s="30">
        <v>1013327</v>
      </c>
      <c r="L225" s="30">
        <v>942203</v>
      </c>
      <c r="M225" s="30">
        <v>909845</v>
      </c>
      <c r="N225" s="30">
        <v>1020460</v>
      </c>
      <c r="O225" s="30">
        <v>969427</v>
      </c>
      <c r="P225" s="30">
        <v>944405</v>
      </c>
      <c r="Q225" s="44">
        <f t="shared" si="8"/>
        <v>11332381</v>
      </c>
      <c r="R225" s="46">
        <f t="shared" si="7"/>
        <v>2.6366739517658333E-2</v>
      </c>
    </row>
    <row r="226" spans="1:18">
      <c r="A226" s="1" t="s">
        <v>16</v>
      </c>
      <c r="B226" s="1" t="s">
        <v>405</v>
      </c>
      <c r="C226" s="1" t="s">
        <v>406</v>
      </c>
      <c r="D226" s="6">
        <f>'2014 pax'!Q218</f>
        <v>9785499</v>
      </c>
      <c r="E226" s="30">
        <v>768374</v>
      </c>
      <c r="F226" s="30">
        <v>801317</v>
      </c>
      <c r="G226" s="30">
        <v>952658</v>
      </c>
      <c r="H226" s="45">
        <v>958690</v>
      </c>
      <c r="I226" s="30">
        <v>965380</v>
      </c>
      <c r="J226" s="30">
        <v>927988</v>
      </c>
      <c r="K226" s="30">
        <v>903145</v>
      </c>
      <c r="L226" s="30">
        <v>808524</v>
      </c>
      <c r="M226" s="30">
        <v>809684</v>
      </c>
      <c r="N226" s="30">
        <v>974230</v>
      </c>
      <c r="O226" s="30">
        <v>917903</v>
      </c>
      <c r="P226" s="30">
        <v>883982</v>
      </c>
      <c r="Q226" s="44">
        <f t="shared" si="8"/>
        <v>10671875</v>
      </c>
      <c r="R226" s="46">
        <f t="shared" si="7"/>
        <v>9.0580562115432306E-2</v>
      </c>
    </row>
    <row r="227" spans="1:18" ht="15.75">
      <c r="A227" s="1" t="s">
        <v>16</v>
      </c>
      <c r="B227" s="1" t="s">
        <v>388</v>
      </c>
      <c r="C227" s="1" t="s">
        <v>25</v>
      </c>
      <c r="D227" s="6">
        <f>'2014 pax'!Q219</f>
        <v>54625584</v>
      </c>
      <c r="E227" s="30">
        <v>3950176</v>
      </c>
      <c r="F227" s="30">
        <v>3522454</v>
      </c>
      <c r="G227" s="30">
        <v>4411657</v>
      </c>
      <c r="H227" s="45">
        <v>4620257</v>
      </c>
      <c r="I227" s="30">
        <v>4978660</v>
      </c>
      <c r="J227" s="30">
        <v>5169399</v>
      </c>
      <c r="K227" s="30">
        <v>5641247</v>
      </c>
      <c r="L227" s="30">
        <v>5817009</v>
      </c>
      <c r="M227" s="30">
        <v>4778774</v>
      </c>
      <c r="N227" s="30">
        <v>4896844</v>
      </c>
      <c r="O227" s="30">
        <v>3957769</v>
      </c>
      <c r="P227" s="30">
        <v>4442421</v>
      </c>
      <c r="Q227" s="44">
        <f t="shared" si="8"/>
        <v>56186667</v>
      </c>
      <c r="R227" s="46">
        <f t="shared" si="7"/>
        <v>2.8577872961504713E-2</v>
      </c>
    </row>
    <row r="228" spans="1:18" ht="15.75">
      <c r="A228" s="1" t="s">
        <v>16</v>
      </c>
      <c r="B228" s="1" t="s">
        <v>389</v>
      </c>
      <c r="C228" s="1" t="s">
        <v>49</v>
      </c>
      <c r="D228" s="6">
        <f>'2014 pax'!Q220</f>
        <v>27920782</v>
      </c>
      <c r="E228" s="30">
        <v>1831832</v>
      </c>
      <c r="F228" s="30">
        <v>1831610</v>
      </c>
      <c r="G228" s="30">
        <v>2330616</v>
      </c>
      <c r="H228" s="45">
        <v>2429745</v>
      </c>
      <c r="I228" s="30">
        <v>2523355</v>
      </c>
      <c r="J228" s="30">
        <v>2534257</v>
      </c>
      <c r="K228" s="30">
        <v>2673089</v>
      </c>
      <c r="L228" s="30">
        <v>2675308</v>
      </c>
      <c r="M228" s="30">
        <v>2340430</v>
      </c>
      <c r="N228" s="30">
        <v>2529884</v>
      </c>
      <c r="O228" s="30">
        <v>2120623</v>
      </c>
      <c r="P228" s="30">
        <v>2345170</v>
      </c>
      <c r="Q228" s="44">
        <f t="shared" si="8"/>
        <v>28165919</v>
      </c>
      <c r="R228" s="46">
        <f t="shared" si="7"/>
        <v>8.7797326020453426E-3</v>
      </c>
    </row>
    <row r="229" spans="1:18" ht="15.75">
      <c r="A229" s="1" t="s">
        <v>16</v>
      </c>
      <c r="B229" s="1" t="s">
        <v>390</v>
      </c>
      <c r="C229" s="1" t="s">
        <v>40</v>
      </c>
      <c r="D229" s="6">
        <f>'2014 pax'!Q221</f>
        <v>36740093</v>
      </c>
      <c r="E229" s="30">
        <v>2520627</v>
      </c>
      <c r="F229" s="30">
        <v>2429191</v>
      </c>
      <c r="G229" s="30">
        <v>3066713</v>
      </c>
      <c r="H229" s="45">
        <v>3182415</v>
      </c>
      <c r="I229" s="30">
        <v>3167426</v>
      </c>
      <c r="J229" s="30">
        <v>3280077</v>
      </c>
      <c r="K229" s="30">
        <v>3564255</v>
      </c>
      <c r="L229" s="30">
        <v>3530745</v>
      </c>
      <c r="M229" s="30">
        <v>3036938</v>
      </c>
      <c r="N229" s="30">
        <v>3227218</v>
      </c>
      <c r="O229" s="30">
        <v>2828974</v>
      </c>
      <c r="P229" s="30">
        <v>3137144</v>
      </c>
      <c r="Q229" s="44">
        <f t="shared" si="8"/>
        <v>36971723</v>
      </c>
      <c r="R229" s="46">
        <f t="shared" si="7"/>
        <v>6.3045567141051251E-3</v>
      </c>
    </row>
    <row r="230" spans="1:18">
      <c r="A230" s="1" t="s">
        <v>16</v>
      </c>
      <c r="B230" s="1" t="s">
        <v>419</v>
      </c>
      <c r="C230" s="1" t="s">
        <v>420</v>
      </c>
      <c r="D230" s="6">
        <f>'2014 pax'!Q222</f>
        <v>2965192</v>
      </c>
      <c r="E230" s="30">
        <v>200417</v>
      </c>
      <c r="F230" s="30">
        <v>178832</v>
      </c>
      <c r="G230" s="30">
        <v>244072</v>
      </c>
      <c r="H230" s="45">
        <v>242554</v>
      </c>
      <c r="I230" s="30">
        <v>274625</v>
      </c>
      <c r="J230" s="30">
        <v>287191</v>
      </c>
      <c r="K230" s="30">
        <v>299103</v>
      </c>
      <c r="L230" s="30">
        <v>294749</v>
      </c>
      <c r="M230" s="30">
        <v>257616</v>
      </c>
      <c r="N230" s="30">
        <v>270121</v>
      </c>
      <c r="O230" s="30">
        <v>253748</v>
      </c>
      <c r="P230" s="30">
        <v>251379</v>
      </c>
      <c r="Q230" s="44">
        <f t="shared" si="8"/>
        <v>3054407</v>
      </c>
      <c r="R230" s="46">
        <f t="shared" si="7"/>
        <v>3.0087427728120231E-2</v>
      </c>
    </row>
    <row r="231" spans="1:18">
      <c r="A231" s="1" t="s">
        <v>16</v>
      </c>
      <c r="B231" s="1" t="s">
        <v>357</v>
      </c>
      <c r="C231" s="1" t="s">
        <v>358</v>
      </c>
      <c r="D231" s="6">
        <f>'2014 pax'!Q223</f>
        <v>10336788</v>
      </c>
      <c r="E231" s="30">
        <v>775420</v>
      </c>
      <c r="F231" s="30">
        <v>730874</v>
      </c>
      <c r="G231" s="30">
        <v>885378</v>
      </c>
      <c r="H231" s="45">
        <v>905048</v>
      </c>
      <c r="I231" s="30">
        <v>946161</v>
      </c>
      <c r="J231" s="30">
        <v>1013285</v>
      </c>
      <c r="K231" s="30">
        <v>1067398</v>
      </c>
      <c r="L231" s="30">
        <v>1044556</v>
      </c>
      <c r="M231" s="30">
        <v>928666</v>
      </c>
      <c r="N231" s="30">
        <v>984557</v>
      </c>
      <c r="O231" s="30">
        <v>951385</v>
      </c>
      <c r="P231" s="30">
        <v>972335</v>
      </c>
      <c r="Q231" s="44">
        <f t="shared" si="8"/>
        <v>11205063</v>
      </c>
      <c r="R231" s="46">
        <f t="shared" si="7"/>
        <v>8.3998530297806351E-2</v>
      </c>
    </row>
    <row r="232" spans="1:18">
      <c r="A232" s="1" t="s">
        <v>16</v>
      </c>
      <c r="B232" s="1" t="s">
        <v>453</v>
      </c>
      <c r="C232" s="1" t="s">
        <v>454</v>
      </c>
      <c r="D232" s="6">
        <f>'2014 pax'!Q224</f>
        <v>3835283</v>
      </c>
      <c r="E232" s="30">
        <v>260714</v>
      </c>
      <c r="F232" s="30">
        <v>239574</v>
      </c>
      <c r="G232" s="30">
        <v>294266</v>
      </c>
      <c r="H232" s="45">
        <v>293356</v>
      </c>
      <c r="I232" s="30">
        <v>333257</v>
      </c>
      <c r="J232" s="30">
        <v>346789</v>
      </c>
      <c r="K232" s="30">
        <v>360813</v>
      </c>
      <c r="L232" s="30">
        <v>328886</v>
      </c>
      <c r="M232" s="30">
        <v>307094</v>
      </c>
      <c r="N232" s="30">
        <v>339070</v>
      </c>
      <c r="O232" s="30">
        <v>311136</v>
      </c>
      <c r="P232" s="30">
        <v>305500</v>
      </c>
      <c r="Q232" s="44">
        <f t="shared" si="8"/>
        <v>3720455</v>
      </c>
      <c r="R232" s="46">
        <f t="shared" si="7"/>
        <v>-2.9939902739902102E-2</v>
      </c>
    </row>
    <row r="233" spans="1:18">
      <c r="A233" s="1" t="s">
        <v>16</v>
      </c>
      <c r="B233" s="1" t="s">
        <v>412</v>
      </c>
      <c r="C233" s="1" t="s">
        <v>413</v>
      </c>
      <c r="D233" s="6">
        <f>'2014 pax'!Q225</f>
        <v>4117591</v>
      </c>
      <c r="E233" s="30">
        <v>300085</v>
      </c>
      <c r="F233" s="30">
        <v>291199</v>
      </c>
      <c r="G233" s="30">
        <v>369825</v>
      </c>
      <c r="H233" s="45">
        <v>332602</v>
      </c>
      <c r="I233" s="30">
        <v>380612</v>
      </c>
      <c r="J233" s="30">
        <v>393196</v>
      </c>
      <c r="K233" s="30">
        <v>389411</v>
      </c>
      <c r="L233" s="30">
        <v>348594</v>
      </c>
      <c r="M233" s="30">
        <v>333488</v>
      </c>
      <c r="N233" s="30">
        <v>363521</v>
      </c>
      <c r="O233" s="30">
        <v>336599</v>
      </c>
      <c r="P233" s="30">
        <v>330335</v>
      </c>
      <c r="Q233" s="44">
        <f t="shared" si="8"/>
        <v>4169467</v>
      </c>
      <c r="R233" s="46">
        <f t="shared" si="7"/>
        <v>1.2598628664187483E-2</v>
      </c>
    </row>
    <row r="234" spans="1:18">
      <c r="A234" s="1" t="s">
        <v>16</v>
      </c>
      <c r="B234" s="1" t="s">
        <v>38</v>
      </c>
      <c r="C234" s="1" t="s">
        <v>39</v>
      </c>
      <c r="D234" s="6">
        <f>'2014 pax'!Q226</f>
        <v>35753657</v>
      </c>
      <c r="E234" s="30">
        <v>3094361</v>
      </c>
      <c r="F234" s="30">
        <v>2936879</v>
      </c>
      <c r="G234" s="30">
        <v>3623986</v>
      </c>
      <c r="H234" s="45">
        <v>3361942</v>
      </c>
      <c r="I234" s="30">
        <v>3266089</v>
      </c>
      <c r="J234" s="30">
        <v>3215589</v>
      </c>
      <c r="K234" s="30">
        <v>3476389</v>
      </c>
      <c r="L234" s="30">
        <v>3211431</v>
      </c>
      <c r="M234" s="30">
        <v>2687062</v>
      </c>
      <c r="N234" s="30">
        <v>3056940</v>
      </c>
      <c r="O234" s="30">
        <v>3254810</v>
      </c>
      <c r="P234" s="30">
        <v>3542299</v>
      </c>
      <c r="Q234" s="44">
        <f t="shared" si="8"/>
        <v>38727777</v>
      </c>
      <c r="R234" s="46">
        <f t="shared" si="7"/>
        <v>8.3183658667419724E-2</v>
      </c>
    </row>
    <row r="235" spans="1:18">
      <c r="A235" s="1" t="s">
        <v>16</v>
      </c>
      <c r="B235" s="1" t="s">
        <v>441</v>
      </c>
      <c r="C235" s="1" t="s">
        <v>442</v>
      </c>
      <c r="D235" s="6">
        <f>'2014 pax'!Q227</f>
        <v>2184701</v>
      </c>
      <c r="E235" s="30">
        <v>167225</v>
      </c>
      <c r="F235" s="30">
        <v>167314</v>
      </c>
      <c r="G235" s="30">
        <v>245568</v>
      </c>
      <c r="H235" s="45">
        <v>213042</v>
      </c>
      <c r="I235" s="30">
        <v>210697</v>
      </c>
      <c r="J235" s="30">
        <v>246988</v>
      </c>
      <c r="K235" s="30">
        <v>269986</v>
      </c>
      <c r="L235" s="30">
        <v>210204</v>
      </c>
      <c r="M235" s="30">
        <v>140506</v>
      </c>
      <c r="N235" s="30">
        <v>201188</v>
      </c>
      <c r="O235" s="30">
        <v>192005</v>
      </c>
      <c r="P235" s="30">
        <v>215399</v>
      </c>
      <c r="Q235" s="44">
        <f t="shared" si="8"/>
        <v>2480122</v>
      </c>
      <c r="R235" s="46">
        <f t="shared" si="7"/>
        <v>0.13522262314156497</v>
      </c>
    </row>
    <row r="236" spans="1:18">
      <c r="A236" s="1" t="s">
        <v>16</v>
      </c>
      <c r="B236" s="1" t="s">
        <v>400</v>
      </c>
      <c r="C236" s="1" t="s">
        <v>401</v>
      </c>
      <c r="D236" s="6">
        <f>'2014 pax'!Q228</f>
        <v>5886334</v>
      </c>
      <c r="E236" s="30">
        <v>575440</v>
      </c>
      <c r="F236" s="30">
        <v>583770</v>
      </c>
      <c r="G236" s="30">
        <v>736042</v>
      </c>
      <c r="H236" s="45">
        <v>621567</v>
      </c>
      <c r="I236" s="30">
        <v>490039</v>
      </c>
      <c r="J236" s="30">
        <v>411848</v>
      </c>
      <c r="K236" s="30">
        <v>437110</v>
      </c>
      <c r="L236" s="30">
        <v>435346</v>
      </c>
      <c r="M236" s="30">
        <v>381228</v>
      </c>
      <c r="N236" s="30">
        <v>449871</v>
      </c>
      <c r="O236" s="30">
        <v>527521</v>
      </c>
      <c r="P236" s="30">
        <v>615748</v>
      </c>
      <c r="Q236" s="44">
        <f t="shared" si="8"/>
        <v>6265530</v>
      </c>
      <c r="R236" s="46">
        <f t="shared" si="7"/>
        <v>6.4419722020530923E-2</v>
      </c>
    </row>
    <row r="237" spans="1:18">
      <c r="A237" s="1" t="s">
        <v>16</v>
      </c>
      <c r="B237" s="1" t="s">
        <v>455</v>
      </c>
      <c r="C237" s="1" t="s">
        <v>456</v>
      </c>
      <c r="D237" s="6">
        <f>'2014 pax'!Q229</f>
        <v>1915592</v>
      </c>
      <c r="E237" s="30">
        <v>208788</v>
      </c>
      <c r="F237" s="30">
        <v>240769</v>
      </c>
      <c r="G237" s="30">
        <v>294614</v>
      </c>
      <c r="H237" s="45">
        <v>227396</v>
      </c>
      <c r="I237" s="30">
        <v>141046</v>
      </c>
      <c r="J237" s="30">
        <v>72241</v>
      </c>
      <c r="K237" s="30">
        <v>65419</v>
      </c>
      <c r="L237" s="30">
        <v>70184</v>
      </c>
      <c r="M237" s="30">
        <v>79851</v>
      </c>
      <c r="N237" s="30">
        <v>133413</v>
      </c>
      <c r="O237" s="30">
        <v>176917</v>
      </c>
      <c r="P237" s="30">
        <v>178019</v>
      </c>
      <c r="Q237" s="44">
        <f t="shared" si="8"/>
        <v>1888657</v>
      </c>
      <c r="R237" s="46">
        <f t="shared" si="7"/>
        <v>-1.4060927379107913E-2</v>
      </c>
    </row>
    <row r="238" spans="1:18" s="42" customFormat="1">
      <c r="A238" s="1" t="s">
        <v>16</v>
      </c>
      <c r="B238" s="1" t="s">
        <v>577</v>
      </c>
      <c r="C238" s="1" t="s">
        <v>578</v>
      </c>
      <c r="D238" s="6"/>
      <c r="E238" s="30">
        <v>103103</v>
      </c>
      <c r="F238" s="30">
        <v>100271</v>
      </c>
      <c r="G238" s="30">
        <v>131291</v>
      </c>
      <c r="H238" s="45">
        <v>141384</v>
      </c>
      <c r="I238" s="30">
        <v>157670</v>
      </c>
      <c r="J238" s="30">
        <v>155045</v>
      </c>
      <c r="K238" s="30">
        <v>159517</v>
      </c>
      <c r="L238" s="30">
        <v>146035</v>
      </c>
      <c r="M238" s="30">
        <v>130754</v>
      </c>
      <c r="N238" s="30">
        <v>141669</v>
      </c>
      <c r="O238" s="30">
        <v>123712</v>
      </c>
      <c r="P238" s="30">
        <v>122859</v>
      </c>
      <c r="Q238" s="44">
        <f t="shared" si="8"/>
        <v>1613310</v>
      </c>
      <c r="R238" s="46"/>
    </row>
    <row r="239" spans="1:18">
      <c r="A239" s="1" t="s">
        <v>16</v>
      </c>
      <c r="B239" s="1" t="s">
        <v>46</v>
      </c>
      <c r="C239" s="1" t="s">
        <v>47</v>
      </c>
      <c r="D239" s="6">
        <f>'2014 pax'!Q230</f>
        <v>30740261</v>
      </c>
      <c r="E239" s="30">
        <v>2116565</v>
      </c>
      <c r="F239" s="30">
        <v>2057521</v>
      </c>
      <c r="G239" s="30">
        <v>2518087</v>
      </c>
      <c r="H239" s="45">
        <v>2612052</v>
      </c>
      <c r="I239" s="30">
        <v>2789348</v>
      </c>
      <c r="J239" s="30">
        <v>2851517</v>
      </c>
      <c r="K239" s="30">
        <v>3054909</v>
      </c>
      <c r="L239" s="30">
        <v>3026620</v>
      </c>
      <c r="M239" s="30">
        <v>2609272</v>
      </c>
      <c r="N239" s="30">
        <v>2721598</v>
      </c>
      <c r="O239" s="30">
        <v>2518946</v>
      </c>
      <c r="P239" s="30">
        <v>2566569</v>
      </c>
      <c r="Q239" s="44">
        <f t="shared" si="8"/>
        <v>31443004</v>
      </c>
      <c r="R239" s="46">
        <f t="shared" si="7"/>
        <v>2.2860671222017181E-2</v>
      </c>
    </row>
    <row r="240" spans="1:18">
      <c r="A240" s="1" t="s">
        <v>16</v>
      </c>
      <c r="B240" s="1" t="s">
        <v>32</v>
      </c>
      <c r="C240" s="1" t="s">
        <v>33</v>
      </c>
      <c r="D240" s="6">
        <f>'2014 pax'!Q231</f>
        <v>42125167</v>
      </c>
      <c r="E240" s="30">
        <v>3468117</v>
      </c>
      <c r="F240" s="30">
        <v>3297209</v>
      </c>
      <c r="G240" s="30">
        <v>4250169</v>
      </c>
      <c r="H240" s="45">
        <v>3779299</v>
      </c>
      <c r="I240" s="30">
        <v>3736316</v>
      </c>
      <c r="J240" s="30">
        <v>3755535</v>
      </c>
      <c r="K240" s="30">
        <v>3911569</v>
      </c>
      <c r="L240" s="30">
        <v>3668248</v>
      </c>
      <c r="M240" s="30">
        <v>3241130</v>
      </c>
      <c r="N240" s="30">
        <v>3708187</v>
      </c>
      <c r="O240" s="30">
        <v>3540968</v>
      </c>
      <c r="P240" s="30">
        <v>3711767</v>
      </c>
      <c r="Q240" s="44">
        <f t="shared" si="8"/>
        <v>44068514</v>
      </c>
      <c r="R240" s="46">
        <f t="shared" si="7"/>
        <v>4.6132683580815348E-2</v>
      </c>
    </row>
    <row r="241" spans="1:18">
      <c r="A241" s="1" t="s">
        <v>16</v>
      </c>
      <c r="B241" s="1" t="s">
        <v>510</v>
      </c>
      <c r="C241" s="1" t="s">
        <v>511</v>
      </c>
      <c r="D241" s="6"/>
      <c r="E241" s="30">
        <v>105289</v>
      </c>
      <c r="F241" s="30">
        <v>108461</v>
      </c>
      <c r="G241" s="30">
        <v>154778</v>
      </c>
      <c r="H241" s="45">
        <v>102558</v>
      </c>
      <c r="I241" s="30">
        <v>99863</v>
      </c>
      <c r="J241" s="30">
        <v>110278</v>
      </c>
      <c r="K241" s="30">
        <v>123355</v>
      </c>
      <c r="L241" s="30">
        <v>94142</v>
      </c>
      <c r="M241" s="30">
        <v>70102</v>
      </c>
      <c r="N241" s="30">
        <v>93616</v>
      </c>
      <c r="O241" s="30">
        <v>100174</v>
      </c>
      <c r="P241" s="30">
        <v>119500</v>
      </c>
      <c r="Q241" s="44">
        <f t="shared" ref="Q241:Q267" si="9">SUM(E241:P241)</f>
        <v>1282116</v>
      </c>
      <c r="R241" s="46"/>
    </row>
    <row r="242" spans="1:18">
      <c r="A242" s="1" t="s">
        <v>16</v>
      </c>
      <c r="B242" s="1" t="s">
        <v>344</v>
      </c>
      <c r="C242" s="1" t="s">
        <v>345</v>
      </c>
      <c r="D242" s="6">
        <f>'2014 pax'!Q233</f>
        <v>7998970</v>
      </c>
      <c r="E242" s="30">
        <v>547341</v>
      </c>
      <c r="F242" s="30">
        <v>535439</v>
      </c>
      <c r="G242" s="30">
        <v>695516</v>
      </c>
      <c r="H242" s="45">
        <v>667439</v>
      </c>
      <c r="I242" s="30">
        <v>707596</v>
      </c>
      <c r="J242" s="30">
        <v>746252</v>
      </c>
      <c r="K242" s="30">
        <v>760936</v>
      </c>
      <c r="L242" s="30">
        <v>738161</v>
      </c>
      <c r="M242" s="30">
        <v>663753</v>
      </c>
      <c r="N242" s="30">
        <v>743325</v>
      </c>
      <c r="O242" s="30">
        <v>685217</v>
      </c>
      <c r="P242" s="30">
        <v>637212</v>
      </c>
      <c r="Q242" s="44">
        <f t="shared" si="9"/>
        <v>8128187</v>
      </c>
      <c r="R242" s="46">
        <f t="shared" ref="R242:R267" si="10">Q242/D242-1</f>
        <v>1.6154204853874976E-2</v>
      </c>
    </row>
    <row r="243" spans="1:18">
      <c r="A243" s="1" t="s">
        <v>16</v>
      </c>
      <c r="B243" s="1" t="s">
        <v>62</v>
      </c>
      <c r="C243" s="1" t="s">
        <v>63</v>
      </c>
      <c r="D243" s="6">
        <f>'2014 pax'!Q234</f>
        <v>15916512</v>
      </c>
      <c r="E243" s="30">
        <v>1137654</v>
      </c>
      <c r="F243" s="30">
        <v>1048186</v>
      </c>
      <c r="G243" s="30">
        <v>1290514</v>
      </c>
      <c r="H243" s="45">
        <v>1286198</v>
      </c>
      <c r="I243" s="30">
        <v>1369781</v>
      </c>
      <c r="J243" s="30">
        <v>1564969</v>
      </c>
      <c r="K243" s="30">
        <v>1728712</v>
      </c>
      <c r="L243" s="30">
        <v>1712796</v>
      </c>
      <c r="M243" s="30">
        <v>1449967</v>
      </c>
      <c r="N243" s="30">
        <v>1460899</v>
      </c>
      <c r="O243" s="30">
        <v>1360912</v>
      </c>
      <c r="P243" s="30">
        <v>1440162</v>
      </c>
      <c r="Q243" s="44">
        <f t="shared" si="9"/>
        <v>16850750</v>
      </c>
      <c r="R243" s="46">
        <f t="shared" si="10"/>
        <v>5.8696151518624173E-2</v>
      </c>
    </row>
    <row r="244" spans="1:18">
      <c r="A244" s="1" t="s">
        <v>16</v>
      </c>
      <c r="B244" s="1" t="s">
        <v>408</v>
      </c>
      <c r="C244" s="1" t="s">
        <v>409</v>
      </c>
      <c r="D244" s="6">
        <f>'2014 pax'!Q235</f>
        <v>3566769</v>
      </c>
      <c r="E244" s="30">
        <v>243894</v>
      </c>
      <c r="F244" s="30">
        <v>219250</v>
      </c>
      <c r="G244" s="30">
        <v>305434</v>
      </c>
      <c r="H244" s="45">
        <v>307668</v>
      </c>
      <c r="I244" s="30">
        <v>314068</v>
      </c>
      <c r="J244" s="30">
        <v>301890</v>
      </c>
      <c r="K244" s="30">
        <v>340390</v>
      </c>
      <c r="L244" s="30">
        <v>332195</v>
      </c>
      <c r="M244" s="30">
        <v>300284</v>
      </c>
      <c r="N244" s="30">
        <v>314081</v>
      </c>
      <c r="O244" s="30">
        <v>300812</v>
      </c>
      <c r="P244" s="30">
        <v>286139</v>
      </c>
      <c r="Q244" s="44">
        <f t="shared" si="9"/>
        <v>3566105</v>
      </c>
      <c r="R244" s="46">
        <f t="shared" si="10"/>
        <v>-1.8616288299022621E-4</v>
      </c>
    </row>
    <row r="245" spans="1:18">
      <c r="A245" s="1" t="s">
        <v>16</v>
      </c>
      <c r="B245" s="1" t="s">
        <v>355</v>
      </c>
      <c r="C245" s="1" t="s">
        <v>356</v>
      </c>
      <c r="D245" s="6">
        <f>'2014 pax'!Q236</f>
        <v>9545360</v>
      </c>
      <c r="E245" s="30">
        <v>667848</v>
      </c>
      <c r="F245" s="30">
        <v>603451</v>
      </c>
      <c r="G245" s="30">
        <v>790366</v>
      </c>
      <c r="H245" s="45">
        <v>818688</v>
      </c>
      <c r="I245" s="30">
        <v>882477</v>
      </c>
      <c r="J245" s="30">
        <v>916651</v>
      </c>
      <c r="K245" s="30">
        <v>946061</v>
      </c>
      <c r="L245" s="30">
        <v>890439</v>
      </c>
      <c r="M245" s="30">
        <v>799916</v>
      </c>
      <c r="N245" s="30">
        <v>909701</v>
      </c>
      <c r="O245" s="30">
        <v>852568</v>
      </c>
      <c r="P245" s="30">
        <v>865094</v>
      </c>
      <c r="Q245" s="44">
        <f t="shared" si="9"/>
        <v>9943260</v>
      </c>
      <c r="R245" s="46">
        <f t="shared" si="10"/>
        <v>4.1685174786493029E-2</v>
      </c>
    </row>
    <row r="246" spans="1:18">
      <c r="A246" s="1" t="s">
        <v>16</v>
      </c>
      <c r="B246" s="1" t="s">
        <v>410</v>
      </c>
      <c r="C246" s="1" t="s">
        <v>411</v>
      </c>
      <c r="D246" s="6">
        <f>'2014 pax'!Q237</f>
        <v>3299876</v>
      </c>
      <c r="E246" s="30">
        <v>239556</v>
      </c>
      <c r="F246" s="30">
        <v>228123</v>
      </c>
      <c r="G246" s="30">
        <v>277477</v>
      </c>
      <c r="H246" s="45">
        <v>256823</v>
      </c>
      <c r="I246" s="30">
        <v>276969</v>
      </c>
      <c r="J246" s="30">
        <v>319309</v>
      </c>
      <c r="K246" s="30">
        <v>350823</v>
      </c>
      <c r="L246" s="30">
        <v>333017</v>
      </c>
      <c r="M246" s="30">
        <v>297299</v>
      </c>
      <c r="N246" s="30">
        <v>295749</v>
      </c>
      <c r="O246" s="30">
        <v>253494</v>
      </c>
      <c r="P246" s="30">
        <v>286432</v>
      </c>
      <c r="Q246" s="44">
        <f t="shared" si="9"/>
        <v>3415071</v>
      </c>
      <c r="R246" s="46">
        <f t="shared" si="10"/>
        <v>3.4908887485469053E-2</v>
      </c>
    </row>
    <row r="247" spans="1:18">
      <c r="A247" s="1" t="s">
        <v>16</v>
      </c>
      <c r="B247" s="1" t="s">
        <v>425</v>
      </c>
      <c r="C247" s="1" t="s">
        <v>426</v>
      </c>
      <c r="D247" s="6">
        <f>'2014 pax'!Q238</f>
        <v>3352651</v>
      </c>
      <c r="E247" s="30">
        <v>238166</v>
      </c>
      <c r="F247" s="30">
        <v>223298</v>
      </c>
      <c r="G247" s="30">
        <v>286560</v>
      </c>
      <c r="H247" s="45">
        <v>300491</v>
      </c>
      <c r="I247" s="30">
        <v>315083</v>
      </c>
      <c r="J247" s="30">
        <v>319815</v>
      </c>
      <c r="K247" s="30">
        <v>326987</v>
      </c>
      <c r="L247" s="30">
        <v>321047</v>
      </c>
      <c r="M247" s="30">
        <v>290551</v>
      </c>
      <c r="N247" s="30">
        <v>318829</v>
      </c>
      <c r="O247" s="30">
        <v>290973</v>
      </c>
      <c r="P247" s="30">
        <v>281342</v>
      </c>
      <c r="Q247" s="44">
        <f t="shared" si="9"/>
        <v>3513142</v>
      </c>
      <c r="R247" s="46">
        <f t="shared" si="10"/>
        <v>4.7869879686254224E-2</v>
      </c>
    </row>
    <row r="248" spans="1:18">
      <c r="A248" s="1" t="s">
        <v>16</v>
      </c>
      <c r="B248" s="1" t="s">
        <v>519</v>
      </c>
      <c r="C248" s="1" t="s">
        <v>520</v>
      </c>
      <c r="D248" s="6">
        <f>'2014 pax'!Q239</f>
        <v>8970123</v>
      </c>
      <c r="E248" s="30">
        <v>657900</v>
      </c>
      <c r="F248" s="30">
        <v>631098</v>
      </c>
      <c r="G248" s="30">
        <v>765136</v>
      </c>
      <c r="H248" s="45">
        <v>791909</v>
      </c>
      <c r="I248" s="30">
        <v>846653</v>
      </c>
      <c r="J248" s="30">
        <v>882605</v>
      </c>
      <c r="K248" s="30">
        <v>906566</v>
      </c>
      <c r="L248" s="30">
        <v>862697</v>
      </c>
      <c r="M248" s="30">
        <v>846265</v>
      </c>
      <c r="N248" s="30">
        <v>846265</v>
      </c>
      <c r="O248" s="30">
        <v>800314</v>
      </c>
      <c r="P248" s="30">
        <v>810655</v>
      </c>
      <c r="Q248" s="44">
        <f t="shared" si="9"/>
        <v>9648063</v>
      </c>
      <c r="R248" s="46">
        <f t="shared" si="10"/>
        <v>7.5577558969927239E-2</v>
      </c>
    </row>
    <row r="249" spans="1:18">
      <c r="A249" s="1" t="s">
        <v>16</v>
      </c>
      <c r="B249" s="1" t="s">
        <v>54</v>
      </c>
      <c r="C249" s="1" t="s">
        <v>55</v>
      </c>
      <c r="D249" s="6">
        <f>'2014 pax'!Q240</f>
        <v>21155820</v>
      </c>
      <c r="E249" s="30">
        <v>1697029</v>
      </c>
      <c r="F249" s="30">
        <v>1625071</v>
      </c>
      <c r="G249" s="30">
        <v>1965365</v>
      </c>
      <c r="H249" s="45">
        <v>1768003</v>
      </c>
      <c r="I249" s="30">
        <v>1825059</v>
      </c>
      <c r="J249" s="30">
        <v>1980529</v>
      </c>
      <c r="K249" s="30">
        <v>2079472</v>
      </c>
      <c r="L249" s="30">
        <v>2056642</v>
      </c>
      <c r="M249" s="30">
        <v>1796587</v>
      </c>
      <c r="N249" s="30">
        <v>1896520</v>
      </c>
      <c r="O249" s="30">
        <v>1685386</v>
      </c>
      <c r="P249" s="30">
        <v>1776835</v>
      </c>
      <c r="Q249" s="44">
        <f t="shared" si="9"/>
        <v>22152498</v>
      </c>
      <c r="R249" s="46">
        <f t="shared" si="10"/>
        <v>4.7111291360958818E-2</v>
      </c>
    </row>
    <row r="250" spans="1:18">
      <c r="A250" s="1" t="s">
        <v>16</v>
      </c>
      <c r="B250" s="1" t="s">
        <v>396</v>
      </c>
      <c r="C250" s="1" t="s">
        <v>397</v>
      </c>
      <c r="D250" s="6">
        <f>'2014 pax'!Q241</f>
        <v>8369628</v>
      </c>
      <c r="E250" s="30">
        <v>615622</v>
      </c>
      <c r="F250" s="30">
        <v>562266</v>
      </c>
      <c r="G250" s="30">
        <v>740259</v>
      </c>
      <c r="H250" s="45">
        <v>721313</v>
      </c>
      <c r="I250" s="30">
        <v>741014</v>
      </c>
      <c r="J250" s="30">
        <v>776243</v>
      </c>
      <c r="K250" s="30">
        <v>809653</v>
      </c>
      <c r="L250" s="30">
        <v>709237</v>
      </c>
      <c r="M250" s="30">
        <v>636217</v>
      </c>
      <c r="N250" s="30">
        <v>738357</v>
      </c>
      <c r="O250" s="30">
        <v>721962</v>
      </c>
      <c r="P250" s="30">
        <v>726104</v>
      </c>
      <c r="Q250" s="44">
        <f t="shared" si="9"/>
        <v>8498247</v>
      </c>
      <c r="R250" s="46">
        <f t="shared" si="10"/>
        <v>1.5367349659984875E-2</v>
      </c>
    </row>
    <row r="251" spans="1:18">
      <c r="A251" s="1" t="s">
        <v>16</v>
      </c>
      <c r="B251" s="1" t="s">
        <v>58</v>
      </c>
      <c r="C251" s="1" t="s">
        <v>59</v>
      </c>
      <c r="D251" s="6">
        <f>'2014 pax'!Q242</f>
        <v>18618987</v>
      </c>
      <c r="E251" s="30">
        <v>1427545</v>
      </c>
      <c r="F251" s="30">
        <v>1346268</v>
      </c>
      <c r="G251" s="30">
        <v>1668048</v>
      </c>
      <c r="H251" s="45">
        <v>1662251</v>
      </c>
      <c r="I251" s="30">
        <v>1712855</v>
      </c>
      <c r="J251" s="30">
        <v>1800633</v>
      </c>
      <c r="K251" s="30">
        <v>1862629</v>
      </c>
      <c r="L251" s="30">
        <v>1865128</v>
      </c>
      <c r="M251" s="30">
        <v>1629322</v>
      </c>
      <c r="N251" s="30">
        <v>1743527</v>
      </c>
      <c r="O251" s="30">
        <v>1627151</v>
      </c>
      <c r="P251" s="30">
        <v>1666269</v>
      </c>
      <c r="Q251" s="44">
        <f t="shared" si="9"/>
        <v>20011626</v>
      </c>
      <c r="R251" s="46">
        <f t="shared" si="10"/>
        <v>7.4796711550418893E-2</v>
      </c>
    </row>
    <row r="252" spans="1:18">
      <c r="A252" s="1" t="s">
        <v>16</v>
      </c>
      <c r="B252" s="1" t="s">
        <v>30</v>
      </c>
      <c r="C252" s="1" t="s">
        <v>31</v>
      </c>
      <c r="D252" s="6">
        <f>'2014 pax'!Q243</f>
        <v>47139070</v>
      </c>
      <c r="E252" s="30">
        <v>3551072</v>
      </c>
      <c r="F252" s="30">
        <v>3248534</v>
      </c>
      <c r="G252" s="30">
        <v>4002732</v>
      </c>
      <c r="H252" s="45">
        <v>4022770</v>
      </c>
      <c r="I252" s="30">
        <v>4361622</v>
      </c>
      <c r="J252" s="30">
        <v>4559640</v>
      </c>
      <c r="K252" s="30">
        <v>4802431</v>
      </c>
      <c r="L252" s="30">
        <v>4797484</v>
      </c>
      <c r="M252" s="30">
        <v>4201882</v>
      </c>
      <c r="N252" s="30">
        <v>4375077</v>
      </c>
      <c r="O252" s="30">
        <v>4014388</v>
      </c>
      <c r="P252" s="30">
        <v>4129462</v>
      </c>
      <c r="Q252" s="44">
        <f t="shared" si="9"/>
        <v>50067094</v>
      </c>
      <c r="R252" s="46">
        <f t="shared" si="10"/>
        <v>6.2114589872052983E-2</v>
      </c>
    </row>
    <row r="253" spans="1:18">
      <c r="A253" s="1" t="s">
        <v>16</v>
      </c>
      <c r="B253" s="1" t="s">
        <v>493</v>
      </c>
      <c r="C253" s="1" t="s">
        <v>494</v>
      </c>
      <c r="D253" s="6">
        <f>'2014 pax'!Q244</f>
        <v>9385212</v>
      </c>
      <c r="E253" s="30">
        <v>687743</v>
      </c>
      <c r="F253" s="30">
        <v>656971</v>
      </c>
      <c r="G253" s="30">
        <v>761737</v>
      </c>
      <c r="H253" s="45">
        <v>797922</v>
      </c>
      <c r="I253" s="30">
        <v>833023</v>
      </c>
      <c r="J253" s="30">
        <v>893607</v>
      </c>
      <c r="K253" s="30">
        <v>920624</v>
      </c>
      <c r="L253" s="30">
        <v>912095</v>
      </c>
      <c r="M253" s="30">
        <v>819081</v>
      </c>
      <c r="N253" s="30">
        <v>866430</v>
      </c>
      <c r="O253" s="30">
        <v>826241</v>
      </c>
      <c r="P253" s="30">
        <v>823953</v>
      </c>
      <c r="Q253" s="44">
        <f t="shared" si="9"/>
        <v>9799427</v>
      </c>
      <c r="R253" s="46">
        <f t="shared" si="10"/>
        <v>4.4134858115085773E-2</v>
      </c>
    </row>
    <row r="254" spans="1:18" ht="15.75">
      <c r="A254" s="1" t="s">
        <v>16</v>
      </c>
      <c r="B254" s="1" t="s">
        <v>504</v>
      </c>
      <c r="C254" s="1" t="s">
        <v>492</v>
      </c>
      <c r="D254" s="6">
        <f>'2014 pax'!Q245</f>
        <v>9386033</v>
      </c>
      <c r="E254" s="45">
        <v>736666</v>
      </c>
      <c r="F254" s="45">
        <v>708940</v>
      </c>
      <c r="G254" s="45">
        <v>832213</v>
      </c>
      <c r="H254" s="45">
        <v>825658</v>
      </c>
      <c r="I254" s="45">
        <v>839813</v>
      </c>
      <c r="J254" s="45">
        <v>849475</v>
      </c>
      <c r="K254" s="30">
        <v>927934</v>
      </c>
      <c r="L254" s="30">
        <v>936949</v>
      </c>
      <c r="M254" s="30">
        <v>844385</v>
      </c>
      <c r="N254" s="30">
        <v>913321</v>
      </c>
      <c r="O254" s="30">
        <v>876748</v>
      </c>
      <c r="P254" s="30">
        <v>888156</v>
      </c>
      <c r="Q254" s="44">
        <f t="shared" si="9"/>
        <v>10180258</v>
      </c>
      <c r="R254" s="46">
        <f t="shared" si="10"/>
        <v>8.4617750651420076E-2</v>
      </c>
    </row>
    <row r="255" spans="1:18">
      <c r="A255" s="1" t="s">
        <v>16</v>
      </c>
      <c r="B255" s="1" t="s">
        <v>541</v>
      </c>
      <c r="C255" s="1" t="s">
        <v>542</v>
      </c>
      <c r="D255" s="6">
        <f>'2014 pax'!Q246</f>
        <v>1197097</v>
      </c>
      <c r="E255" s="45">
        <v>101822</v>
      </c>
      <c r="F255" s="45">
        <v>111766</v>
      </c>
      <c r="G255" s="45">
        <v>150801</v>
      </c>
      <c r="H255" s="45">
        <v>128564</v>
      </c>
      <c r="I255" s="45">
        <v>98901</v>
      </c>
      <c r="J255" s="45">
        <v>85657</v>
      </c>
      <c r="K255" s="30">
        <v>82492</v>
      </c>
      <c r="L255" s="30">
        <v>82936</v>
      </c>
      <c r="M255" s="30">
        <v>71925</v>
      </c>
      <c r="N255" s="30">
        <v>96307</v>
      </c>
      <c r="O255" s="30">
        <v>97738</v>
      </c>
      <c r="P255" s="30">
        <v>111454</v>
      </c>
      <c r="Q255" s="44">
        <f t="shared" si="9"/>
        <v>1220363</v>
      </c>
      <c r="R255" s="46">
        <f t="shared" si="10"/>
        <v>1.9435350685867547E-2</v>
      </c>
    </row>
    <row r="256" spans="1:18">
      <c r="A256" s="1" t="s">
        <v>16</v>
      </c>
      <c r="B256" s="1" t="s">
        <v>435</v>
      </c>
      <c r="C256" s="1" t="s">
        <v>436</v>
      </c>
      <c r="D256" s="6">
        <f>'2014 pax'!Q247</f>
        <v>1916561</v>
      </c>
      <c r="E256" s="45">
        <v>121018</v>
      </c>
      <c r="F256" s="45">
        <v>119891</v>
      </c>
      <c r="G256" s="45">
        <v>167820</v>
      </c>
      <c r="H256" s="45">
        <v>187798</v>
      </c>
      <c r="I256" s="45">
        <v>198815</v>
      </c>
      <c r="J256" s="45">
        <v>183213</v>
      </c>
      <c r="K256" s="30">
        <v>190695</v>
      </c>
      <c r="L256" s="30">
        <v>180817</v>
      </c>
      <c r="M256" s="30">
        <v>166679</v>
      </c>
      <c r="N256" s="30">
        <v>188296</v>
      </c>
      <c r="O256" s="30">
        <v>172749</v>
      </c>
      <c r="P256" s="30">
        <v>149501</v>
      </c>
      <c r="Q256" s="44">
        <f t="shared" si="9"/>
        <v>2027292</v>
      </c>
      <c r="R256" s="46">
        <f t="shared" si="10"/>
        <v>5.7775880861605788E-2</v>
      </c>
    </row>
    <row r="257" spans="1:18">
      <c r="A257" s="1" t="s">
        <v>16</v>
      </c>
      <c r="B257" s="1" t="s">
        <v>44</v>
      </c>
      <c r="C257" s="1" t="s">
        <v>45</v>
      </c>
      <c r="D257" s="6">
        <f>'2014 pax'!Q248</f>
        <v>35874464</v>
      </c>
      <c r="E257" s="51">
        <v>2824529</v>
      </c>
      <c r="F257" s="45">
        <v>2664657</v>
      </c>
      <c r="G257" s="45">
        <v>3233808</v>
      </c>
      <c r="H257" s="45">
        <v>3228073</v>
      </c>
      <c r="I257" s="45">
        <v>3581470</v>
      </c>
      <c r="J257" s="45">
        <v>4011247</v>
      </c>
      <c r="K257" s="30">
        <v>4442031</v>
      </c>
      <c r="L257" s="30">
        <v>4459615</v>
      </c>
      <c r="M257" s="30">
        <v>3663870</v>
      </c>
      <c r="N257" s="30">
        <v>3484104</v>
      </c>
      <c r="O257" s="30">
        <v>3232206</v>
      </c>
      <c r="P257" s="30">
        <v>3514927</v>
      </c>
      <c r="Q257" s="44">
        <f t="shared" si="9"/>
        <v>42340537</v>
      </c>
      <c r="R257" s="46">
        <f t="shared" si="10"/>
        <v>0.18024166158970356</v>
      </c>
    </row>
    <row r="258" spans="1:18">
      <c r="A258" s="1" t="s">
        <v>16</v>
      </c>
      <c r="B258" s="1" t="s">
        <v>502</v>
      </c>
      <c r="C258" s="1" t="s">
        <v>503</v>
      </c>
      <c r="D258" s="6">
        <f>'2014 pax'!Q249</f>
        <v>2986569</v>
      </c>
      <c r="E258" s="45">
        <v>225785</v>
      </c>
      <c r="F258" s="30">
        <v>214933</v>
      </c>
      <c r="G258" s="30">
        <v>260984</v>
      </c>
      <c r="H258" s="45">
        <v>239603</v>
      </c>
      <c r="I258" s="30">
        <v>254499</v>
      </c>
      <c r="J258" s="30">
        <v>279874</v>
      </c>
      <c r="K258" s="30">
        <v>308500</v>
      </c>
      <c r="L258" s="30">
        <v>303403</v>
      </c>
      <c r="M258" s="30">
        <v>260439</v>
      </c>
      <c r="N258" s="30">
        <v>265563</v>
      </c>
      <c r="O258" s="30">
        <v>249256</v>
      </c>
      <c r="P258" s="30">
        <v>270279</v>
      </c>
      <c r="Q258" s="44">
        <f t="shared" si="9"/>
        <v>3133118</v>
      </c>
      <c r="R258" s="46">
        <f t="shared" si="10"/>
        <v>4.9069350147276092E-2</v>
      </c>
    </row>
    <row r="259" spans="1:18">
      <c r="A259" s="1" t="s">
        <v>16</v>
      </c>
      <c r="B259" s="1" t="s">
        <v>443</v>
      </c>
      <c r="C259" s="1" t="s">
        <v>444</v>
      </c>
      <c r="D259" s="6">
        <f>'2014 pax'!Q250</f>
        <v>846324</v>
      </c>
      <c r="E259" s="45">
        <v>61978</v>
      </c>
      <c r="F259" s="45">
        <v>54424</v>
      </c>
      <c r="G259" s="45">
        <v>72192</v>
      </c>
      <c r="H259" s="45">
        <v>69303</v>
      </c>
      <c r="I259" s="45">
        <v>81623</v>
      </c>
      <c r="J259" s="45">
        <v>88587</v>
      </c>
      <c r="K259" s="30">
        <v>93771</v>
      </c>
      <c r="L259" s="30">
        <v>85053</v>
      </c>
      <c r="M259" s="30">
        <v>79484</v>
      </c>
      <c r="N259" s="30">
        <v>82960</v>
      </c>
      <c r="O259" s="30">
        <v>74818</v>
      </c>
      <c r="P259" s="30">
        <v>75055</v>
      </c>
      <c r="Q259" s="44">
        <f t="shared" si="9"/>
        <v>919248</v>
      </c>
      <c r="R259" s="46">
        <f t="shared" si="10"/>
        <v>8.6165581975697236E-2</v>
      </c>
    </row>
    <row r="260" spans="1:18">
      <c r="A260" s="1" t="s">
        <v>16</v>
      </c>
      <c r="B260" s="1" t="s">
        <v>394</v>
      </c>
      <c r="C260" s="1" t="s">
        <v>395</v>
      </c>
      <c r="D260" s="6">
        <f>'2014 pax'!Q251</f>
        <v>12384339</v>
      </c>
      <c r="E260" s="45">
        <v>878410</v>
      </c>
      <c r="F260" s="45">
        <v>829393</v>
      </c>
      <c r="G260" s="45">
        <v>1079574</v>
      </c>
      <c r="H260" s="45">
        <v>1049166</v>
      </c>
      <c r="I260" s="45">
        <v>1125435</v>
      </c>
      <c r="J260" s="45">
        <v>1161532</v>
      </c>
      <c r="K260" s="30">
        <v>1207505</v>
      </c>
      <c r="L260" s="30">
        <v>1100170</v>
      </c>
      <c r="M260" s="30">
        <v>1059734</v>
      </c>
      <c r="N260" s="30">
        <v>1133388</v>
      </c>
      <c r="O260" s="30">
        <v>1061660</v>
      </c>
      <c r="P260" s="30">
        <v>1033071</v>
      </c>
      <c r="Q260" s="44">
        <f t="shared" si="9"/>
        <v>12719038</v>
      </c>
      <c r="R260" s="46">
        <f t="shared" si="10"/>
        <v>2.7025988225936048E-2</v>
      </c>
    </row>
    <row r="261" spans="1:18" ht="15.75">
      <c r="A261" s="1" t="s">
        <v>16</v>
      </c>
      <c r="B261" s="7" t="s">
        <v>391</v>
      </c>
      <c r="C261" s="7" t="s">
        <v>337</v>
      </c>
      <c r="D261" s="6">
        <f>'2014 pax'!Q252</f>
        <v>314582</v>
      </c>
      <c r="E261" s="30">
        <v>20952</v>
      </c>
      <c r="F261" s="30">
        <v>19816</v>
      </c>
      <c r="G261" s="30">
        <v>22294</v>
      </c>
      <c r="H261" s="45">
        <v>23984</v>
      </c>
      <c r="I261" s="30">
        <v>25977</v>
      </c>
      <c r="J261" s="30">
        <v>24167</v>
      </c>
      <c r="K261" s="30">
        <v>26928</v>
      </c>
      <c r="L261" s="30">
        <v>27041</v>
      </c>
      <c r="M261" s="30">
        <v>23778</v>
      </c>
      <c r="N261" s="30">
        <v>22470</v>
      </c>
      <c r="O261" s="30">
        <v>22093</v>
      </c>
      <c r="P261" s="30">
        <v>22254</v>
      </c>
      <c r="Q261" s="44">
        <f t="shared" si="9"/>
        <v>281754</v>
      </c>
      <c r="R261" s="46">
        <f t="shared" si="10"/>
        <v>-0.10435434958134926</v>
      </c>
    </row>
    <row r="262" spans="1:18">
      <c r="A262" s="1" t="s">
        <v>16</v>
      </c>
      <c r="B262" s="1" t="s">
        <v>60</v>
      </c>
      <c r="C262" s="1" t="s">
        <v>61</v>
      </c>
      <c r="D262" s="6">
        <f>'2014 pax'!Q253</f>
        <v>17553126</v>
      </c>
      <c r="E262" s="30">
        <v>1480828</v>
      </c>
      <c r="F262" s="30">
        <v>1465499</v>
      </c>
      <c r="G262" s="30">
        <v>1919905</v>
      </c>
      <c r="H262" s="45">
        <v>1729836</v>
      </c>
      <c r="I262" s="30">
        <v>1601233</v>
      </c>
      <c r="J262" s="30">
        <v>1543550</v>
      </c>
      <c r="K262" s="30">
        <v>1604114</v>
      </c>
      <c r="L262" s="30">
        <v>1473985</v>
      </c>
      <c r="M262" s="30">
        <v>1277101</v>
      </c>
      <c r="N262" s="30">
        <v>1494511</v>
      </c>
      <c r="O262" s="30">
        <v>1568162</v>
      </c>
      <c r="P262" s="30">
        <v>1656701</v>
      </c>
      <c r="Q262" s="44">
        <f t="shared" si="9"/>
        <v>18815425</v>
      </c>
      <c r="R262" s="46">
        <f t="shared" si="10"/>
        <v>7.1913059816240077E-2</v>
      </c>
    </row>
    <row r="263" spans="1:18">
      <c r="A263" s="1" t="s">
        <v>16</v>
      </c>
      <c r="B263" s="1" t="s">
        <v>498</v>
      </c>
      <c r="C263" s="1" t="s">
        <v>499</v>
      </c>
      <c r="D263" s="6">
        <f>'2014 pax'!Q254</f>
        <v>3247678</v>
      </c>
      <c r="E263" s="30">
        <v>255598</v>
      </c>
      <c r="F263" s="30">
        <v>262018</v>
      </c>
      <c r="G263" s="30">
        <v>316022</v>
      </c>
      <c r="H263" s="45">
        <v>288044</v>
      </c>
      <c r="I263" s="30">
        <v>285421</v>
      </c>
      <c r="J263" s="30">
        <v>245188</v>
      </c>
      <c r="K263" s="30">
        <v>241314</v>
      </c>
      <c r="L263" s="30">
        <v>228974</v>
      </c>
      <c r="M263" s="30">
        <v>230929</v>
      </c>
      <c r="N263" s="30">
        <v>277195</v>
      </c>
      <c r="O263" s="30">
        <v>272190</v>
      </c>
      <c r="P263" s="30">
        <v>275317</v>
      </c>
      <c r="Q263" s="44">
        <f t="shared" si="9"/>
        <v>3178210</v>
      </c>
      <c r="R263" s="46">
        <f t="shared" si="10"/>
        <v>-2.1390051599943116E-2</v>
      </c>
    </row>
    <row r="264" spans="1:18">
      <c r="A264" s="1" t="s">
        <v>16</v>
      </c>
      <c r="B264" s="1" t="s">
        <v>539</v>
      </c>
      <c r="C264" s="1" t="s">
        <v>540</v>
      </c>
      <c r="D264" s="6">
        <f>'2014 pax'!Q255</f>
        <v>2840324</v>
      </c>
      <c r="E264" s="30">
        <v>195109</v>
      </c>
      <c r="F264" s="30">
        <v>180900</v>
      </c>
      <c r="G264" s="30">
        <v>229513</v>
      </c>
      <c r="H264" s="45">
        <v>228123</v>
      </c>
      <c r="I264" s="30">
        <v>263487</v>
      </c>
      <c r="J264" s="30">
        <v>265813</v>
      </c>
      <c r="K264" s="30">
        <v>265774</v>
      </c>
      <c r="L264" s="30">
        <v>239173</v>
      </c>
      <c r="M264" s="30">
        <v>228060</v>
      </c>
      <c r="N264" s="30">
        <v>253011</v>
      </c>
      <c r="O264" s="30">
        <v>236328</v>
      </c>
      <c r="P264" s="30">
        <v>231676</v>
      </c>
      <c r="Q264" s="44">
        <f t="shared" si="9"/>
        <v>2816967</v>
      </c>
      <c r="R264" s="46">
        <f t="shared" si="10"/>
        <v>-8.2233576169479239E-3</v>
      </c>
    </row>
    <row r="265" spans="1:18" ht="15.75">
      <c r="A265" s="1" t="s">
        <v>16</v>
      </c>
      <c r="B265" s="1" t="s">
        <v>392</v>
      </c>
      <c r="C265" s="1" t="s">
        <v>50</v>
      </c>
      <c r="D265" s="6">
        <f>'2014 pax'!Q256</f>
        <v>21402528</v>
      </c>
      <c r="E265" s="30">
        <v>1503112</v>
      </c>
      <c r="F265" s="30">
        <v>1269007</v>
      </c>
      <c r="G265" s="30">
        <v>1666068</v>
      </c>
      <c r="H265" s="45">
        <v>1785950</v>
      </c>
      <c r="I265" s="30">
        <v>1981453</v>
      </c>
      <c r="J265" s="30">
        <v>2049842</v>
      </c>
      <c r="K265" s="30">
        <v>2126351</v>
      </c>
      <c r="L265" s="30">
        <v>2107419</v>
      </c>
      <c r="M265" s="30">
        <v>1862060</v>
      </c>
      <c r="N265" s="30">
        <v>1895921</v>
      </c>
      <c r="O265" s="30">
        <v>1663644</v>
      </c>
      <c r="P265" s="30">
        <v>1696055</v>
      </c>
      <c r="Q265" s="44">
        <f t="shared" si="9"/>
        <v>21606882</v>
      </c>
      <c r="R265" s="46">
        <f t="shared" si="10"/>
        <v>9.5481244084811845E-3</v>
      </c>
    </row>
    <row r="266" spans="1:18" ht="15.75">
      <c r="A266" s="1" t="s">
        <v>16</v>
      </c>
      <c r="B266" s="1" t="s">
        <v>393</v>
      </c>
      <c r="C266" s="1" t="s">
        <v>56</v>
      </c>
      <c r="D266" s="6">
        <f>'2014 pax'!Q257</f>
        <v>20784384</v>
      </c>
      <c r="E266" s="30">
        <v>1534449</v>
      </c>
      <c r="F266" s="30">
        <v>1491919</v>
      </c>
      <c r="G266" s="30">
        <v>1931143</v>
      </c>
      <c r="H266" s="45">
        <v>2008275</v>
      </c>
      <c r="I266" s="30">
        <v>2092878</v>
      </c>
      <c r="J266" s="30">
        <v>2032610</v>
      </c>
      <c r="K266" s="30">
        <v>2121230</v>
      </c>
      <c r="L266" s="30">
        <v>2053269</v>
      </c>
      <c r="M266" s="30">
        <v>1892065</v>
      </c>
      <c r="N266" s="30">
        <v>1536118</v>
      </c>
      <c r="O266" s="30">
        <v>1934487</v>
      </c>
      <c r="P266" s="30">
        <v>1815113</v>
      </c>
      <c r="Q266" s="44">
        <f t="shared" si="9"/>
        <v>22443556</v>
      </c>
      <c r="R266" s="46">
        <f t="shared" si="10"/>
        <v>7.9827816884060709E-2</v>
      </c>
    </row>
    <row r="267" spans="1:18">
      <c r="A267" s="1" t="s">
        <v>16</v>
      </c>
      <c r="B267" s="1" t="s">
        <v>526</v>
      </c>
      <c r="C267" s="1" t="s">
        <v>527</v>
      </c>
      <c r="D267" s="6">
        <f>'2014 pax'!Q258</f>
        <v>1533715</v>
      </c>
      <c r="E267" s="30">
        <v>106458</v>
      </c>
      <c r="F267" s="30">
        <v>95562</v>
      </c>
      <c r="G267" s="30">
        <v>124940</v>
      </c>
      <c r="H267" s="45">
        <v>123287</v>
      </c>
      <c r="I267" s="30">
        <v>142700</v>
      </c>
      <c r="J267" s="30">
        <v>154364</v>
      </c>
      <c r="K267" s="30">
        <v>158381</v>
      </c>
      <c r="L267" s="30">
        <v>135373</v>
      </c>
      <c r="M267" s="30">
        <v>128367</v>
      </c>
      <c r="N267" s="30">
        <v>139492</v>
      </c>
      <c r="O267" s="30">
        <v>133541</v>
      </c>
      <c r="P267" s="30">
        <v>129369</v>
      </c>
      <c r="Q267" s="44">
        <f t="shared" si="9"/>
        <v>1571834</v>
      </c>
      <c r="R267" s="46">
        <f t="shared" si="10"/>
        <v>2.4854030898830537E-2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59"/>
  <sheetViews>
    <sheetView zoomScaleNormal="100" workbookViewId="0">
      <pane xSplit="4" ySplit="1" topLeftCell="E2" activePane="bottomRight" state="frozen"/>
      <selection pane="topRight" activeCell="E1" sqref="E1"/>
      <selection pane="bottomLeft" activeCell="A5" sqref="A5"/>
      <selection pane="bottomRight" activeCell="H1" sqref="H1:H1048576"/>
    </sheetView>
  </sheetViews>
  <sheetFormatPr defaultRowHeight="15"/>
  <cols>
    <col min="1" max="1" width="22.42578125" customWidth="1"/>
    <col min="2" max="2" width="41.7109375" customWidth="1"/>
    <col min="3" max="3" width="6.5703125" customWidth="1"/>
    <col min="4" max="4" width="22" customWidth="1"/>
    <col min="5" max="12" width="11.5703125" customWidth="1"/>
    <col min="13" max="13" width="11.42578125" customWidth="1"/>
    <col min="14" max="14" width="12.42578125" customWidth="1"/>
    <col min="15" max="15" width="13.28515625" customWidth="1"/>
    <col min="16" max="16" width="14.42578125" customWidth="1"/>
    <col min="17" max="17" width="18.140625" customWidth="1"/>
    <col min="18" max="18" width="11.5703125" style="15" customWidth="1"/>
    <col min="19" max="19" width="10.140625" bestFit="1" customWidth="1"/>
  </cols>
  <sheetData>
    <row r="1" spans="1:18">
      <c r="A1" s="4" t="s">
        <v>0</v>
      </c>
      <c r="B1" s="4" t="s">
        <v>1</v>
      </c>
      <c r="C1" s="4" t="s">
        <v>2</v>
      </c>
      <c r="D1" s="8" t="s">
        <v>528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8" t="s">
        <v>532</v>
      </c>
      <c r="R1" s="16" t="s">
        <v>339</v>
      </c>
    </row>
    <row r="2" spans="1:18">
      <c r="A2" s="1" t="s">
        <v>137</v>
      </c>
      <c r="B2" s="1" t="s">
        <v>138</v>
      </c>
      <c r="C2" s="1" t="s">
        <v>139</v>
      </c>
      <c r="D2" s="6">
        <f>'2013 pax'!Q2</f>
        <v>1343899</v>
      </c>
      <c r="E2" s="10">
        <v>136361</v>
      </c>
      <c r="F2" s="10">
        <v>96303</v>
      </c>
      <c r="G2" s="10">
        <v>115654</v>
      </c>
      <c r="H2" s="10">
        <v>109799</v>
      </c>
      <c r="I2" s="10">
        <v>112634</v>
      </c>
      <c r="J2" s="10">
        <v>109460</v>
      </c>
      <c r="K2" s="10">
        <v>122280</v>
      </c>
      <c r="L2" s="10">
        <v>107380</v>
      </c>
      <c r="M2" s="10">
        <v>104053</v>
      </c>
      <c r="N2" s="10">
        <v>117593</v>
      </c>
      <c r="O2" s="10">
        <v>112167</v>
      </c>
      <c r="P2" s="10">
        <v>127163</v>
      </c>
      <c r="Q2" s="6">
        <f t="shared" ref="Q2:Q66" si="0">SUM(E2:P2)</f>
        <v>1370847</v>
      </c>
      <c r="R2" s="15">
        <f t="shared" ref="R2:R51" si="1">Q2/D2-1</f>
        <v>2.0052102129698657E-2</v>
      </c>
    </row>
    <row r="3" spans="1:18">
      <c r="A3" s="1" t="s">
        <v>137</v>
      </c>
      <c r="B3" s="1" t="s">
        <v>172</v>
      </c>
      <c r="C3" s="1" t="s">
        <v>173</v>
      </c>
      <c r="D3" s="6">
        <f>'2013 pax'!Q3</f>
        <v>3473945</v>
      </c>
      <c r="E3" s="10">
        <v>334331</v>
      </c>
      <c r="F3" s="10">
        <v>278156</v>
      </c>
      <c r="G3" s="10">
        <v>284861</v>
      </c>
      <c r="H3" s="10">
        <v>303491</v>
      </c>
      <c r="I3" s="10">
        <v>309151</v>
      </c>
      <c r="J3" s="10">
        <v>286279</v>
      </c>
      <c r="K3" s="10">
        <v>379678</v>
      </c>
      <c r="L3" s="10">
        <v>356751</v>
      </c>
      <c r="M3" s="10">
        <v>314328</v>
      </c>
      <c r="N3" s="10">
        <v>348717</v>
      </c>
      <c r="O3" s="10">
        <v>327514</v>
      </c>
      <c r="P3" s="10">
        <v>365267</v>
      </c>
      <c r="Q3" s="6">
        <f t="shared" si="0"/>
        <v>3888524</v>
      </c>
      <c r="R3" s="15">
        <f t="shared" si="1"/>
        <v>0.11933954049358864</v>
      </c>
    </row>
    <row r="4" spans="1:18">
      <c r="A4" s="1" t="s">
        <v>137</v>
      </c>
      <c r="B4" s="1" t="s">
        <v>184</v>
      </c>
      <c r="C4" s="1" t="s">
        <v>185</v>
      </c>
      <c r="D4" s="6">
        <f>'2013 pax'!Q4</f>
        <v>350195</v>
      </c>
      <c r="E4" s="10">
        <v>35659</v>
      </c>
      <c r="F4" s="10">
        <v>31668</v>
      </c>
      <c r="G4" s="10">
        <v>27677</v>
      </c>
      <c r="H4" s="10">
        <v>28736</v>
      </c>
      <c r="I4" s="10">
        <v>29709</v>
      </c>
      <c r="J4" s="10">
        <v>26379</v>
      </c>
      <c r="K4" s="10">
        <v>33766</v>
      </c>
      <c r="L4" s="10">
        <v>30642</v>
      </c>
      <c r="M4" s="10">
        <v>19143</v>
      </c>
      <c r="N4" s="10">
        <v>30923</v>
      </c>
      <c r="O4" s="10">
        <v>29961</v>
      </c>
      <c r="P4" s="10">
        <v>25970</v>
      </c>
      <c r="Q4" s="6">
        <f t="shared" si="0"/>
        <v>350233</v>
      </c>
      <c r="R4" s="15">
        <f t="shared" si="1"/>
        <v>1.0851097245812014E-4</v>
      </c>
    </row>
    <row r="5" spans="1:18">
      <c r="A5" s="1" t="s">
        <v>137</v>
      </c>
      <c r="B5" s="1" t="s">
        <v>146</v>
      </c>
      <c r="C5" s="1" t="s">
        <v>147</v>
      </c>
      <c r="D5" s="6">
        <f>'2013 pax'!Q5</f>
        <v>16489987</v>
      </c>
      <c r="E5" s="10">
        <v>1587202</v>
      </c>
      <c r="F5" s="10">
        <v>1339968</v>
      </c>
      <c r="G5" s="10">
        <v>1419737</v>
      </c>
      <c r="H5" s="10">
        <v>1416678</v>
      </c>
      <c r="I5" s="10">
        <v>1462731</v>
      </c>
      <c r="J5" s="10">
        <v>1388457</v>
      </c>
      <c r="K5" s="10">
        <v>1626025</v>
      </c>
      <c r="L5" s="10">
        <v>1527124</v>
      </c>
      <c r="M5" s="10">
        <v>1497741</v>
      </c>
      <c r="N5" s="10">
        <v>1597652</v>
      </c>
      <c r="O5" s="10">
        <v>1575326</v>
      </c>
      <c r="P5" s="10">
        <v>1691948</v>
      </c>
      <c r="Q5" s="6">
        <f t="shared" si="0"/>
        <v>18130589</v>
      </c>
      <c r="R5" s="15">
        <f>Q5/D5-1</f>
        <v>9.9490800083711362E-2</v>
      </c>
    </row>
    <row r="6" spans="1:18">
      <c r="A6" s="1" t="s">
        <v>137</v>
      </c>
      <c r="B6" s="1" t="s">
        <v>162</v>
      </c>
      <c r="C6" s="1" t="s">
        <v>163</v>
      </c>
      <c r="D6" s="6">
        <f>'2013 pax'!Q6</f>
        <v>143766</v>
      </c>
      <c r="E6" s="10">
        <v>17361</v>
      </c>
      <c r="F6" s="10">
        <v>14841</v>
      </c>
      <c r="G6" s="10">
        <v>14627</v>
      </c>
      <c r="H6" s="10">
        <v>15084</v>
      </c>
      <c r="I6" s="10">
        <v>14512</v>
      </c>
      <c r="J6" s="10">
        <v>13050</v>
      </c>
      <c r="K6" s="10">
        <v>15925</v>
      </c>
      <c r="L6" s="10">
        <v>14563</v>
      </c>
      <c r="M6" s="10">
        <v>13272</v>
      </c>
      <c r="N6" s="10">
        <v>15148</v>
      </c>
      <c r="O6" s="10">
        <v>13177</v>
      </c>
      <c r="P6" s="10">
        <v>16214</v>
      </c>
      <c r="Q6" s="6">
        <f t="shared" si="0"/>
        <v>177774</v>
      </c>
      <c r="R6" s="15">
        <f t="shared" si="1"/>
        <v>0.23655106214264854</v>
      </c>
    </row>
    <row r="7" spans="1:18">
      <c r="A7" s="1" t="s">
        <v>137</v>
      </c>
      <c r="B7" s="3" t="s">
        <v>214</v>
      </c>
      <c r="C7" s="3" t="s">
        <v>215</v>
      </c>
      <c r="D7" s="6">
        <f>'2013 pax'!Q7</f>
        <v>9295349</v>
      </c>
      <c r="E7" s="10">
        <v>867279</v>
      </c>
      <c r="F7" s="10">
        <v>783803</v>
      </c>
      <c r="G7" s="10">
        <v>798948</v>
      </c>
      <c r="H7" s="10">
        <v>778392</v>
      </c>
      <c r="I7" s="10">
        <v>809676</v>
      </c>
      <c r="J7" s="10">
        <v>717267</v>
      </c>
      <c r="K7" s="10">
        <v>860164</v>
      </c>
      <c r="L7" s="10">
        <v>841284</v>
      </c>
      <c r="M7" s="10">
        <v>856450</v>
      </c>
      <c r="N7" s="10">
        <v>873065</v>
      </c>
      <c r="O7" s="10">
        <v>821991</v>
      </c>
      <c r="P7" s="10">
        <v>838534</v>
      </c>
      <c r="Q7" s="6">
        <f t="shared" si="0"/>
        <v>9846853</v>
      </c>
      <c r="R7" s="15">
        <f t="shared" si="1"/>
        <v>5.9331177344712938E-2</v>
      </c>
    </row>
    <row r="8" spans="1:18">
      <c r="A8" s="1" t="s">
        <v>137</v>
      </c>
      <c r="B8" s="3" t="s">
        <v>216</v>
      </c>
      <c r="C8" s="3" t="s">
        <v>217</v>
      </c>
      <c r="D8" s="6">
        <f>'2013 pax'!Q8</f>
        <v>303392</v>
      </c>
      <c r="E8" s="10">
        <v>18513</v>
      </c>
      <c r="F8" s="10">
        <v>18216</v>
      </c>
      <c r="G8" s="10">
        <v>17142</v>
      </c>
      <c r="H8" s="10">
        <v>16839</v>
      </c>
      <c r="I8" s="10">
        <v>16502</v>
      </c>
      <c r="J8" s="10">
        <v>12619</v>
      </c>
      <c r="K8" s="10">
        <v>12563</v>
      </c>
      <c r="L8" s="10">
        <v>14616</v>
      </c>
      <c r="M8" s="10">
        <v>14575</v>
      </c>
      <c r="N8" s="10">
        <v>15345</v>
      </c>
      <c r="O8" s="10">
        <v>15070</v>
      </c>
      <c r="P8" s="10">
        <v>13538</v>
      </c>
      <c r="Q8" s="6">
        <f t="shared" si="0"/>
        <v>185538</v>
      </c>
      <c r="R8" s="15">
        <f t="shared" si="1"/>
        <v>-0.38845454066026786</v>
      </c>
    </row>
    <row r="9" spans="1:18">
      <c r="A9" s="1" t="s">
        <v>137</v>
      </c>
      <c r="B9" s="1" t="s">
        <v>148</v>
      </c>
      <c r="C9" s="1" t="s">
        <v>149</v>
      </c>
      <c r="D9" s="6">
        <f>'2013 pax'!Q9</f>
        <v>1496288</v>
      </c>
      <c r="E9" s="10">
        <v>137123</v>
      </c>
      <c r="F9" s="10">
        <v>111283</v>
      </c>
      <c r="G9" s="10">
        <v>120667</v>
      </c>
      <c r="H9" s="10">
        <v>129751</v>
      </c>
      <c r="I9" s="10">
        <v>142255</v>
      </c>
      <c r="J9" s="10">
        <v>126420</v>
      </c>
      <c r="K9" s="10">
        <v>146463</v>
      </c>
      <c r="L9" s="10">
        <v>134625</v>
      </c>
      <c r="M9" s="10">
        <v>99681</v>
      </c>
      <c r="N9" s="10">
        <v>138417</v>
      </c>
      <c r="O9" s="10">
        <v>137004</v>
      </c>
      <c r="P9" s="10">
        <v>149936</v>
      </c>
      <c r="Q9" s="6">
        <f t="shared" si="0"/>
        <v>1573625</v>
      </c>
      <c r="R9" s="15">
        <f t="shared" si="1"/>
        <v>5.1685905387198083E-2</v>
      </c>
    </row>
    <row r="10" spans="1:18">
      <c r="A10" s="1" t="s">
        <v>137</v>
      </c>
      <c r="B10" s="7" t="s">
        <v>204</v>
      </c>
      <c r="C10" s="7" t="s">
        <v>205</v>
      </c>
      <c r="D10" s="6">
        <f>'2013 pax'!Q10</f>
        <v>10002477</v>
      </c>
      <c r="E10" s="10">
        <v>1024861</v>
      </c>
      <c r="F10" s="10">
        <v>803801</v>
      </c>
      <c r="G10" s="10">
        <v>853532</v>
      </c>
      <c r="H10" s="10">
        <v>854555</v>
      </c>
      <c r="I10" s="10">
        <v>851504</v>
      </c>
      <c r="J10" s="10">
        <v>846332</v>
      </c>
      <c r="K10" s="10">
        <v>923736</v>
      </c>
      <c r="L10" s="10">
        <v>820524</v>
      </c>
      <c r="M10" s="10">
        <v>889874</v>
      </c>
      <c r="N10" s="10">
        <v>980121</v>
      </c>
      <c r="O10" s="10">
        <v>933508</v>
      </c>
      <c r="P10" s="10">
        <v>1022304</v>
      </c>
      <c r="Q10" s="6">
        <f t="shared" si="0"/>
        <v>10804652</v>
      </c>
      <c r="R10" s="15">
        <f t="shared" si="1"/>
        <v>8.0197635045799132E-2</v>
      </c>
    </row>
    <row r="11" spans="1:18">
      <c r="A11" s="1" t="s">
        <v>137</v>
      </c>
      <c r="B11" s="3" t="s">
        <v>220</v>
      </c>
      <c r="C11" s="3" t="s">
        <v>221</v>
      </c>
      <c r="D11" s="6">
        <f>'2013 pax'!Q11</f>
        <v>17025603</v>
      </c>
      <c r="E11" s="10">
        <v>1534037</v>
      </c>
      <c r="F11" s="10">
        <v>1320004</v>
      </c>
      <c r="G11" s="10">
        <v>1428191</v>
      </c>
      <c r="H11" s="10">
        <v>1492398</v>
      </c>
      <c r="I11" s="10">
        <v>1500358</v>
      </c>
      <c r="J11" s="10">
        <v>1235850</v>
      </c>
      <c r="K11" s="10">
        <v>1478899</v>
      </c>
      <c r="L11" s="10">
        <v>1588709</v>
      </c>
      <c r="M11" s="10">
        <v>1522810</v>
      </c>
      <c r="N11" s="10">
        <v>1627161</v>
      </c>
      <c r="O11" s="10">
        <v>1654790</v>
      </c>
      <c r="P11" s="10">
        <v>1750659</v>
      </c>
      <c r="Q11" s="6">
        <f t="shared" si="0"/>
        <v>18133866</v>
      </c>
      <c r="R11" s="15">
        <f t="shared" si="1"/>
        <v>6.509390592509412E-2</v>
      </c>
    </row>
    <row r="12" spans="1:18">
      <c r="A12" s="1" t="s">
        <v>137</v>
      </c>
      <c r="B12" s="1" t="s">
        <v>186</v>
      </c>
      <c r="C12" s="1" t="s">
        <v>187</v>
      </c>
      <c r="D12" s="6">
        <f>'2013 pax'!Q12</f>
        <v>70216</v>
      </c>
      <c r="E12" s="10">
        <v>6848</v>
      </c>
      <c r="F12" s="10">
        <v>5629</v>
      </c>
      <c r="G12" s="10">
        <v>5906</v>
      </c>
      <c r="H12" s="10">
        <v>5366</v>
      </c>
      <c r="I12" s="10">
        <v>6400</v>
      </c>
      <c r="J12" s="10">
        <v>5949</v>
      </c>
      <c r="K12" s="10">
        <v>7106</v>
      </c>
      <c r="L12" s="10">
        <v>8566</v>
      </c>
      <c r="M12" s="10">
        <v>7074</v>
      </c>
      <c r="N12" s="10">
        <v>5521</v>
      </c>
      <c r="O12" s="10">
        <v>4787</v>
      </c>
      <c r="P12" s="10">
        <v>5567</v>
      </c>
      <c r="Q12" s="6">
        <f t="shared" si="0"/>
        <v>74719</v>
      </c>
      <c r="R12" s="15">
        <f t="shared" si="1"/>
        <v>6.4130682465534994E-2</v>
      </c>
    </row>
    <row r="13" spans="1:18">
      <c r="A13" s="1" t="s">
        <v>137</v>
      </c>
      <c r="B13" s="1" t="s">
        <v>150</v>
      </c>
      <c r="C13" s="1" t="s">
        <v>151</v>
      </c>
      <c r="D13" s="6">
        <f>'2013 pax'!Q13</f>
        <v>2995679</v>
      </c>
      <c r="E13" s="10">
        <v>283476</v>
      </c>
      <c r="F13" s="10">
        <v>243805</v>
      </c>
      <c r="G13" s="10">
        <v>251591</v>
      </c>
      <c r="H13" s="10">
        <v>278737</v>
      </c>
      <c r="I13" s="10">
        <v>279521</v>
      </c>
      <c r="J13" s="10">
        <v>286181</v>
      </c>
      <c r="K13" s="10">
        <v>289333</v>
      </c>
      <c r="L13" s="10">
        <v>278888</v>
      </c>
      <c r="M13" s="10">
        <v>264042</v>
      </c>
      <c r="N13" s="10">
        <v>276488</v>
      </c>
      <c r="O13" s="10">
        <v>269282</v>
      </c>
      <c r="P13" s="10">
        <v>293457</v>
      </c>
      <c r="Q13" s="6">
        <f t="shared" si="0"/>
        <v>3294801</v>
      </c>
      <c r="R13" s="15">
        <f t="shared" si="1"/>
        <v>9.985115227632857E-2</v>
      </c>
    </row>
    <row r="14" spans="1:18">
      <c r="A14" s="1" t="s">
        <v>137</v>
      </c>
      <c r="B14" s="3" t="s">
        <v>222</v>
      </c>
      <c r="C14" s="3" t="s">
        <v>223</v>
      </c>
      <c r="D14" s="6">
        <f>'2013 pax'!Q14</f>
        <v>6740024</v>
      </c>
      <c r="E14" s="10">
        <v>607602</v>
      </c>
      <c r="F14" s="10">
        <v>559796</v>
      </c>
      <c r="G14" s="10">
        <v>603307</v>
      </c>
      <c r="H14" s="10">
        <v>610798</v>
      </c>
      <c r="I14" s="10">
        <v>624734</v>
      </c>
      <c r="J14" s="10">
        <v>557811</v>
      </c>
      <c r="K14" s="10">
        <v>613517</v>
      </c>
      <c r="L14" s="10">
        <v>627368</v>
      </c>
      <c r="M14" s="10">
        <v>623914</v>
      </c>
      <c r="N14" s="10">
        <v>652685</v>
      </c>
      <c r="O14" s="10">
        <v>642239</v>
      </c>
      <c r="P14" s="10">
        <v>652715</v>
      </c>
      <c r="Q14" s="6">
        <f t="shared" si="0"/>
        <v>7376486</v>
      </c>
      <c r="R14" s="15">
        <f t="shared" si="1"/>
        <v>9.4430227548151224E-2</v>
      </c>
    </row>
    <row r="15" spans="1:18">
      <c r="A15" s="1" t="s">
        <v>137</v>
      </c>
      <c r="B15" s="3" t="s">
        <v>226</v>
      </c>
      <c r="C15" s="3" t="s">
        <v>227</v>
      </c>
      <c r="D15" s="6">
        <f>'2013 pax'!Q15</f>
        <v>3872637</v>
      </c>
      <c r="E15" s="10">
        <v>395454</v>
      </c>
      <c r="F15" s="10">
        <v>314721</v>
      </c>
      <c r="G15" s="10">
        <v>311959</v>
      </c>
      <c r="H15" s="10">
        <v>295219</v>
      </c>
      <c r="I15" s="10">
        <v>287282</v>
      </c>
      <c r="J15" s="10">
        <v>236826</v>
      </c>
      <c r="K15" s="10">
        <v>275695</v>
      </c>
      <c r="L15" s="10">
        <v>272754</v>
      </c>
      <c r="M15" s="10">
        <v>273192</v>
      </c>
      <c r="N15" s="10">
        <v>316143</v>
      </c>
      <c r="O15" s="10">
        <v>307617</v>
      </c>
      <c r="P15" s="10">
        <v>342203</v>
      </c>
      <c r="Q15" s="6">
        <f t="shared" si="0"/>
        <v>3629065</v>
      </c>
      <c r="R15" s="15">
        <f t="shared" si="1"/>
        <v>-6.2895644492370395E-2</v>
      </c>
    </row>
    <row r="16" spans="1:18">
      <c r="A16" s="1" t="s">
        <v>137</v>
      </c>
      <c r="B16" s="1" t="s">
        <v>156</v>
      </c>
      <c r="C16" s="1" t="s">
        <v>157</v>
      </c>
      <c r="D16" s="6">
        <f>'2013 pax'!Q16</f>
        <v>5952535</v>
      </c>
      <c r="E16" s="10">
        <v>610890</v>
      </c>
      <c r="F16" s="10">
        <v>478032</v>
      </c>
      <c r="G16" s="10">
        <v>499312</v>
      </c>
      <c r="H16" s="10">
        <v>499132</v>
      </c>
      <c r="I16" s="10">
        <v>495901</v>
      </c>
      <c r="J16" s="10">
        <v>548120</v>
      </c>
      <c r="K16" s="10">
        <v>607735</v>
      </c>
      <c r="L16" s="10">
        <v>544358</v>
      </c>
      <c r="M16" s="10">
        <v>501415</v>
      </c>
      <c r="N16" s="10">
        <v>552477</v>
      </c>
      <c r="O16" s="10">
        <v>551285</v>
      </c>
      <c r="P16" s="10">
        <v>612592</v>
      </c>
      <c r="Q16" s="6">
        <f t="shared" si="0"/>
        <v>6501249</v>
      </c>
      <c r="R16" s="15">
        <f t="shared" si="1"/>
        <v>9.2181566341063004E-2</v>
      </c>
    </row>
    <row r="17" spans="1:18">
      <c r="A17" s="1" t="s">
        <v>137</v>
      </c>
      <c r="B17" s="3" t="s">
        <v>224</v>
      </c>
      <c r="C17" s="3" t="s">
        <v>225</v>
      </c>
      <c r="D17" s="6">
        <f>'2013 pax'!Q17</f>
        <v>1677460</v>
      </c>
      <c r="E17" s="10">
        <v>158065</v>
      </c>
      <c r="F17" s="10">
        <v>136859</v>
      </c>
      <c r="G17" s="10">
        <v>154246</v>
      </c>
      <c r="H17" s="10">
        <v>148517</v>
      </c>
      <c r="I17" s="10">
        <v>153768</v>
      </c>
      <c r="J17" s="10">
        <v>148962</v>
      </c>
      <c r="K17" s="10">
        <v>171885</v>
      </c>
      <c r="L17" s="10">
        <v>155774</v>
      </c>
      <c r="M17" s="10">
        <v>147677</v>
      </c>
      <c r="N17" s="10">
        <v>168798</v>
      </c>
      <c r="O17" s="10">
        <v>165327</v>
      </c>
      <c r="P17" s="10">
        <v>170861</v>
      </c>
      <c r="Q17" s="6">
        <f t="shared" si="0"/>
        <v>1880739</v>
      </c>
      <c r="R17" s="15">
        <f t="shared" si="1"/>
        <v>0.12118262134417512</v>
      </c>
    </row>
    <row r="18" spans="1:18">
      <c r="A18" s="1" t="s">
        <v>137</v>
      </c>
      <c r="B18" s="7" t="s">
        <v>194</v>
      </c>
      <c r="C18" s="7" t="s">
        <v>195</v>
      </c>
      <c r="D18" s="6">
        <f>'2013 pax'!Q18</f>
        <v>17109590</v>
      </c>
      <c r="E18" s="10">
        <v>1653937</v>
      </c>
      <c r="F18" s="10">
        <v>1329190</v>
      </c>
      <c r="G18" s="10">
        <v>1392330</v>
      </c>
      <c r="H18" s="10">
        <v>1364122</v>
      </c>
      <c r="I18" s="10">
        <v>1325497</v>
      </c>
      <c r="J18" s="22">
        <v>1366448</v>
      </c>
      <c r="K18" s="22">
        <v>1512764</v>
      </c>
      <c r="L18" s="22">
        <v>1419801</v>
      </c>
      <c r="M18" s="22">
        <v>1371180</v>
      </c>
      <c r="N18" s="22">
        <v>1489256</v>
      </c>
      <c r="O18" s="22">
        <v>1442047</v>
      </c>
      <c r="P18" s="22">
        <v>1650855</v>
      </c>
      <c r="Q18" s="6">
        <f t="shared" si="0"/>
        <v>17317427</v>
      </c>
      <c r="R18" s="15">
        <f t="shared" si="1"/>
        <v>1.2147398038176327E-2</v>
      </c>
    </row>
    <row r="19" spans="1:18">
      <c r="A19" s="1" t="s">
        <v>137</v>
      </c>
      <c r="B19" s="7" t="s">
        <v>152</v>
      </c>
      <c r="C19" s="7" t="s">
        <v>153</v>
      </c>
      <c r="D19" s="6">
        <f>'2013 pax'!Q19</f>
        <v>2982191</v>
      </c>
      <c r="E19" s="10">
        <v>293600</v>
      </c>
      <c r="F19" s="10">
        <v>251392</v>
      </c>
      <c r="G19" s="10">
        <v>263519</v>
      </c>
      <c r="H19" s="10">
        <v>286402</v>
      </c>
      <c r="I19" s="10">
        <v>289567</v>
      </c>
      <c r="J19" s="10">
        <v>235213</v>
      </c>
      <c r="K19" s="10">
        <v>295622</v>
      </c>
      <c r="L19" s="10">
        <v>286197</v>
      </c>
      <c r="M19" s="10">
        <v>277232</v>
      </c>
      <c r="N19" s="10">
        <v>295131</v>
      </c>
      <c r="O19" s="10">
        <v>287645</v>
      </c>
      <c r="P19" s="10">
        <v>301084</v>
      </c>
      <c r="Q19" s="6">
        <f t="shared" si="0"/>
        <v>3362604</v>
      </c>
      <c r="R19" s="15">
        <f t="shared" si="1"/>
        <v>0.12756158140105711</v>
      </c>
    </row>
    <row r="20" spans="1:18">
      <c r="A20" s="1" t="s">
        <v>137</v>
      </c>
      <c r="B20" s="3" t="s">
        <v>212</v>
      </c>
      <c r="C20" s="3" t="s">
        <v>213</v>
      </c>
      <c r="D20" s="6">
        <f>'2013 pax'!Q20</f>
        <v>35962128</v>
      </c>
      <c r="E20" s="10">
        <v>3590000</v>
      </c>
      <c r="F20" s="10">
        <v>2955000</v>
      </c>
      <c r="G20" s="10">
        <v>3172000</v>
      </c>
      <c r="H20" s="10">
        <v>3170000</v>
      </c>
      <c r="I20" s="10">
        <v>3129000</v>
      </c>
      <c r="J20" s="10">
        <v>3042000</v>
      </c>
      <c r="K20" s="10">
        <v>3523000</v>
      </c>
      <c r="L20" s="10">
        <v>3364000</v>
      </c>
      <c r="M20" s="10">
        <v>3259000</v>
      </c>
      <c r="N20" s="10">
        <v>3471000</v>
      </c>
      <c r="O20" s="10">
        <v>3300000</v>
      </c>
      <c r="P20" s="10">
        <v>3562000</v>
      </c>
      <c r="Q20" s="6">
        <f t="shared" si="0"/>
        <v>39537000</v>
      </c>
      <c r="R20" s="15">
        <f t="shared" si="1"/>
        <v>9.9406575717654988E-2</v>
      </c>
    </row>
    <row r="21" spans="1:18">
      <c r="A21" s="1" t="s">
        <v>137</v>
      </c>
      <c r="B21" s="1" t="s">
        <v>140</v>
      </c>
      <c r="C21" s="1" t="s">
        <v>141</v>
      </c>
      <c r="D21" s="6">
        <f>'2013 pax'!Q21</f>
        <v>502390</v>
      </c>
      <c r="E21" s="10">
        <v>66120</v>
      </c>
      <c r="F21" s="10">
        <v>42347</v>
      </c>
      <c r="G21" s="10">
        <v>45502</v>
      </c>
      <c r="H21" s="10">
        <v>44043</v>
      </c>
      <c r="I21" s="10">
        <v>42352</v>
      </c>
      <c r="J21" s="10">
        <v>41937</v>
      </c>
      <c r="K21" s="10">
        <v>44693</v>
      </c>
      <c r="L21" s="10">
        <v>45790</v>
      </c>
      <c r="M21" s="10">
        <v>43473</v>
      </c>
      <c r="N21" s="10">
        <v>47955</v>
      </c>
      <c r="O21" s="10">
        <v>46001</v>
      </c>
      <c r="P21" s="10">
        <v>51750</v>
      </c>
      <c r="Q21" s="6">
        <f t="shared" si="0"/>
        <v>561963</v>
      </c>
      <c r="R21" s="15">
        <f t="shared" si="1"/>
        <v>0.11857919146479823</v>
      </c>
    </row>
    <row r="22" spans="1:18">
      <c r="A22" s="1" t="s">
        <v>137</v>
      </c>
      <c r="B22" s="1" t="s">
        <v>174</v>
      </c>
      <c r="C22" s="1" t="s">
        <v>175</v>
      </c>
      <c r="D22" s="6">
        <f>'2013 pax'!Q22</f>
        <v>338283</v>
      </c>
      <c r="E22" s="10">
        <v>25900</v>
      </c>
      <c r="F22" s="10">
        <v>20705</v>
      </c>
      <c r="G22" s="10">
        <v>25333</v>
      </c>
      <c r="H22" s="10">
        <v>27847</v>
      </c>
      <c r="I22" s="10">
        <v>30174</v>
      </c>
      <c r="J22" s="10">
        <v>29783</v>
      </c>
      <c r="K22" s="10">
        <v>32486</v>
      </c>
      <c r="L22" s="10">
        <v>31111</v>
      </c>
      <c r="M22" s="10">
        <v>29104</v>
      </c>
      <c r="N22" s="10">
        <v>32287</v>
      </c>
      <c r="O22" s="10">
        <v>29757</v>
      </c>
      <c r="P22" s="10">
        <v>28170</v>
      </c>
      <c r="Q22" s="6">
        <f t="shared" si="0"/>
        <v>342657</v>
      </c>
      <c r="R22" s="15">
        <f t="shared" si="1"/>
        <v>1.2930002394444973E-2</v>
      </c>
    </row>
    <row r="23" spans="1:18">
      <c r="A23" s="1" t="s">
        <v>137</v>
      </c>
      <c r="B23" s="7" t="s">
        <v>196</v>
      </c>
      <c r="C23" s="7" t="s">
        <v>197</v>
      </c>
      <c r="D23" s="6">
        <f>'2013 pax'!Q23</f>
        <v>145155</v>
      </c>
      <c r="E23" s="10">
        <v>10849</v>
      </c>
      <c r="F23" s="10">
        <v>9060</v>
      </c>
      <c r="G23" s="10">
        <v>11152</v>
      </c>
      <c r="H23" s="10">
        <v>15338</v>
      </c>
      <c r="I23" s="10">
        <v>13887</v>
      </c>
      <c r="J23" s="10">
        <v>13863</v>
      </c>
      <c r="K23" s="10">
        <v>14576</v>
      </c>
      <c r="L23" s="10">
        <v>12833</v>
      </c>
      <c r="M23" s="10">
        <v>13828</v>
      </c>
      <c r="N23" s="10">
        <v>16544</v>
      </c>
      <c r="O23" s="10">
        <v>19925</v>
      </c>
      <c r="P23" s="10">
        <v>19947</v>
      </c>
      <c r="Q23" s="6">
        <f t="shared" si="0"/>
        <v>171802</v>
      </c>
      <c r="R23" s="15">
        <f t="shared" si="1"/>
        <v>0.18357617718990049</v>
      </c>
    </row>
    <row r="24" spans="1:18">
      <c r="A24" s="1" t="s">
        <v>137</v>
      </c>
      <c r="B24" s="1" t="s">
        <v>158</v>
      </c>
      <c r="C24" s="1" t="s">
        <v>159</v>
      </c>
      <c r="D24" s="6">
        <f>'2013 pax'!Q24</f>
        <v>1210870</v>
      </c>
      <c r="E24" s="10">
        <v>132923</v>
      </c>
      <c r="F24" s="10">
        <v>97847</v>
      </c>
      <c r="G24" s="10">
        <v>103445</v>
      </c>
      <c r="H24" s="10">
        <v>98317</v>
      </c>
      <c r="I24" s="10">
        <v>99360</v>
      </c>
      <c r="J24" s="10">
        <v>86807</v>
      </c>
      <c r="K24" s="10">
        <v>111851</v>
      </c>
      <c r="L24" s="10">
        <v>105583</v>
      </c>
      <c r="M24" s="10">
        <v>108641</v>
      </c>
      <c r="N24" s="10">
        <v>125767</v>
      </c>
      <c r="O24" s="10">
        <v>121920</v>
      </c>
      <c r="P24" s="10">
        <v>134501</v>
      </c>
      <c r="Q24" s="6">
        <f t="shared" si="0"/>
        <v>1326962</v>
      </c>
      <c r="R24" s="15">
        <f t="shared" si="1"/>
        <v>9.5874866831286543E-2</v>
      </c>
    </row>
    <row r="25" spans="1:18">
      <c r="A25" s="1" t="s">
        <v>137</v>
      </c>
      <c r="B25" s="3" t="s">
        <v>228</v>
      </c>
      <c r="C25" s="3" t="s">
        <v>229</v>
      </c>
      <c r="D25" s="6">
        <f>'2013 pax'!Q25</f>
        <v>357205</v>
      </c>
      <c r="E25" s="10">
        <v>41690</v>
      </c>
      <c r="F25" s="10">
        <v>36532</v>
      </c>
      <c r="G25" s="10">
        <v>40049</v>
      </c>
      <c r="H25" s="10">
        <v>42763</v>
      </c>
      <c r="I25" s="10">
        <v>38974</v>
      </c>
      <c r="J25" s="10">
        <v>30921</v>
      </c>
      <c r="K25" s="10">
        <v>43096</v>
      </c>
      <c r="L25" s="10">
        <v>42555</v>
      </c>
      <c r="M25" s="10">
        <v>41079</v>
      </c>
      <c r="N25" s="10">
        <v>50431</v>
      </c>
      <c r="O25" s="10">
        <v>43629</v>
      </c>
      <c r="P25" s="10">
        <v>41520</v>
      </c>
      <c r="Q25" s="6">
        <f t="shared" si="0"/>
        <v>493239</v>
      </c>
      <c r="R25" s="15">
        <f t="shared" si="1"/>
        <v>0.38082893576517685</v>
      </c>
    </row>
    <row r="26" spans="1:18">
      <c r="A26" s="1" t="s">
        <v>137</v>
      </c>
      <c r="B26" s="1" t="s">
        <v>160</v>
      </c>
      <c r="C26" s="1" t="s">
        <v>161</v>
      </c>
      <c r="D26" s="6">
        <f>'2013 pax'!Q26</f>
        <v>387990</v>
      </c>
      <c r="E26" s="10">
        <v>43529</v>
      </c>
      <c r="F26" s="10">
        <v>32369</v>
      </c>
      <c r="G26" s="10">
        <v>32389</v>
      </c>
      <c r="H26" s="10">
        <v>33751</v>
      </c>
      <c r="I26" s="10">
        <v>35657</v>
      </c>
      <c r="J26" s="10">
        <v>31708</v>
      </c>
      <c r="K26" s="10">
        <v>35245</v>
      </c>
      <c r="L26" s="10">
        <v>35881</v>
      </c>
      <c r="M26" s="10">
        <v>34849</v>
      </c>
      <c r="N26" s="10">
        <v>36013</v>
      </c>
      <c r="O26" s="10">
        <v>32863</v>
      </c>
      <c r="P26" s="10">
        <v>34641</v>
      </c>
      <c r="Q26" s="6">
        <f t="shared" si="0"/>
        <v>418895</v>
      </c>
      <c r="R26" s="15">
        <f t="shared" si="1"/>
        <v>7.965411479677309E-2</v>
      </c>
    </row>
    <row r="27" spans="1:18">
      <c r="A27" s="1" t="s">
        <v>137</v>
      </c>
      <c r="B27" s="3" t="s">
        <v>230</v>
      </c>
      <c r="C27" s="3" t="s">
        <v>231</v>
      </c>
      <c r="D27" s="6">
        <f>'2013 pax'!Q27</f>
        <v>1051211</v>
      </c>
      <c r="E27" s="10">
        <v>99231</v>
      </c>
      <c r="F27" s="10">
        <v>86216</v>
      </c>
      <c r="G27" s="10">
        <v>91686</v>
      </c>
      <c r="H27" s="10">
        <v>95078</v>
      </c>
      <c r="I27" s="10">
        <v>97286</v>
      </c>
      <c r="J27" s="10">
        <v>85993</v>
      </c>
      <c r="K27" s="10">
        <v>99685</v>
      </c>
      <c r="L27" s="10">
        <v>95845</v>
      </c>
      <c r="M27" s="10">
        <v>93088</v>
      </c>
      <c r="N27" s="10">
        <v>99078</v>
      </c>
      <c r="O27" s="10">
        <v>90720</v>
      </c>
      <c r="P27" s="10">
        <v>98089</v>
      </c>
      <c r="Q27" s="6">
        <f t="shared" si="0"/>
        <v>1131995</v>
      </c>
      <c r="R27" s="15">
        <f t="shared" si="1"/>
        <v>7.6848510907895795E-2</v>
      </c>
    </row>
    <row r="28" spans="1:18">
      <c r="A28" s="1" t="s">
        <v>137</v>
      </c>
      <c r="B28" s="1" t="s">
        <v>198</v>
      </c>
      <c r="C28" s="1" t="s">
        <v>199</v>
      </c>
      <c r="D28" s="6">
        <f>'2013 pax'!Q28</f>
        <v>433299</v>
      </c>
      <c r="E28" s="10">
        <v>37157</v>
      </c>
      <c r="F28" s="10">
        <v>31856</v>
      </c>
      <c r="G28" s="10">
        <v>35441</v>
      </c>
      <c r="H28" s="10">
        <v>36024</v>
      </c>
      <c r="I28" s="10">
        <v>38487</v>
      </c>
      <c r="J28" s="10">
        <v>34926</v>
      </c>
      <c r="K28" s="10">
        <v>40460</v>
      </c>
      <c r="L28" s="10">
        <v>39529</v>
      </c>
      <c r="M28" s="10">
        <v>39163</v>
      </c>
      <c r="N28" s="10">
        <v>42248</v>
      </c>
      <c r="O28" s="10">
        <v>37378</v>
      </c>
      <c r="P28" s="10">
        <v>37542</v>
      </c>
      <c r="Q28" s="6">
        <f t="shared" si="0"/>
        <v>450211</v>
      </c>
      <c r="R28" s="15">
        <f t="shared" si="1"/>
        <v>3.9030784746791447E-2</v>
      </c>
    </row>
    <row r="29" spans="1:18">
      <c r="A29" s="1" t="s">
        <v>137</v>
      </c>
      <c r="B29" s="1" t="s">
        <v>178</v>
      </c>
      <c r="C29" s="1" t="s">
        <v>179</v>
      </c>
      <c r="D29" s="6">
        <f>'2013 pax'!Q29</f>
        <v>624716</v>
      </c>
      <c r="E29" s="10">
        <v>70589</v>
      </c>
      <c r="F29" s="10">
        <v>58286</v>
      </c>
      <c r="G29" s="10">
        <v>52446</v>
      </c>
      <c r="H29" s="10">
        <v>57426</v>
      </c>
      <c r="I29" s="10">
        <v>61329</v>
      </c>
      <c r="J29" s="10">
        <v>55056</v>
      </c>
      <c r="K29" s="10">
        <v>71444</v>
      </c>
      <c r="L29" s="10">
        <v>64487</v>
      </c>
      <c r="M29" s="10">
        <v>54404</v>
      </c>
      <c r="N29" s="10">
        <v>62570</v>
      </c>
      <c r="O29" s="10">
        <v>63294</v>
      </c>
      <c r="P29" s="10">
        <v>68642</v>
      </c>
      <c r="Q29" s="6">
        <f t="shared" si="0"/>
        <v>739973</v>
      </c>
      <c r="R29" s="15">
        <f t="shared" si="1"/>
        <v>0.18449503454369665</v>
      </c>
    </row>
    <row r="30" spans="1:18">
      <c r="A30" s="1" t="s">
        <v>137</v>
      </c>
      <c r="B30" s="1" t="s">
        <v>142</v>
      </c>
      <c r="C30" s="1" t="s">
        <v>143</v>
      </c>
      <c r="D30" s="6">
        <f>'2013 pax'!Q30</f>
        <v>1893488</v>
      </c>
      <c r="E30" s="10">
        <v>205811</v>
      </c>
      <c r="F30" s="10">
        <v>150686</v>
      </c>
      <c r="G30" s="10">
        <v>158027</v>
      </c>
      <c r="H30" s="10">
        <v>147258</v>
      </c>
      <c r="I30" s="10">
        <v>134585</v>
      </c>
      <c r="J30" s="10">
        <v>118926</v>
      </c>
      <c r="K30" s="10">
        <v>156568</v>
      </c>
      <c r="L30" s="10">
        <v>144209</v>
      </c>
      <c r="M30" s="10">
        <v>146192</v>
      </c>
      <c r="N30" s="10">
        <v>170082</v>
      </c>
      <c r="O30" s="10">
        <v>168723</v>
      </c>
      <c r="P30" s="10">
        <v>191678</v>
      </c>
      <c r="Q30" s="6">
        <f t="shared" si="0"/>
        <v>1892745</v>
      </c>
      <c r="R30" s="15">
        <f t="shared" si="1"/>
        <v>-3.9239752245590065E-4</v>
      </c>
    </row>
    <row r="31" spans="1:18">
      <c r="A31" s="1" t="s">
        <v>137</v>
      </c>
      <c r="B31" s="1" t="s">
        <v>188</v>
      </c>
      <c r="C31" s="1" t="s">
        <v>189</v>
      </c>
      <c r="D31" s="6">
        <f>'2013 pax'!Q31</f>
        <v>3077077</v>
      </c>
      <c r="E31" s="10">
        <v>309179</v>
      </c>
      <c r="F31" s="10">
        <v>257515</v>
      </c>
      <c r="G31" s="10">
        <v>258539</v>
      </c>
      <c r="H31" s="10">
        <v>262220</v>
      </c>
      <c r="I31" s="10">
        <v>263828</v>
      </c>
      <c r="J31" s="10">
        <v>286872</v>
      </c>
      <c r="K31" s="10">
        <v>290733</v>
      </c>
      <c r="L31" s="10">
        <v>288474</v>
      </c>
      <c r="M31" s="10">
        <v>279276</v>
      </c>
      <c r="N31" s="10">
        <v>292623</v>
      </c>
      <c r="O31" s="10">
        <v>277886</v>
      </c>
      <c r="P31" s="10">
        <v>310690</v>
      </c>
      <c r="Q31" s="6">
        <f t="shared" si="0"/>
        <v>3377835</v>
      </c>
      <c r="R31" s="15">
        <f t="shared" si="1"/>
        <v>9.7741460483439235E-2</v>
      </c>
    </row>
    <row r="32" spans="1:18">
      <c r="A32" s="1" t="s">
        <v>137</v>
      </c>
      <c r="B32" s="1" t="s">
        <v>176</v>
      </c>
      <c r="C32" s="1" t="s">
        <v>177</v>
      </c>
      <c r="D32" s="6">
        <f>'2013 pax'!Q32</f>
        <v>458106</v>
      </c>
      <c r="E32" s="10">
        <v>41889</v>
      </c>
      <c r="F32" s="10">
        <v>34885</v>
      </c>
      <c r="G32" s="10">
        <v>35115</v>
      </c>
      <c r="H32" s="10">
        <v>40434</v>
      </c>
      <c r="I32" s="10">
        <v>42153</v>
      </c>
      <c r="J32" s="10">
        <v>38018</v>
      </c>
      <c r="K32" s="10">
        <v>41686</v>
      </c>
      <c r="L32" s="10">
        <v>40115</v>
      </c>
      <c r="M32" s="10">
        <v>36176</v>
      </c>
      <c r="N32" s="10">
        <v>33398</v>
      </c>
      <c r="O32" s="10">
        <v>31450</v>
      </c>
      <c r="P32" s="10">
        <v>37620</v>
      </c>
      <c r="Q32" s="6">
        <f t="shared" si="0"/>
        <v>452939</v>
      </c>
      <c r="R32" s="15">
        <f t="shared" si="1"/>
        <v>-1.1279048953735549E-2</v>
      </c>
    </row>
    <row r="33" spans="1:18">
      <c r="A33" s="1" t="s">
        <v>137</v>
      </c>
      <c r="B33" s="3" t="s">
        <v>206</v>
      </c>
      <c r="C33" s="3" t="s">
        <v>207</v>
      </c>
      <c r="D33" s="6">
        <f>'2013 pax'!Q33</f>
        <v>326702</v>
      </c>
      <c r="E33" s="10">
        <v>31286</v>
      </c>
      <c r="F33" s="10">
        <v>27894</v>
      </c>
      <c r="G33" s="10">
        <v>26756</v>
      </c>
      <c r="H33" s="10">
        <v>26202</v>
      </c>
      <c r="I33" s="10">
        <v>27400</v>
      </c>
      <c r="J33" s="10">
        <v>27059</v>
      </c>
      <c r="K33" s="10">
        <v>29866</v>
      </c>
      <c r="L33" s="10">
        <v>26340</v>
      </c>
      <c r="M33" s="10">
        <v>27395</v>
      </c>
      <c r="N33" s="10">
        <v>36974</v>
      </c>
      <c r="O33" s="10">
        <v>32024</v>
      </c>
      <c r="P33" s="10">
        <v>36277</v>
      </c>
      <c r="Q33" s="6">
        <f t="shared" si="0"/>
        <v>355473</v>
      </c>
      <c r="R33" s="15">
        <f t="shared" si="1"/>
        <v>8.8064964401809664E-2</v>
      </c>
    </row>
    <row r="34" spans="1:18">
      <c r="A34" s="1" t="s">
        <v>137</v>
      </c>
      <c r="B34" s="1" t="s">
        <v>164</v>
      </c>
      <c r="C34" s="1" t="s">
        <v>165</v>
      </c>
      <c r="D34" s="6">
        <f>'2013 pax'!Q34</f>
        <v>2375771</v>
      </c>
      <c r="E34" s="10">
        <v>254278</v>
      </c>
      <c r="F34" s="10">
        <v>195914</v>
      </c>
      <c r="G34" s="10">
        <v>202963</v>
      </c>
      <c r="H34" s="10">
        <v>190044</v>
      </c>
      <c r="I34" s="10">
        <v>176455</v>
      </c>
      <c r="J34" s="10">
        <v>182073</v>
      </c>
      <c r="K34" s="10">
        <v>211823</v>
      </c>
      <c r="L34" s="10">
        <v>189405</v>
      </c>
      <c r="M34" s="10">
        <v>193527</v>
      </c>
      <c r="N34" s="10">
        <v>227410</v>
      </c>
      <c r="O34" s="10">
        <v>223360</v>
      </c>
      <c r="P34" s="10">
        <v>269619</v>
      </c>
      <c r="Q34" s="6">
        <f t="shared" si="0"/>
        <v>2516871</v>
      </c>
      <c r="R34" s="15">
        <f t="shared" si="1"/>
        <v>5.9391246041811341E-2</v>
      </c>
    </row>
    <row r="35" spans="1:18">
      <c r="A35" s="1" t="s">
        <v>137</v>
      </c>
      <c r="B35" s="3" t="s">
        <v>232</v>
      </c>
      <c r="C35" s="3" t="s">
        <v>233</v>
      </c>
      <c r="D35" s="6">
        <f>'2013 pax'!Q35</f>
        <v>1202625</v>
      </c>
      <c r="E35" s="10">
        <v>127873</v>
      </c>
      <c r="F35" s="10">
        <v>101033</v>
      </c>
      <c r="G35" s="10">
        <v>107633</v>
      </c>
      <c r="H35" s="10">
        <v>107230</v>
      </c>
      <c r="I35" s="10">
        <v>111188</v>
      </c>
      <c r="J35" s="10">
        <v>85256</v>
      </c>
      <c r="K35" s="10">
        <v>111369</v>
      </c>
      <c r="L35" s="10">
        <v>115672</v>
      </c>
      <c r="M35" s="10">
        <v>112105</v>
      </c>
      <c r="N35" s="10">
        <v>129389</v>
      </c>
      <c r="O35" s="10">
        <v>119023</v>
      </c>
      <c r="P35" s="10">
        <v>123783</v>
      </c>
      <c r="Q35" s="6">
        <f t="shared" si="0"/>
        <v>1351554</v>
      </c>
      <c r="R35" s="15">
        <f t="shared" si="1"/>
        <v>0.12383660742126601</v>
      </c>
    </row>
    <row r="36" spans="1:18">
      <c r="A36" s="1" t="s">
        <v>137</v>
      </c>
      <c r="B36" s="1" t="s">
        <v>154</v>
      </c>
      <c r="C36" s="1" t="s">
        <v>155</v>
      </c>
      <c r="D36" s="6">
        <f>'2013 pax'!Q36</f>
        <v>563488</v>
      </c>
      <c r="E36" s="10">
        <v>49319</v>
      </c>
      <c r="F36" s="10">
        <v>42767</v>
      </c>
      <c r="G36" s="10">
        <v>46519</v>
      </c>
      <c r="H36" s="10">
        <v>48907</v>
      </c>
      <c r="I36" s="10">
        <v>57455</v>
      </c>
      <c r="J36" s="10">
        <v>49917</v>
      </c>
      <c r="K36" s="10">
        <v>64552</v>
      </c>
      <c r="L36" s="10">
        <v>57449</v>
      </c>
      <c r="M36" s="10">
        <v>53489</v>
      </c>
      <c r="N36" s="10">
        <v>53701</v>
      </c>
      <c r="O36" s="10">
        <v>52363</v>
      </c>
      <c r="P36" s="10">
        <v>57695</v>
      </c>
      <c r="Q36" s="6">
        <f t="shared" si="0"/>
        <v>634133</v>
      </c>
      <c r="R36" s="15">
        <f t="shared" si="1"/>
        <v>0.12537090408313922</v>
      </c>
    </row>
    <row r="37" spans="1:18">
      <c r="A37" s="1" t="s">
        <v>137</v>
      </c>
      <c r="B37" s="7" t="s">
        <v>202</v>
      </c>
      <c r="C37" s="7" t="s">
        <v>203</v>
      </c>
      <c r="D37" s="6">
        <f>'2013 pax'!Q37</f>
        <v>989332</v>
      </c>
      <c r="E37" s="10">
        <v>71946</v>
      </c>
      <c r="F37" s="10">
        <v>72179</v>
      </c>
      <c r="G37" s="10">
        <v>71782</v>
      </c>
      <c r="H37" s="10">
        <v>77428</v>
      </c>
      <c r="I37" s="10">
        <v>78278</v>
      </c>
      <c r="J37" s="10">
        <v>74511</v>
      </c>
      <c r="K37" s="10">
        <v>83277</v>
      </c>
      <c r="L37" s="10">
        <v>82281</v>
      </c>
      <c r="M37" s="10">
        <v>84314</v>
      </c>
      <c r="N37" s="10">
        <v>87681</v>
      </c>
      <c r="O37" s="10">
        <v>90156</v>
      </c>
      <c r="P37" s="10">
        <v>69864</v>
      </c>
      <c r="Q37" s="6">
        <f t="shared" si="0"/>
        <v>943697</v>
      </c>
      <c r="R37" s="15">
        <f t="shared" si="1"/>
        <v>-4.6127083729223362E-2</v>
      </c>
    </row>
    <row r="38" spans="1:18">
      <c r="A38" s="1" t="s">
        <v>137</v>
      </c>
      <c r="B38" s="1" t="s">
        <v>166</v>
      </c>
      <c r="C38" s="1" t="s">
        <v>167</v>
      </c>
      <c r="D38" s="6">
        <f>'2013 pax'!Q38</f>
        <v>473482</v>
      </c>
      <c r="E38" s="10">
        <v>45300</v>
      </c>
      <c r="F38" s="10">
        <v>36807</v>
      </c>
      <c r="G38" s="10">
        <v>37400</v>
      </c>
      <c r="H38" s="10">
        <v>38448</v>
      </c>
      <c r="I38" s="10">
        <v>42186</v>
      </c>
      <c r="J38" s="10">
        <v>39408</v>
      </c>
      <c r="K38" s="10">
        <v>44488</v>
      </c>
      <c r="L38" s="10">
        <v>40479</v>
      </c>
      <c r="M38" s="10">
        <v>41323</v>
      </c>
      <c r="N38" s="10">
        <v>44711</v>
      </c>
      <c r="O38" s="10">
        <v>41376</v>
      </c>
      <c r="P38" s="10">
        <v>47189</v>
      </c>
      <c r="Q38" s="6">
        <f t="shared" si="0"/>
        <v>499115</v>
      </c>
      <c r="R38" s="15">
        <f t="shared" si="1"/>
        <v>5.4137221689525727E-2</v>
      </c>
    </row>
    <row r="39" spans="1:18">
      <c r="A39" s="1" t="s">
        <v>137</v>
      </c>
      <c r="B39" s="3" t="s">
        <v>234</v>
      </c>
      <c r="C39" s="3" t="s">
        <v>235</v>
      </c>
      <c r="D39" s="6">
        <f>'2013 pax'!Q39</f>
        <v>7993164</v>
      </c>
      <c r="E39" s="10">
        <v>721871</v>
      </c>
      <c r="F39" s="10">
        <v>664653</v>
      </c>
      <c r="G39" s="10">
        <v>675929</v>
      </c>
      <c r="H39" s="10">
        <v>690128</v>
      </c>
      <c r="I39" s="10">
        <v>694945</v>
      </c>
      <c r="J39" s="10">
        <v>602368</v>
      </c>
      <c r="K39" s="10">
        <v>715778</v>
      </c>
      <c r="L39" s="10">
        <v>736495</v>
      </c>
      <c r="M39" s="10">
        <v>694000</v>
      </c>
      <c r="N39" s="10">
        <v>731684</v>
      </c>
      <c r="O39" s="10">
        <v>745738</v>
      </c>
      <c r="P39" s="10">
        <v>773791</v>
      </c>
      <c r="Q39" s="6">
        <f t="shared" si="0"/>
        <v>8447380</v>
      </c>
      <c r="R39" s="15">
        <f t="shared" si="1"/>
        <v>5.6825557438831442E-2</v>
      </c>
    </row>
    <row r="40" spans="1:18">
      <c r="A40" s="1" t="s">
        <v>137</v>
      </c>
      <c r="B40" s="1" t="s">
        <v>190</v>
      </c>
      <c r="C40" s="1" t="s">
        <v>191</v>
      </c>
      <c r="D40" s="6">
        <f>'2013 pax'!Q40</f>
        <v>905103</v>
      </c>
      <c r="E40" s="10">
        <v>88689</v>
      </c>
      <c r="F40" s="10">
        <v>72614</v>
      </c>
      <c r="G40" s="10">
        <v>68779</v>
      </c>
      <c r="H40" s="10">
        <v>70127</v>
      </c>
      <c r="I40" s="10">
        <v>70549</v>
      </c>
      <c r="J40" s="10">
        <v>63967</v>
      </c>
      <c r="K40" s="10">
        <v>78866</v>
      </c>
      <c r="L40" s="10">
        <v>77069</v>
      </c>
      <c r="M40" s="10">
        <v>69709</v>
      </c>
      <c r="N40" s="10">
        <v>72821</v>
      </c>
      <c r="O40" s="10">
        <v>72612</v>
      </c>
      <c r="P40" s="10">
        <v>86823</v>
      </c>
      <c r="Q40" s="6">
        <f t="shared" si="0"/>
        <v>892625</v>
      </c>
      <c r="R40" s="15">
        <f t="shared" si="1"/>
        <v>-1.3786276258061281E-2</v>
      </c>
    </row>
    <row r="41" spans="1:18">
      <c r="A41" s="1" t="s">
        <v>137</v>
      </c>
      <c r="B41" s="1" t="s">
        <v>168</v>
      </c>
      <c r="C41" s="1" t="s">
        <v>169</v>
      </c>
      <c r="D41" s="6">
        <f>'2013 pax'!Q41</f>
        <v>6817790</v>
      </c>
      <c r="E41" s="10">
        <v>668725</v>
      </c>
      <c r="F41" s="10">
        <v>543595</v>
      </c>
      <c r="G41" s="10">
        <v>764044</v>
      </c>
      <c r="H41" s="10">
        <v>537299</v>
      </c>
      <c r="I41" s="10">
        <v>559525</v>
      </c>
      <c r="J41" s="10">
        <v>600253</v>
      </c>
      <c r="K41" s="10">
        <v>654966</v>
      </c>
      <c r="L41" s="10">
        <v>579189</v>
      </c>
      <c r="M41" s="10">
        <v>576722</v>
      </c>
      <c r="N41" s="10">
        <v>615587</v>
      </c>
      <c r="O41" s="10">
        <v>593430</v>
      </c>
      <c r="P41" s="10">
        <v>670421</v>
      </c>
      <c r="Q41" s="6">
        <f t="shared" si="0"/>
        <v>7363756</v>
      </c>
      <c r="R41" s="15">
        <f t="shared" si="1"/>
        <v>8.0079615241889224E-2</v>
      </c>
    </row>
    <row r="42" spans="1:18">
      <c r="A42" s="1" t="s">
        <v>137</v>
      </c>
      <c r="B42" s="1" t="s">
        <v>192</v>
      </c>
      <c r="C42" s="1" t="s">
        <v>193</v>
      </c>
      <c r="D42" s="6">
        <f>'2013 pax'!Q42</f>
        <v>378130</v>
      </c>
      <c r="E42" s="10">
        <v>36575</v>
      </c>
      <c r="F42" s="10">
        <v>33307</v>
      </c>
      <c r="G42" s="10">
        <v>36326</v>
      </c>
      <c r="H42" s="10">
        <v>32940</v>
      </c>
      <c r="I42" s="10">
        <v>34460</v>
      </c>
      <c r="J42" s="10">
        <v>29847</v>
      </c>
      <c r="K42" s="10">
        <v>31402</v>
      </c>
      <c r="L42" s="10">
        <v>38083</v>
      </c>
      <c r="M42" s="10">
        <v>32222</v>
      </c>
      <c r="N42" s="10">
        <v>25796</v>
      </c>
      <c r="O42" s="10">
        <v>24435</v>
      </c>
      <c r="P42" s="10">
        <v>29427</v>
      </c>
      <c r="Q42" s="6">
        <f t="shared" si="0"/>
        <v>384820</v>
      </c>
      <c r="R42" s="15">
        <f t="shared" si="1"/>
        <v>1.7692328035331828E-2</v>
      </c>
    </row>
    <row r="43" spans="1:18">
      <c r="A43" s="1" t="s">
        <v>137</v>
      </c>
      <c r="B43" s="1" t="s">
        <v>144</v>
      </c>
      <c r="C43" s="1" t="s">
        <v>145</v>
      </c>
      <c r="D43" s="6">
        <f>'2013 pax'!Q43</f>
        <v>8475643</v>
      </c>
      <c r="E43" s="10">
        <v>835745</v>
      </c>
      <c r="F43" s="10">
        <v>677486</v>
      </c>
      <c r="G43" s="10">
        <v>737359</v>
      </c>
      <c r="H43" s="10">
        <v>668220</v>
      </c>
      <c r="I43" s="10">
        <v>684882</v>
      </c>
      <c r="J43" s="10">
        <v>734243</v>
      </c>
      <c r="K43" s="10">
        <v>778283</v>
      </c>
      <c r="L43" s="10">
        <v>744648</v>
      </c>
      <c r="M43" s="10">
        <v>724861</v>
      </c>
      <c r="N43" s="10">
        <v>814176</v>
      </c>
      <c r="O43" s="10">
        <v>766550</v>
      </c>
      <c r="P43" s="10">
        <v>883600</v>
      </c>
      <c r="Q43" s="6">
        <f t="shared" si="0"/>
        <v>9050053</v>
      </c>
      <c r="R43" s="15">
        <f t="shared" si="1"/>
        <v>6.7771849286242913E-2</v>
      </c>
    </row>
    <row r="44" spans="1:18">
      <c r="A44" s="1" t="s">
        <v>137</v>
      </c>
      <c r="B44" s="1" t="s">
        <v>182</v>
      </c>
      <c r="C44" s="1" t="s">
        <v>183</v>
      </c>
      <c r="D44" s="6">
        <f>'2013 pax'!Q44</f>
        <v>499588</v>
      </c>
      <c r="E44" s="10">
        <v>50369</v>
      </c>
      <c r="F44" s="10">
        <v>42405</v>
      </c>
      <c r="G44" s="10">
        <v>42304</v>
      </c>
      <c r="H44" s="10">
        <v>42883</v>
      </c>
      <c r="I44" s="10">
        <v>44453</v>
      </c>
      <c r="J44" s="10">
        <v>42593</v>
      </c>
      <c r="K44" s="10">
        <v>56141</v>
      </c>
      <c r="L44" s="10">
        <v>33732</v>
      </c>
      <c r="M44" s="10">
        <v>47358</v>
      </c>
      <c r="N44" s="10">
        <v>58499</v>
      </c>
      <c r="O44" s="10">
        <v>56005</v>
      </c>
      <c r="P44" s="10">
        <v>55873</v>
      </c>
      <c r="Q44" s="6">
        <f t="shared" si="0"/>
        <v>572615</v>
      </c>
      <c r="R44" s="15">
        <f t="shared" si="1"/>
        <v>0.14617444774494182</v>
      </c>
    </row>
    <row r="45" spans="1:18">
      <c r="A45" s="1" t="s">
        <v>137</v>
      </c>
      <c r="B45" s="7" t="s">
        <v>200</v>
      </c>
      <c r="C45" s="7" t="s">
        <v>201</v>
      </c>
      <c r="D45" s="6">
        <f>'2013 pax'!Q45</f>
        <v>9102187</v>
      </c>
      <c r="E45" s="10">
        <v>812669</v>
      </c>
      <c r="F45" s="10">
        <v>728163</v>
      </c>
      <c r="G45" s="10">
        <v>764044</v>
      </c>
      <c r="H45" s="10">
        <v>771332</v>
      </c>
      <c r="I45" s="10">
        <v>804265</v>
      </c>
      <c r="J45" s="10">
        <v>705520</v>
      </c>
      <c r="K45" s="10">
        <v>812206</v>
      </c>
      <c r="L45" s="10">
        <v>876702</v>
      </c>
      <c r="M45" s="10">
        <v>863249</v>
      </c>
      <c r="N45" s="10">
        <v>923099</v>
      </c>
      <c r="O45" s="10">
        <v>903412</v>
      </c>
      <c r="P45" s="10">
        <v>923672</v>
      </c>
      <c r="Q45" s="6">
        <f t="shared" si="0"/>
        <v>9888333</v>
      </c>
      <c r="R45" s="15">
        <f t="shared" si="1"/>
        <v>8.6368913317206086E-2</v>
      </c>
    </row>
    <row r="46" spans="1:18">
      <c r="A46" s="1" t="s">
        <v>137</v>
      </c>
      <c r="B46" s="3" t="s">
        <v>218</v>
      </c>
      <c r="C46" s="3" t="s">
        <v>219</v>
      </c>
      <c r="D46" s="6">
        <f>'2013 pax'!Q46</f>
        <v>150958</v>
      </c>
      <c r="E46" s="10">
        <v>5241</v>
      </c>
      <c r="F46" s="10">
        <v>7154</v>
      </c>
      <c r="G46" s="10">
        <v>7839</v>
      </c>
      <c r="H46" s="10">
        <v>7750</v>
      </c>
      <c r="I46" s="10">
        <v>9112</v>
      </c>
      <c r="J46" s="10">
        <v>7537</v>
      </c>
      <c r="K46" s="10">
        <v>7288</v>
      </c>
      <c r="L46" s="10">
        <v>8761</v>
      </c>
      <c r="M46" s="10">
        <v>6003</v>
      </c>
      <c r="N46" s="10">
        <v>10364</v>
      </c>
      <c r="O46" s="10">
        <v>4305</v>
      </c>
      <c r="P46" s="10">
        <v>4289</v>
      </c>
      <c r="Q46" s="6">
        <f t="shared" si="0"/>
        <v>85643</v>
      </c>
      <c r="R46" s="15">
        <f t="shared" si="1"/>
        <v>-0.43267001417612849</v>
      </c>
    </row>
    <row r="47" spans="1:18">
      <c r="A47" s="1" t="s">
        <v>137</v>
      </c>
      <c r="B47" s="1" t="s">
        <v>180</v>
      </c>
      <c r="C47" s="1" t="s">
        <v>181</v>
      </c>
      <c r="D47" s="6">
        <f>'2013 pax'!Q47</f>
        <v>1740656</v>
      </c>
      <c r="E47" s="10">
        <v>162915</v>
      </c>
      <c r="F47" s="10">
        <v>84975</v>
      </c>
      <c r="G47" s="10">
        <v>133465</v>
      </c>
      <c r="H47" s="10">
        <v>137452</v>
      </c>
      <c r="I47" s="10">
        <v>152871</v>
      </c>
      <c r="J47" s="10">
        <v>141250</v>
      </c>
      <c r="K47" s="10">
        <v>135371</v>
      </c>
      <c r="L47" s="10">
        <v>142659</v>
      </c>
      <c r="M47" s="10">
        <v>122738</v>
      </c>
      <c r="N47" s="10">
        <v>152844</v>
      </c>
      <c r="O47" s="10">
        <v>146401</v>
      </c>
      <c r="P47" s="10">
        <v>158430</v>
      </c>
      <c r="Q47" s="6">
        <f t="shared" si="0"/>
        <v>1671371</v>
      </c>
      <c r="R47" s="15">
        <f t="shared" si="1"/>
        <v>-3.980395896719402E-2</v>
      </c>
    </row>
    <row r="48" spans="1:18">
      <c r="A48" s="1" t="s">
        <v>137</v>
      </c>
      <c r="B48" s="1" t="s">
        <v>170</v>
      </c>
      <c r="C48" s="1" t="s">
        <v>171</v>
      </c>
      <c r="D48" s="6">
        <f>'2013 pax'!Q48</f>
        <v>1091173</v>
      </c>
      <c r="E48" s="10">
        <v>102308</v>
      </c>
      <c r="F48" s="10">
        <v>85442</v>
      </c>
      <c r="G48" s="10">
        <v>86035</v>
      </c>
      <c r="H48" s="10">
        <v>93709</v>
      </c>
      <c r="I48" s="10">
        <v>96849</v>
      </c>
      <c r="J48" s="10">
        <v>93799</v>
      </c>
      <c r="K48" s="10">
        <v>109180</v>
      </c>
      <c r="L48" s="10">
        <v>103086</v>
      </c>
      <c r="M48" s="10">
        <v>93430</v>
      </c>
      <c r="N48" s="10">
        <v>98389</v>
      </c>
      <c r="O48" s="10">
        <v>97654</v>
      </c>
      <c r="P48" s="10">
        <v>113842</v>
      </c>
      <c r="Q48" s="6">
        <f t="shared" si="0"/>
        <v>1173723</v>
      </c>
      <c r="R48" s="15">
        <f t="shared" si="1"/>
        <v>7.5652531725033612E-2</v>
      </c>
    </row>
    <row r="49" spans="1:20">
      <c r="A49" s="1" t="s">
        <v>137</v>
      </c>
      <c r="B49" s="1" t="s">
        <v>490</v>
      </c>
      <c r="C49" s="1" t="s">
        <v>491</v>
      </c>
      <c r="D49" s="6">
        <f>'2013 pax'!Q49</f>
        <v>147420</v>
      </c>
      <c r="E49" s="10">
        <v>12783</v>
      </c>
      <c r="F49" s="10">
        <v>13167</v>
      </c>
      <c r="G49" s="10">
        <v>12309</v>
      </c>
      <c r="H49" s="10">
        <v>12811</v>
      </c>
      <c r="I49" s="10">
        <v>14728</v>
      </c>
      <c r="J49" s="10">
        <v>12746</v>
      </c>
      <c r="K49" s="10">
        <v>13381</v>
      </c>
      <c r="L49" s="10">
        <v>15334</v>
      </c>
      <c r="M49" s="10">
        <v>14816</v>
      </c>
      <c r="N49" s="10">
        <v>15613</v>
      </c>
      <c r="O49" s="10">
        <v>12472</v>
      </c>
      <c r="P49" s="10">
        <v>10986</v>
      </c>
      <c r="Q49" s="6">
        <f t="shared" si="0"/>
        <v>161146</v>
      </c>
      <c r="R49" s="15">
        <f t="shared" si="1"/>
        <v>9.3108126441459715E-2</v>
      </c>
    </row>
    <row r="50" spans="1:20">
      <c r="A50" s="1" t="s">
        <v>137</v>
      </c>
      <c r="B50" s="3" t="s">
        <v>208</v>
      </c>
      <c r="C50" s="3" t="s">
        <v>209</v>
      </c>
      <c r="D50" s="6">
        <f>'2013 pax'!Q50</f>
        <v>1205687</v>
      </c>
      <c r="E50" s="10">
        <v>99102</v>
      </c>
      <c r="F50" s="10">
        <v>86216</v>
      </c>
      <c r="G50" s="10">
        <v>88476</v>
      </c>
      <c r="H50" s="10">
        <v>95206</v>
      </c>
      <c r="I50" s="10">
        <v>100613</v>
      </c>
      <c r="J50" s="10">
        <v>84750</v>
      </c>
      <c r="K50" s="10">
        <v>93553</v>
      </c>
      <c r="L50" s="10">
        <v>98905</v>
      </c>
      <c r="M50" s="10">
        <v>95065</v>
      </c>
      <c r="N50" s="10">
        <v>102156</v>
      </c>
      <c r="O50" s="10">
        <v>95215</v>
      </c>
      <c r="P50" s="10">
        <v>96954</v>
      </c>
      <c r="Q50" s="6">
        <f t="shared" si="0"/>
        <v>1136211</v>
      </c>
      <c r="R50" s="15">
        <f t="shared" si="1"/>
        <v>-5.7623578922224472E-2</v>
      </c>
    </row>
    <row r="51" spans="1:20">
      <c r="A51" s="1" t="s">
        <v>137</v>
      </c>
      <c r="B51" s="3" t="s">
        <v>210</v>
      </c>
      <c r="C51" s="3" t="s">
        <v>211</v>
      </c>
      <c r="D51" s="6">
        <f>'2013 pax'!Q51</f>
        <v>3450695</v>
      </c>
      <c r="E51" s="33">
        <v>344687</v>
      </c>
      <c r="F51" s="10">
        <v>275815</v>
      </c>
      <c r="G51" s="10">
        <v>286517</v>
      </c>
      <c r="H51" s="10">
        <v>294146</v>
      </c>
      <c r="I51" s="10">
        <v>291733</v>
      </c>
      <c r="J51" s="10">
        <v>256177</v>
      </c>
      <c r="K51" s="10">
        <v>290708</v>
      </c>
      <c r="L51" s="10">
        <v>298999</v>
      </c>
      <c r="M51" s="10">
        <v>291154</v>
      </c>
      <c r="N51" s="10">
        <v>291436</v>
      </c>
      <c r="O51" s="10">
        <v>285237</v>
      </c>
      <c r="P51" s="10">
        <v>315898</v>
      </c>
      <c r="Q51" s="6">
        <f t="shared" si="0"/>
        <v>3522507</v>
      </c>
      <c r="R51" s="15">
        <f t="shared" si="1"/>
        <v>2.0810880127046794E-2</v>
      </c>
    </row>
    <row r="52" spans="1:20" ht="15.75">
      <c r="A52" s="1" t="s">
        <v>66</v>
      </c>
      <c r="B52" s="1" t="s">
        <v>362</v>
      </c>
      <c r="C52" s="7" t="s">
        <v>72</v>
      </c>
      <c r="D52" s="6">
        <f>'2013 pax'!Q52</f>
        <v>14317499</v>
      </c>
      <c r="E52" s="10">
        <v>1172227</v>
      </c>
      <c r="F52" s="10">
        <v>1153229</v>
      </c>
      <c r="G52" s="10">
        <v>1248097</v>
      </c>
      <c r="H52" s="10">
        <v>1255108</v>
      </c>
      <c r="I52" s="10">
        <v>1225529</v>
      </c>
      <c r="J52" s="10">
        <v>1264770</v>
      </c>
      <c r="K52" s="10">
        <v>1445587</v>
      </c>
      <c r="L52" s="10">
        <v>1523078</v>
      </c>
      <c r="M52" s="10">
        <v>1262281</v>
      </c>
      <c r="N52" s="10">
        <v>1276058</v>
      </c>
      <c r="O52" s="10">
        <v>1164379</v>
      </c>
      <c r="P52" s="10">
        <v>1262911</v>
      </c>
      <c r="Q52" s="6">
        <f>SUM(E52:P52)</f>
        <v>15253254</v>
      </c>
      <c r="R52" s="15">
        <f>Q52/D52-1</f>
        <v>6.535743428373908E-2</v>
      </c>
    </row>
    <row r="53" spans="1:20">
      <c r="A53" s="1" t="s">
        <v>66</v>
      </c>
      <c r="B53" s="1" t="s">
        <v>73</v>
      </c>
      <c r="C53" s="7" t="s">
        <v>74</v>
      </c>
      <c r="D53" s="6">
        <f>'2013 pax'!Q53</f>
        <v>6983221</v>
      </c>
      <c r="E53" s="10">
        <v>583916</v>
      </c>
      <c r="F53" s="10">
        <v>567439</v>
      </c>
      <c r="G53" s="10">
        <v>624799</v>
      </c>
      <c r="H53" s="10">
        <v>619702</v>
      </c>
      <c r="I53" s="10">
        <v>597749</v>
      </c>
      <c r="J53" s="10">
        <v>593205</v>
      </c>
      <c r="K53" s="10">
        <v>666701</v>
      </c>
      <c r="L53" s="10">
        <v>708775</v>
      </c>
      <c r="M53" s="10">
        <v>591549</v>
      </c>
      <c r="N53" s="10">
        <v>597657</v>
      </c>
      <c r="O53" s="10">
        <v>566073</v>
      </c>
      <c r="P53" s="10">
        <v>614757</v>
      </c>
      <c r="Q53" s="6">
        <f t="shared" si="0"/>
        <v>7332322</v>
      </c>
      <c r="R53" s="15">
        <f>Q53/D53-1</f>
        <v>4.9991400816328246E-2</v>
      </c>
      <c r="S53" s="14"/>
      <c r="T53" s="10"/>
    </row>
    <row r="54" spans="1:20">
      <c r="A54" s="1" t="s">
        <v>66</v>
      </c>
      <c r="B54" s="1" t="s">
        <v>79</v>
      </c>
      <c r="C54" s="7" t="s">
        <v>80</v>
      </c>
      <c r="D54" s="6">
        <f>'2013 pax'!Q54</f>
        <v>3585864</v>
      </c>
      <c r="E54" s="10">
        <v>227452</v>
      </c>
      <c r="F54" s="10">
        <v>233438</v>
      </c>
      <c r="G54" s="10">
        <v>306680</v>
      </c>
      <c r="H54" s="10">
        <v>333562</v>
      </c>
      <c r="I54" s="10">
        <v>320010</v>
      </c>
      <c r="J54" s="10">
        <v>310400</v>
      </c>
      <c r="K54" s="10">
        <v>368107</v>
      </c>
      <c r="L54" s="10">
        <v>405926</v>
      </c>
      <c r="M54" s="10">
        <v>317879</v>
      </c>
      <c r="N54" s="10">
        <v>321992</v>
      </c>
      <c r="O54" s="10">
        <v>249420</v>
      </c>
      <c r="P54" s="10">
        <v>268173</v>
      </c>
      <c r="Q54" s="6">
        <f t="shared" si="0"/>
        <v>3663039</v>
      </c>
      <c r="R54" s="15">
        <f>Q54/D54-1</f>
        <v>2.1522009758317751E-2</v>
      </c>
    </row>
    <row r="55" spans="1:20">
      <c r="A55" s="1" t="s">
        <v>66</v>
      </c>
      <c r="B55" s="1" t="s">
        <v>83</v>
      </c>
      <c r="C55" s="7" t="s">
        <v>84</v>
      </c>
      <c r="D55" s="6">
        <f>'2013 pax'!Q55</f>
        <v>1503288</v>
      </c>
      <c r="E55" s="10">
        <v>135422</v>
      </c>
      <c r="F55" s="10">
        <v>136094</v>
      </c>
      <c r="G55" s="10">
        <v>141392</v>
      </c>
      <c r="H55" s="10">
        <v>122064</v>
      </c>
      <c r="I55" s="10">
        <v>121405</v>
      </c>
      <c r="J55" s="10">
        <v>124274</v>
      </c>
      <c r="K55" s="10">
        <v>141118</v>
      </c>
      <c r="L55" s="10">
        <v>152677</v>
      </c>
      <c r="M55" s="10">
        <v>129869</v>
      </c>
      <c r="N55" s="10">
        <v>130940</v>
      </c>
      <c r="O55" s="10">
        <v>122266</v>
      </c>
      <c r="P55" s="10">
        <v>145378</v>
      </c>
      <c r="Q55" s="6">
        <f t="shared" si="0"/>
        <v>1602899</v>
      </c>
      <c r="R55" s="15">
        <f>Q55/D55-1</f>
        <v>6.626208683898227E-2</v>
      </c>
    </row>
    <row r="56" spans="1:20" ht="15.75">
      <c r="A56" s="1" t="s">
        <v>66</v>
      </c>
      <c r="B56" s="1" t="s">
        <v>363</v>
      </c>
      <c r="C56" s="7" t="s">
        <v>71</v>
      </c>
      <c r="D56" s="6">
        <f>'2013 pax'!Q56</f>
        <v>14091924</v>
      </c>
      <c r="E56" s="10">
        <v>1171331</v>
      </c>
      <c r="F56" s="10">
        <v>1102132</v>
      </c>
      <c r="G56" s="10">
        <v>1249659</v>
      </c>
      <c r="H56" s="10">
        <v>1176154</v>
      </c>
      <c r="I56" s="10">
        <v>1186960</v>
      </c>
      <c r="J56" s="10">
        <v>1308563</v>
      </c>
      <c r="K56" s="10">
        <v>1467924</v>
      </c>
      <c r="L56" s="10">
        <v>1544423</v>
      </c>
      <c r="M56" s="10">
        <v>1256384</v>
      </c>
      <c r="N56" s="10">
        <v>1184594</v>
      </c>
      <c r="O56" s="10">
        <v>1012569</v>
      </c>
      <c r="P56" s="10">
        <v>1160407</v>
      </c>
      <c r="Q56" s="6">
        <f t="shared" si="0"/>
        <v>14821100</v>
      </c>
      <c r="R56" s="15">
        <f>Q56/D56-1</f>
        <v>5.1744247272409449E-2</v>
      </c>
    </row>
    <row r="57" spans="1:20">
      <c r="A57" s="1" t="s">
        <v>66</v>
      </c>
      <c r="B57" s="1" t="s">
        <v>75</v>
      </c>
      <c r="C57" s="7" t="s">
        <v>76</v>
      </c>
      <c r="D57" s="6">
        <f>'2013 pax'!Q57</f>
        <v>4578231</v>
      </c>
      <c r="E57" s="10">
        <v>376612</v>
      </c>
      <c r="F57" s="10">
        <v>381216</v>
      </c>
      <c r="G57" s="10">
        <v>411851</v>
      </c>
      <c r="H57" s="10">
        <v>379326</v>
      </c>
      <c r="I57" s="10">
        <v>379030</v>
      </c>
      <c r="J57" s="10">
        <v>384114</v>
      </c>
      <c r="K57" s="10">
        <v>389809</v>
      </c>
      <c r="L57" s="10">
        <v>409990</v>
      </c>
      <c r="M57" s="10">
        <v>369256</v>
      </c>
      <c r="N57" s="10">
        <v>392040</v>
      </c>
      <c r="O57" s="10">
        <v>354639</v>
      </c>
      <c r="P57" s="10">
        <v>388548</v>
      </c>
      <c r="Q57" s="6">
        <f t="shared" si="0"/>
        <v>4616431</v>
      </c>
      <c r="R57" s="15">
        <f t="shared" ref="R57:R62" si="2">Q57/D57-1</f>
        <v>8.3438341140933403E-3</v>
      </c>
    </row>
    <row r="58" spans="1:20">
      <c r="A58" s="1" t="s">
        <v>66</v>
      </c>
      <c r="B58" s="1" t="s">
        <v>533</v>
      </c>
      <c r="C58" s="7" t="s">
        <v>534</v>
      </c>
      <c r="D58" s="6">
        <v>1403466</v>
      </c>
      <c r="E58" s="10">
        <v>146518</v>
      </c>
      <c r="F58" s="10">
        <v>139246</v>
      </c>
      <c r="G58" s="10">
        <v>161827</v>
      </c>
      <c r="H58" s="10">
        <v>138848</v>
      </c>
      <c r="I58" s="10">
        <v>99673.107999999993</v>
      </c>
      <c r="J58" s="10">
        <v>106274.004</v>
      </c>
      <c r="K58" s="10">
        <v>125829.72</v>
      </c>
      <c r="L58" s="10">
        <v>128190.88799999999</v>
      </c>
      <c r="M58" s="10">
        <v>115524.64000000001</v>
      </c>
      <c r="N58" s="10">
        <v>114876.22</v>
      </c>
      <c r="O58" s="10">
        <v>107104.662</v>
      </c>
      <c r="P58" s="10">
        <v>126183.2</v>
      </c>
      <c r="Q58" s="6">
        <f t="shared" si="0"/>
        <v>1510095.4419999998</v>
      </c>
      <c r="R58" s="15">
        <f t="shared" si="2"/>
        <v>7.5975792787285057E-2</v>
      </c>
    </row>
    <row r="59" spans="1:20">
      <c r="A59" s="1" t="s">
        <v>66</v>
      </c>
      <c r="B59" s="1" t="s">
        <v>67</v>
      </c>
      <c r="C59" s="7" t="s">
        <v>68</v>
      </c>
      <c r="D59" s="6">
        <f>'2013 pax'!Q59</f>
        <v>36017285</v>
      </c>
      <c r="E59" s="10">
        <v>2885647</v>
      </c>
      <c r="F59" s="10">
        <v>2731053</v>
      </c>
      <c r="G59" s="10">
        <v>3139946</v>
      </c>
      <c r="H59" s="10">
        <v>3090315</v>
      </c>
      <c r="I59" s="10">
        <v>3206474</v>
      </c>
      <c r="J59" s="10">
        <v>3318322</v>
      </c>
      <c r="K59" s="10">
        <v>3797211</v>
      </c>
      <c r="L59" s="10">
        <v>4009121</v>
      </c>
      <c r="M59" s="10">
        <v>3237413</v>
      </c>
      <c r="N59" s="10">
        <v>3201358</v>
      </c>
      <c r="O59" s="10">
        <v>2793084</v>
      </c>
      <c r="P59" s="10">
        <v>3162057</v>
      </c>
      <c r="Q59" s="6">
        <f t="shared" si="0"/>
        <v>38572001</v>
      </c>
      <c r="R59" s="15">
        <f t="shared" si="2"/>
        <v>7.0930276948970583E-2</v>
      </c>
    </row>
    <row r="60" spans="1:20">
      <c r="A60" s="1" t="s">
        <v>66</v>
      </c>
      <c r="B60" s="1" t="s">
        <v>69</v>
      </c>
      <c r="C60" s="7" t="s">
        <v>70</v>
      </c>
      <c r="D60" s="6">
        <f>'2013 pax'!Q60</f>
        <v>17971427</v>
      </c>
      <c r="E60" s="10">
        <v>1469164</v>
      </c>
      <c r="F60" s="10">
        <v>1355494</v>
      </c>
      <c r="G60" s="10">
        <v>1528472</v>
      </c>
      <c r="H60" s="10">
        <v>1491366</v>
      </c>
      <c r="I60" s="10">
        <v>1629021</v>
      </c>
      <c r="J60" s="10">
        <v>1737372</v>
      </c>
      <c r="K60" s="10">
        <v>1940652</v>
      </c>
      <c r="L60" s="10">
        <v>2086481</v>
      </c>
      <c r="M60" s="10">
        <v>1665772</v>
      </c>
      <c r="N60" s="10">
        <v>1509109</v>
      </c>
      <c r="O60" s="10">
        <v>1353405</v>
      </c>
      <c r="P60" s="10">
        <v>1591206</v>
      </c>
      <c r="Q60" s="6">
        <f t="shared" si="0"/>
        <v>19357514</v>
      </c>
      <c r="R60" s="15">
        <f t="shared" si="2"/>
        <v>7.7127264295706821E-2</v>
      </c>
    </row>
    <row r="61" spans="1:20">
      <c r="A61" s="1" t="s">
        <v>66</v>
      </c>
      <c r="B61" s="1" t="s">
        <v>81</v>
      </c>
      <c r="C61" s="1" t="s">
        <v>82</v>
      </c>
      <c r="D61" s="6">
        <f>'2013 pax'!Q61</f>
        <v>1556960</v>
      </c>
      <c r="E61" s="10">
        <v>117112</v>
      </c>
      <c r="F61" s="10">
        <v>114696</v>
      </c>
      <c r="G61" s="10">
        <v>136896</v>
      </c>
      <c r="H61" s="10">
        <v>131538</v>
      </c>
      <c r="I61" s="10">
        <v>141018</v>
      </c>
      <c r="J61" s="10">
        <v>140758</v>
      </c>
      <c r="K61" s="10">
        <v>150936</v>
      </c>
      <c r="L61" s="10">
        <v>171764</v>
      </c>
      <c r="M61" s="10">
        <v>139193</v>
      </c>
      <c r="N61" s="10">
        <v>143389</v>
      </c>
      <c r="O61" s="10">
        <v>124801</v>
      </c>
      <c r="P61" s="10">
        <v>138064</v>
      </c>
      <c r="Q61" s="6">
        <f t="shared" si="0"/>
        <v>1650165</v>
      </c>
      <c r="R61" s="15">
        <f t="shared" si="2"/>
        <v>5.9863451854896832E-2</v>
      </c>
    </row>
    <row r="62" spans="1:20">
      <c r="A62" s="1" t="s">
        <v>66</v>
      </c>
      <c r="B62" s="1" t="s">
        <v>77</v>
      </c>
      <c r="C62" s="7" t="s">
        <v>78</v>
      </c>
      <c r="D62" s="6">
        <f>'2013 pax'!Q62</f>
        <v>3483898</v>
      </c>
      <c r="E62" s="10">
        <v>295020</v>
      </c>
      <c r="F62" s="10">
        <v>291862</v>
      </c>
      <c r="G62" s="10">
        <v>309170</v>
      </c>
      <c r="H62" s="10">
        <v>284681</v>
      </c>
      <c r="I62" s="10">
        <v>291593</v>
      </c>
      <c r="J62" s="10">
        <v>309144</v>
      </c>
      <c r="K62" s="10">
        <v>338159</v>
      </c>
      <c r="L62" s="10">
        <v>362120</v>
      </c>
      <c r="M62" s="10">
        <v>295485</v>
      </c>
      <c r="N62" s="10">
        <v>311977</v>
      </c>
      <c r="O62" s="10">
        <v>270730</v>
      </c>
      <c r="P62" s="10">
        <v>309856</v>
      </c>
      <c r="Q62" s="6">
        <f t="shared" si="0"/>
        <v>3669797</v>
      </c>
      <c r="R62" s="15">
        <f t="shared" si="2"/>
        <v>5.3359484118076894E-2</v>
      </c>
    </row>
    <row r="63" spans="1:20">
      <c r="A63" s="1" t="s">
        <v>236</v>
      </c>
      <c r="B63" s="1" t="s">
        <v>457</v>
      </c>
      <c r="C63" s="1" t="s">
        <v>458</v>
      </c>
      <c r="D63" s="6">
        <f>'2013 pax'!Q63</f>
        <v>1863907</v>
      </c>
      <c r="E63" s="10">
        <v>189338</v>
      </c>
      <c r="F63" s="10">
        <v>171599</v>
      </c>
      <c r="G63" s="10">
        <v>159766</v>
      </c>
      <c r="H63" s="10">
        <v>161267</v>
      </c>
      <c r="I63" s="10"/>
      <c r="J63" s="10"/>
      <c r="K63" s="10"/>
      <c r="L63" s="10"/>
      <c r="M63" s="10"/>
      <c r="N63" s="10"/>
      <c r="O63" s="10"/>
      <c r="P63" s="10"/>
      <c r="Q63" s="6">
        <f t="shared" si="0"/>
        <v>681970</v>
      </c>
      <c r="R63"/>
    </row>
    <row r="64" spans="1:20">
      <c r="A64" s="1" t="s">
        <v>236</v>
      </c>
      <c r="B64" s="1" t="s">
        <v>459</v>
      </c>
      <c r="C64" s="1" t="s">
        <v>460</v>
      </c>
      <c r="D64" s="6">
        <f>'2013 pax'!Q64</f>
        <v>565204</v>
      </c>
      <c r="E64" s="10">
        <v>63607</v>
      </c>
      <c r="F64" s="10">
        <v>62174</v>
      </c>
      <c r="G64" s="10">
        <v>47089</v>
      </c>
      <c r="H64" s="10">
        <v>39929</v>
      </c>
      <c r="I64" s="10"/>
      <c r="J64" s="10"/>
      <c r="K64" s="10"/>
      <c r="L64" s="10"/>
      <c r="M64" s="10"/>
      <c r="N64" s="10"/>
      <c r="O64" s="10"/>
      <c r="P64" s="10"/>
      <c r="Q64" s="6">
        <f t="shared" si="0"/>
        <v>212799</v>
      </c>
      <c r="R64"/>
    </row>
    <row r="65" spans="1:18">
      <c r="A65" s="1" t="s">
        <v>236</v>
      </c>
      <c r="B65" s="1" t="s">
        <v>461</v>
      </c>
      <c r="C65" s="1" t="s">
        <v>462</v>
      </c>
      <c r="D65" s="6">
        <f>'2013 pax'!Q65</f>
        <v>406156</v>
      </c>
      <c r="E65" s="10">
        <v>43647</v>
      </c>
      <c r="F65" s="10">
        <v>42707</v>
      </c>
      <c r="G65" s="10">
        <v>35301</v>
      </c>
      <c r="H65" s="10">
        <v>33002</v>
      </c>
      <c r="I65" s="10"/>
      <c r="J65" s="10"/>
      <c r="K65" s="10"/>
      <c r="L65" s="10"/>
      <c r="M65" s="10"/>
      <c r="N65" s="10"/>
      <c r="O65" s="10"/>
      <c r="P65" s="10"/>
      <c r="Q65" s="6">
        <f t="shared" si="0"/>
        <v>154657</v>
      </c>
      <c r="R65"/>
    </row>
    <row r="66" spans="1:18">
      <c r="A66" s="1" t="s">
        <v>236</v>
      </c>
      <c r="B66" s="1" t="s">
        <v>463</v>
      </c>
      <c r="C66" s="1" t="s">
        <v>464</v>
      </c>
      <c r="D66" s="6">
        <f>'2013 pax'!Q66</f>
        <v>1441656</v>
      </c>
      <c r="E66" s="10">
        <v>120704</v>
      </c>
      <c r="F66" s="10">
        <v>116981</v>
      </c>
      <c r="G66" s="10">
        <v>116800</v>
      </c>
      <c r="H66" s="10">
        <v>115801</v>
      </c>
      <c r="I66" s="10"/>
      <c r="J66" s="10"/>
      <c r="K66" s="10"/>
      <c r="L66" s="10"/>
      <c r="M66" s="10"/>
      <c r="N66" s="10"/>
      <c r="O66" s="10"/>
      <c r="P66" s="10"/>
      <c r="Q66" s="6">
        <f t="shared" si="0"/>
        <v>470286</v>
      </c>
      <c r="R66"/>
    </row>
    <row r="67" spans="1:18">
      <c r="A67" s="1" t="s">
        <v>236</v>
      </c>
      <c r="B67" s="1" t="s">
        <v>465</v>
      </c>
      <c r="C67" s="1" t="s">
        <v>466</v>
      </c>
      <c r="D67" s="6">
        <f>'2013 pax'!Q67</f>
        <v>938276</v>
      </c>
      <c r="E67" s="10">
        <v>85034</v>
      </c>
      <c r="F67" s="10">
        <v>69839</v>
      </c>
      <c r="G67" s="10">
        <v>84494</v>
      </c>
      <c r="H67" s="10">
        <v>81303</v>
      </c>
      <c r="I67" s="10"/>
      <c r="J67" s="10"/>
      <c r="K67" s="10"/>
      <c r="L67" s="10"/>
      <c r="M67" s="10"/>
      <c r="N67" s="10"/>
      <c r="O67" s="10"/>
      <c r="P67" s="10"/>
      <c r="Q67" s="6">
        <f t="shared" ref="Q67:Q122" si="3">SUM(E67:P67)</f>
        <v>320670</v>
      </c>
      <c r="R67"/>
    </row>
    <row r="68" spans="1:18">
      <c r="A68" s="1" t="s">
        <v>236</v>
      </c>
      <c r="B68" s="1" t="s">
        <v>467</v>
      </c>
      <c r="C68" s="1" t="s">
        <v>468</v>
      </c>
      <c r="D68" s="6">
        <f>'2013 pax'!Q68</f>
        <v>600952</v>
      </c>
      <c r="E68" s="10">
        <v>55325</v>
      </c>
      <c r="F68" s="10">
        <v>50845</v>
      </c>
      <c r="G68" s="10">
        <v>48811</v>
      </c>
      <c r="H68" s="10">
        <v>45922</v>
      </c>
      <c r="I68" s="10"/>
      <c r="J68" s="10"/>
      <c r="K68" s="10"/>
      <c r="L68" s="10"/>
      <c r="M68" s="10"/>
      <c r="N68" s="10"/>
      <c r="O68" s="10"/>
      <c r="P68" s="10"/>
      <c r="Q68" s="6">
        <f t="shared" si="3"/>
        <v>200903</v>
      </c>
      <c r="R68"/>
    </row>
    <row r="69" spans="1:18">
      <c r="A69" s="1" t="s">
        <v>236</v>
      </c>
      <c r="B69" s="1" t="s">
        <v>469</v>
      </c>
      <c r="C69" s="1" t="s">
        <v>470</v>
      </c>
      <c r="D69" s="6">
        <f>'2013 pax'!Q69</f>
        <v>1250315</v>
      </c>
      <c r="E69" s="10">
        <v>131135</v>
      </c>
      <c r="F69" s="10">
        <v>134058</v>
      </c>
      <c r="G69" s="10">
        <v>98813</v>
      </c>
      <c r="H69" s="10">
        <v>86056</v>
      </c>
      <c r="I69" s="10"/>
      <c r="J69" s="10"/>
      <c r="K69" s="10"/>
      <c r="L69" s="10"/>
      <c r="M69" s="10"/>
      <c r="N69" s="10"/>
      <c r="O69" s="10"/>
      <c r="P69" s="10"/>
      <c r="Q69" s="6">
        <f t="shared" si="3"/>
        <v>450062</v>
      </c>
      <c r="R69"/>
    </row>
    <row r="70" spans="1:18">
      <c r="A70" s="1" t="s">
        <v>236</v>
      </c>
      <c r="B70" s="1" t="s">
        <v>471</v>
      </c>
      <c r="C70" s="1" t="s">
        <v>472</v>
      </c>
      <c r="D70" s="6">
        <f>'2013 pax'!Q70</f>
        <v>161107</v>
      </c>
      <c r="E70" s="10">
        <v>14936</v>
      </c>
      <c r="F70" s="10">
        <v>17220</v>
      </c>
      <c r="G70" s="10">
        <v>14577</v>
      </c>
      <c r="H70" s="10">
        <v>13369</v>
      </c>
      <c r="I70" s="10"/>
      <c r="J70" s="10"/>
      <c r="K70" s="10"/>
      <c r="L70" s="10"/>
      <c r="M70" s="10"/>
      <c r="N70" s="10"/>
      <c r="O70" s="10"/>
      <c r="P70" s="10"/>
      <c r="Q70" s="6">
        <f t="shared" si="3"/>
        <v>60102</v>
      </c>
      <c r="R70"/>
    </row>
    <row r="71" spans="1:18">
      <c r="A71" s="1" t="s">
        <v>236</v>
      </c>
      <c r="B71" s="1" t="s">
        <v>473</v>
      </c>
      <c r="C71" s="1" t="s">
        <v>474</v>
      </c>
      <c r="D71" s="6">
        <f>'2013 pax'!Q71</f>
        <v>665235</v>
      </c>
      <c r="E71" s="10">
        <v>71749</v>
      </c>
      <c r="F71" s="10">
        <v>71888</v>
      </c>
      <c r="G71" s="10">
        <v>56885</v>
      </c>
      <c r="H71" s="10">
        <v>55911</v>
      </c>
      <c r="I71" s="10"/>
      <c r="J71" s="10"/>
      <c r="K71" s="10"/>
      <c r="L71" s="10"/>
      <c r="M71" s="10"/>
      <c r="N71" s="10"/>
      <c r="O71" s="10"/>
      <c r="P71" s="10"/>
      <c r="Q71" s="6">
        <f t="shared" si="3"/>
        <v>256433</v>
      </c>
      <c r="R71"/>
    </row>
    <row r="72" spans="1:18">
      <c r="A72" s="1" t="s">
        <v>236</v>
      </c>
      <c r="B72" s="1" t="s">
        <v>475</v>
      </c>
      <c r="C72" s="1" t="s">
        <v>476</v>
      </c>
      <c r="D72" s="6">
        <f>'2013 pax'!Q72</f>
        <v>89034</v>
      </c>
      <c r="E72" s="10">
        <v>8612</v>
      </c>
      <c r="F72" s="10">
        <v>6601</v>
      </c>
      <c r="G72" s="10">
        <v>6516</v>
      </c>
      <c r="H72" s="10">
        <v>6073</v>
      </c>
      <c r="I72" s="10"/>
      <c r="J72" s="10"/>
      <c r="K72" s="10"/>
      <c r="L72" s="10"/>
      <c r="M72" s="10"/>
      <c r="N72" s="10"/>
      <c r="O72" s="10"/>
      <c r="P72" s="10"/>
      <c r="Q72" s="6">
        <f t="shared" si="3"/>
        <v>27802</v>
      </c>
      <c r="R72"/>
    </row>
    <row r="73" spans="1:18">
      <c r="A73" s="1" t="s">
        <v>236</v>
      </c>
      <c r="B73" s="1" t="s">
        <v>477</v>
      </c>
      <c r="C73" s="1" t="s">
        <v>478</v>
      </c>
      <c r="D73" s="6">
        <f>'2013 pax'!Q73</f>
        <v>1224814</v>
      </c>
      <c r="E73" s="10">
        <v>138903</v>
      </c>
      <c r="F73" s="10">
        <v>141325</v>
      </c>
      <c r="G73" s="10">
        <v>108291</v>
      </c>
      <c r="H73" s="10">
        <v>93550</v>
      </c>
      <c r="I73" s="10"/>
      <c r="J73" s="10"/>
      <c r="K73" s="10"/>
      <c r="L73" s="10"/>
      <c r="M73" s="10"/>
      <c r="N73" s="10"/>
      <c r="O73" s="10"/>
      <c r="P73" s="10"/>
      <c r="Q73" s="6">
        <f t="shared" si="3"/>
        <v>482069</v>
      </c>
      <c r="R73"/>
    </row>
    <row r="74" spans="1:18">
      <c r="A74" s="1" t="s">
        <v>236</v>
      </c>
      <c r="B74" s="1" t="s">
        <v>479</v>
      </c>
      <c r="C74" s="1" t="s">
        <v>480</v>
      </c>
      <c r="D74" s="6">
        <f>'2013 pax'!Q74</f>
        <v>740701</v>
      </c>
      <c r="E74" s="10">
        <v>98604</v>
      </c>
      <c r="F74" s="10">
        <v>96655</v>
      </c>
      <c r="G74" s="10">
        <v>69283</v>
      </c>
      <c r="H74" s="10">
        <v>51998</v>
      </c>
      <c r="I74" s="10"/>
      <c r="J74" s="10"/>
      <c r="K74" s="10"/>
      <c r="L74" s="10"/>
      <c r="M74" s="10"/>
      <c r="N74" s="10"/>
      <c r="O74" s="10"/>
      <c r="P74" s="10"/>
      <c r="Q74" s="6">
        <f t="shared" si="3"/>
        <v>316540</v>
      </c>
      <c r="R74"/>
    </row>
    <row r="75" spans="1:18">
      <c r="A75" s="1" t="s">
        <v>236</v>
      </c>
      <c r="B75" s="1" t="s">
        <v>481</v>
      </c>
      <c r="C75" s="1" t="s">
        <v>237</v>
      </c>
      <c r="D75" s="6">
        <f>'2013 pax'!Q75</f>
        <v>15311488</v>
      </c>
      <c r="E75" s="10">
        <v>1529881</v>
      </c>
      <c r="F75" s="10">
        <v>1446170</v>
      </c>
      <c r="G75" s="10">
        <v>1337879</v>
      </c>
      <c r="H75" s="10">
        <v>1195724</v>
      </c>
      <c r="I75" s="10"/>
      <c r="J75" s="10"/>
      <c r="K75" s="10"/>
      <c r="L75" s="10"/>
      <c r="M75" s="10"/>
      <c r="N75" s="10"/>
      <c r="O75" s="10"/>
      <c r="P75" s="10"/>
      <c r="Q75" s="6">
        <f t="shared" si="3"/>
        <v>5509654</v>
      </c>
      <c r="R75"/>
    </row>
    <row r="76" spans="1:18">
      <c r="A76" s="1" t="s">
        <v>236</v>
      </c>
      <c r="B76" s="1" t="s">
        <v>482</v>
      </c>
      <c r="C76" s="1" t="s">
        <v>483</v>
      </c>
      <c r="D76" s="6">
        <f>'2013 pax'!Q76</f>
        <v>465680</v>
      </c>
      <c r="E76" s="10">
        <v>53573</v>
      </c>
      <c r="F76" s="10">
        <v>49977</v>
      </c>
      <c r="G76" s="10">
        <v>40712</v>
      </c>
      <c r="H76" s="10">
        <v>37388</v>
      </c>
      <c r="I76" s="10"/>
      <c r="J76" s="10"/>
      <c r="K76" s="10"/>
      <c r="L76" s="10"/>
      <c r="M76" s="10"/>
      <c r="N76" s="10"/>
      <c r="O76" s="10"/>
      <c r="P76" s="10"/>
      <c r="Q76" s="6">
        <f t="shared" si="3"/>
        <v>181650</v>
      </c>
      <c r="R76"/>
    </row>
    <row r="77" spans="1:18">
      <c r="A77" s="1" t="s">
        <v>236</v>
      </c>
      <c r="B77" s="1" t="s">
        <v>484</v>
      </c>
      <c r="C77" s="1" t="s">
        <v>485</v>
      </c>
      <c r="D77" s="6">
        <f>'2013 pax'!Q77</f>
        <v>120504</v>
      </c>
      <c r="E77" s="10">
        <v>12384</v>
      </c>
      <c r="F77" s="10">
        <v>12699</v>
      </c>
      <c r="G77" s="10">
        <v>12263</v>
      </c>
      <c r="H77" s="10">
        <v>11915</v>
      </c>
      <c r="I77" s="10"/>
      <c r="J77" s="10"/>
      <c r="K77" s="10"/>
      <c r="L77" s="10"/>
      <c r="M77" s="10"/>
      <c r="N77" s="10"/>
      <c r="O77" s="10"/>
      <c r="P77" s="10"/>
      <c r="Q77" s="6">
        <f t="shared" si="3"/>
        <v>49261</v>
      </c>
      <c r="R77"/>
    </row>
    <row r="78" spans="1:18">
      <c r="A78" s="1" t="s">
        <v>238</v>
      </c>
      <c r="B78" s="7" t="s">
        <v>264</v>
      </c>
      <c r="C78" s="7" t="s">
        <v>265</v>
      </c>
      <c r="D78" s="6">
        <f>'2013 pax'!Q78</f>
        <v>285331</v>
      </c>
      <c r="E78" s="10">
        <v>27685</v>
      </c>
      <c r="F78" s="10">
        <v>25821</v>
      </c>
      <c r="G78" s="10">
        <v>30040</v>
      </c>
      <c r="H78" s="10">
        <v>27199</v>
      </c>
      <c r="I78" s="10">
        <v>31651</v>
      </c>
      <c r="J78" s="10">
        <v>28355</v>
      </c>
      <c r="K78" s="10">
        <v>30822</v>
      </c>
      <c r="L78" s="10">
        <v>29968</v>
      </c>
      <c r="M78" s="10">
        <v>29577</v>
      </c>
      <c r="N78" s="10">
        <v>33577</v>
      </c>
      <c r="O78" s="10">
        <v>34028</v>
      </c>
      <c r="P78" s="10">
        <v>36862</v>
      </c>
      <c r="Q78" s="6">
        <f t="shared" si="3"/>
        <v>365585</v>
      </c>
      <c r="R78" s="15">
        <f t="shared" ref="R78:R106" si="4">Q78/D78-1</f>
        <v>0.28126631876662533</v>
      </c>
    </row>
    <row r="79" spans="1:18">
      <c r="A79" s="1" t="s">
        <v>238</v>
      </c>
      <c r="B79" s="7" t="s">
        <v>290</v>
      </c>
      <c r="C79" s="7" t="s">
        <v>291</v>
      </c>
      <c r="D79" s="6">
        <f>'2013 pax'!Q79</f>
        <v>182804</v>
      </c>
      <c r="E79" s="10">
        <v>14966</v>
      </c>
      <c r="F79" s="10">
        <v>16688</v>
      </c>
      <c r="G79" s="10">
        <v>17828</v>
      </c>
      <c r="H79" s="10">
        <v>18561</v>
      </c>
      <c r="I79" s="10">
        <v>19256</v>
      </c>
      <c r="J79" s="10">
        <v>18076</v>
      </c>
      <c r="K79" s="10">
        <v>19414</v>
      </c>
      <c r="L79" s="10">
        <v>19387</v>
      </c>
      <c r="M79" s="10">
        <v>20178</v>
      </c>
      <c r="N79" s="10">
        <v>20862</v>
      </c>
      <c r="O79" s="10">
        <v>20205</v>
      </c>
      <c r="P79" s="10">
        <v>18324</v>
      </c>
      <c r="Q79" s="6">
        <f t="shared" si="3"/>
        <v>223745</v>
      </c>
      <c r="R79" s="15">
        <f t="shared" si="4"/>
        <v>0.22396118246865493</v>
      </c>
    </row>
    <row r="80" spans="1:18">
      <c r="A80" s="1" t="s">
        <v>238</v>
      </c>
      <c r="B80" s="7" t="s">
        <v>260</v>
      </c>
      <c r="C80" s="7" t="s">
        <v>261</v>
      </c>
      <c r="D80" s="6">
        <f>'2013 pax'!Q80</f>
        <v>1997283</v>
      </c>
      <c r="E80" s="10">
        <v>199554</v>
      </c>
      <c r="F80" s="10">
        <v>167555</v>
      </c>
      <c r="G80" s="10">
        <v>192218</v>
      </c>
      <c r="H80" s="10">
        <v>188353</v>
      </c>
      <c r="I80" s="10">
        <v>180633</v>
      </c>
      <c r="J80" s="10">
        <v>191328</v>
      </c>
      <c r="K80" s="10">
        <v>209338</v>
      </c>
      <c r="L80" s="10">
        <v>202909</v>
      </c>
      <c r="M80" s="10">
        <v>194266</v>
      </c>
      <c r="N80" s="10">
        <v>219827</v>
      </c>
      <c r="O80" s="10">
        <v>208053</v>
      </c>
      <c r="P80" s="10">
        <v>231570</v>
      </c>
      <c r="Q80" s="6">
        <f t="shared" si="3"/>
        <v>2385604</v>
      </c>
      <c r="R80" s="15">
        <f t="shared" si="4"/>
        <v>0.19442462585422304</v>
      </c>
    </row>
    <row r="81" spans="1:18">
      <c r="A81" s="1" t="s">
        <v>238</v>
      </c>
      <c r="B81" s="3" t="s">
        <v>239</v>
      </c>
      <c r="C81" s="3" t="s">
        <v>240</v>
      </c>
      <c r="D81" s="6">
        <f>'2013 pax'!Q81</f>
        <v>22777793</v>
      </c>
      <c r="E81" s="10">
        <v>1717229</v>
      </c>
      <c r="F81" s="10">
        <v>1518001</v>
      </c>
      <c r="G81" s="10">
        <v>1689365</v>
      </c>
      <c r="H81" s="10">
        <v>1678530</v>
      </c>
      <c r="I81" s="10">
        <v>1707757</v>
      </c>
      <c r="J81" s="30">
        <v>1804749</v>
      </c>
      <c r="K81" s="10">
        <v>1950110</v>
      </c>
      <c r="L81" s="10">
        <v>1960329</v>
      </c>
      <c r="M81" s="10">
        <v>1899781</v>
      </c>
      <c r="N81" s="10">
        <v>2042455</v>
      </c>
      <c r="O81" s="10">
        <v>1952135</v>
      </c>
      <c r="P81" s="40">
        <v>2044675</v>
      </c>
      <c r="Q81" s="6">
        <f t="shared" si="3"/>
        <v>21965116</v>
      </c>
      <c r="R81" s="15">
        <f t="shared" si="4"/>
        <v>-3.5678478595358221E-2</v>
      </c>
    </row>
    <row r="82" spans="1:18">
      <c r="A82" s="1" t="s">
        <v>238</v>
      </c>
      <c r="B82" s="7" t="s">
        <v>298</v>
      </c>
      <c r="C82" s="7" t="s">
        <v>299</v>
      </c>
      <c r="D82" s="6">
        <f>'2013 pax'!Q82</f>
        <v>1319372</v>
      </c>
      <c r="E82" s="10">
        <v>125522</v>
      </c>
      <c r="F82" s="10">
        <v>113161</v>
      </c>
      <c r="G82" s="10">
        <v>132917</v>
      </c>
      <c r="H82" s="10">
        <v>123179</v>
      </c>
      <c r="I82" s="30">
        <v>139296</v>
      </c>
      <c r="J82" s="30">
        <v>148340</v>
      </c>
      <c r="K82" s="30">
        <v>151036</v>
      </c>
      <c r="L82" s="30">
        <v>142142</v>
      </c>
      <c r="M82" s="30">
        <v>154033</v>
      </c>
      <c r="N82" s="30">
        <v>162065</v>
      </c>
      <c r="O82" s="30">
        <v>151858</v>
      </c>
      <c r="P82" s="10">
        <v>153435</v>
      </c>
      <c r="Q82" s="6">
        <f t="shared" si="3"/>
        <v>1696984</v>
      </c>
      <c r="R82" s="15">
        <f t="shared" si="4"/>
        <v>0.28620586157656835</v>
      </c>
    </row>
    <row r="83" spans="1:18">
      <c r="A83" s="1" t="s">
        <v>238</v>
      </c>
      <c r="B83" s="7" t="s">
        <v>272</v>
      </c>
      <c r="C83" s="7" t="s">
        <v>273</v>
      </c>
      <c r="D83" s="6">
        <f>'2013 pax'!Q83</f>
        <v>3970544</v>
      </c>
      <c r="E83" s="10">
        <v>364646</v>
      </c>
      <c r="F83" s="10">
        <v>322289</v>
      </c>
      <c r="G83" s="10">
        <v>357185</v>
      </c>
      <c r="H83" s="10">
        <v>364583</v>
      </c>
      <c r="I83" s="10">
        <v>374325</v>
      </c>
      <c r="J83" s="10">
        <v>373758</v>
      </c>
      <c r="K83" s="10">
        <v>427334</v>
      </c>
      <c r="L83" s="10">
        <v>409399</v>
      </c>
      <c r="M83" s="10">
        <v>383457</v>
      </c>
      <c r="N83" s="10">
        <v>403641</v>
      </c>
      <c r="O83" s="10">
        <v>382158</v>
      </c>
      <c r="P83" s="10">
        <v>417371</v>
      </c>
      <c r="Q83" s="6">
        <f>SUM(E83:P83)</f>
        <v>4580146</v>
      </c>
      <c r="R83" s="15">
        <f t="shared" si="4"/>
        <v>0.15353110304280726</v>
      </c>
    </row>
    <row r="84" spans="1:18">
      <c r="A84" s="1" t="s">
        <v>238</v>
      </c>
      <c r="B84" s="7" t="s">
        <v>254</v>
      </c>
      <c r="C84" s="7" t="s">
        <v>255</v>
      </c>
      <c r="D84" s="6">
        <f>'2013 pax'!Q84</f>
        <v>191868</v>
      </c>
      <c r="E84" s="10">
        <v>15367</v>
      </c>
      <c r="F84" s="10">
        <v>15843</v>
      </c>
      <c r="G84" s="10">
        <v>16946</v>
      </c>
      <c r="H84" s="10">
        <v>16441</v>
      </c>
      <c r="I84" s="10">
        <v>16709</v>
      </c>
      <c r="J84" s="30">
        <v>16224</v>
      </c>
      <c r="K84" s="10">
        <v>17220</v>
      </c>
      <c r="L84" s="10">
        <v>17097</v>
      </c>
      <c r="M84" s="10">
        <v>17850</v>
      </c>
      <c r="N84" s="10">
        <v>20521</v>
      </c>
      <c r="O84" s="10">
        <v>19105</v>
      </c>
      <c r="P84" s="10">
        <v>18445</v>
      </c>
      <c r="Q84" s="6">
        <f t="shared" si="3"/>
        <v>207768</v>
      </c>
      <c r="R84" s="15">
        <f t="shared" si="4"/>
        <v>8.2869472762524321E-2</v>
      </c>
    </row>
    <row r="85" spans="1:18">
      <c r="A85" s="1" t="s">
        <v>238</v>
      </c>
      <c r="B85" s="7" t="s">
        <v>262</v>
      </c>
      <c r="C85" s="7" t="s">
        <v>263</v>
      </c>
      <c r="D85" s="6">
        <f>'2013 pax'!Q85</f>
        <v>3045507</v>
      </c>
      <c r="E85" s="10">
        <v>309711</v>
      </c>
      <c r="F85" s="10">
        <v>249852</v>
      </c>
      <c r="G85" s="10">
        <v>265917</v>
      </c>
      <c r="H85" s="10">
        <v>265838</v>
      </c>
      <c r="I85" s="10">
        <v>250747</v>
      </c>
      <c r="J85" s="10">
        <v>268604</v>
      </c>
      <c r="K85" s="10">
        <v>300409</v>
      </c>
      <c r="L85" s="10">
        <v>300200</v>
      </c>
      <c r="M85" s="10">
        <v>268896</v>
      </c>
      <c r="N85" s="10">
        <v>287600</v>
      </c>
      <c r="O85" s="10">
        <v>278394</v>
      </c>
      <c r="P85" s="10">
        <v>305032</v>
      </c>
      <c r="Q85" s="6">
        <f>SUM(E85:P85)</f>
        <v>3351200</v>
      </c>
      <c r="R85" s="15">
        <f t="shared" si="4"/>
        <v>0.10037507712180593</v>
      </c>
    </row>
    <row r="86" spans="1:18">
      <c r="A86" s="1" t="s">
        <v>238</v>
      </c>
      <c r="B86" s="7" t="s">
        <v>282</v>
      </c>
      <c r="C86" s="7" t="s">
        <v>283</v>
      </c>
      <c r="D86" s="6">
        <f>'2013 pax'!Q86</f>
        <v>792396</v>
      </c>
      <c r="E86" s="10">
        <v>75446</v>
      </c>
      <c r="F86" s="10">
        <v>59159</v>
      </c>
      <c r="G86" s="10">
        <v>61261</v>
      </c>
      <c r="H86" s="10">
        <v>65900</v>
      </c>
      <c r="I86" s="10">
        <v>69513</v>
      </c>
      <c r="J86" s="10">
        <v>75365</v>
      </c>
      <c r="K86" s="10">
        <v>86875</v>
      </c>
      <c r="L86" s="10">
        <v>91245</v>
      </c>
      <c r="M86" s="10">
        <v>92517</v>
      </c>
      <c r="N86" s="10">
        <v>101583</v>
      </c>
      <c r="O86" s="10">
        <v>95981</v>
      </c>
      <c r="P86" s="10">
        <v>116814</v>
      </c>
      <c r="Q86" s="6">
        <f>SUM(E86:P86)</f>
        <v>991659</v>
      </c>
      <c r="R86" s="15">
        <f t="shared" si="4"/>
        <v>0.25146896248845274</v>
      </c>
    </row>
    <row r="87" spans="1:18">
      <c r="A87" s="1" t="s">
        <v>238</v>
      </c>
      <c r="B87" s="7" t="s">
        <v>296</v>
      </c>
      <c r="C87" s="7" t="s">
        <v>297</v>
      </c>
      <c r="D87" s="6">
        <f>'2013 pax'!Q87</f>
        <v>406691</v>
      </c>
      <c r="E87" s="10">
        <v>33055</v>
      </c>
      <c r="F87" s="10">
        <v>36537</v>
      </c>
      <c r="G87" s="10">
        <v>38907</v>
      </c>
      <c r="H87" s="10">
        <v>38171</v>
      </c>
      <c r="I87" s="30">
        <v>39708</v>
      </c>
      <c r="J87" s="30">
        <v>40825</v>
      </c>
      <c r="K87" s="10">
        <v>42900</v>
      </c>
      <c r="L87" s="30">
        <v>40438</v>
      </c>
      <c r="M87" s="10">
        <v>42050</v>
      </c>
      <c r="N87" s="10">
        <v>44815</v>
      </c>
      <c r="O87" s="10">
        <v>40936</v>
      </c>
      <c r="P87" s="10">
        <v>40311</v>
      </c>
      <c r="Q87" s="6">
        <f t="shared" si="3"/>
        <v>478653</v>
      </c>
      <c r="R87" s="15">
        <f t="shared" si="4"/>
        <v>0.17694515000331945</v>
      </c>
    </row>
    <row r="88" spans="1:18">
      <c r="A88" s="1" t="s">
        <v>238</v>
      </c>
      <c r="B88" s="7" t="s">
        <v>292</v>
      </c>
      <c r="C88" s="7" t="s">
        <v>293</v>
      </c>
      <c r="D88" s="6">
        <f>'2013 pax'!Q88</f>
        <v>135790</v>
      </c>
      <c r="E88" s="10">
        <v>11125</v>
      </c>
      <c r="F88" s="10">
        <v>11809</v>
      </c>
      <c r="G88" s="10">
        <v>13376</v>
      </c>
      <c r="H88" s="10">
        <v>14907</v>
      </c>
      <c r="I88" s="30">
        <v>14939</v>
      </c>
      <c r="J88" s="30">
        <v>13620</v>
      </c>
      <c r="K88" s="10">
        <v>15055</v>
      </c>
      <c r="L88" s="30">
        <v>15074</v>
      </c>
      <c r="M88" s="10">
        <v>15261</v>
      </c>
      <c r="N88" s="10">
        <v>14876</v>
      </c>
      <c r="O88" s="10">
        <v>14484</v>
      </c>
      <c r="P88" s="10">
        <v>13760</v>
      </c>
      <c r="Q88" s="6">
        <f t="shared" si="3"/>
        <v>168286</v>
      </c>
      <c r="R88" s="15">
        <f t="shared" si="4"/>
        <v>0.23931070034612278</v>
      </c>
    </row>
    <row r="89" spans="1:18">
      <c r="A89" s="1" t="s">
        <v>238</v>
      </c>
      <c r="B89" s="7" t="s">
        <v>270</v>
      </c>
      <c r="C89" s="7" t="s">
        <v>271</v>
      </c>
      <c r="D89" s="6">
        <f>'2013 pax'!Q89</f>
        <v>175874</v>
      </c>
      <c r="E89" s="10">
        <v>20664</v>
      </c>
      <c r="F89" s="10">
        <v>16009</v>
      </c>
      <c r="G89" s="10">
        <v>16145</v>
      </c>
      <c r="H89" s="10">
        <v>16720</v>
      </c>
      <c r="I89" s="30">
        <v>17929</v>
      </c>
      <c r="J89" s="30">
        <v>19533</v>
      </c>
      <c r="K89" s="10">
        <v>18592</v>
      </c>
      <c r="L89" s="30">
        <v>17684</v>
      </c>
      <c r="M89" s="10">
        <v>16111</v>
      </c>
      <c r="N89" s="10">
        <v>17676</v>
      </c>
      <c r="O89" s="10">
        <v>19237</v>
      </c>
      <c r="P89" s="10">
        <v>21086</v>
      </c>
      <c r="Q89" s="6">
        <f t="shared" si="3"/>
        <v>217386</v>
      </c>
      <c r="R89" s="15">
        <f t="shared" si="4"/>
        <v>0.23603261425793476</v>
      </c>
    </row>
    <row r="90" spans="1:18">
      <c r="A90" s="1" t="s">
        <v>238</v>
      </c>
      <c r="B90" s="7" t="s">
        <v>294</v>
      </c>
      <c r="C90" s="7" t="s">
        <v>295</v>
      </c>
      <c r="D90" s="6">
        <f>'2013 pax'!Q90</f>
        <v>168090</v>
      </c>
      <c r="E90" s="10">
        <v>16261</v>
      </c>
      <c r="F90" s="10">
        <v>15084</v>
      </c>
      <c r="G90" s="10">
        <v>13421</v>
      </c>
      <c r="H90" s="10">
        <v>15255</v>
      </c>
      <c r="I90" s="30">
        <v>15316</v>
      </c>
      <c r="J90" s="30">
        <v>17657</v>
      </c>
      <c r="K90" s="10">
        <v>19750</v>
      </c>
      <c r="L90" s="30">
        <v>20453</v>
      </c>
      <c r="M90" s="10">
        <v>17411</v>
      </c>
      <c r="N90" s="10">
        <v>16719</v>
      </c>
      <c r="O90" s="10">
        <v>16331</v>
      </c>
      <c r="P90" s="10">
        <v>18188</v>
      </c>
      <c r="Q90" s="6">
        <f t="shared" si="3"/>
        <v>201846</v>
      </c>
      <c r="R90" s="15">
        <f t="shared" si="4"/>
        <v>0.2008209887560235</v>
      </c>
    </row>
    <row r="91" spans="1:18">
      <c r="A91" s="1" t="s">
        <v>238</v>
      </c>
      <c r="B91" s="7" t="s">
        <v>256</v>
      </c>
      <c r="C91" s="7" t="s">
        <v>257</v>
      </c>
      <c r="D91" s="6">
        <f>'2013 pax'!Q91</f>
        <v>878078</v>
      </c>
      <c r="E91" s="10">
        <v>77380</v>
      </c>
      <c r="F91" s="10">
        <v>72878</v>
      </c>
      <c r="G91" s="10">
        <v>75890</v>
      </c>
      <c r="H91" s="10">
        <v>77987</v>
      </c>
      <c r="I91" s="30">
        <v>78969</v>
      </c>
      <c r="J91" s="30">
        <v>80130</v>
      </c>
      <c r="K91" s="10">
        <v>83718</v>
      </c>
      <c r="L91" s="30">
        <v>83508</v>
      </c>
      <c r="M91" s="10">
        <v>83381</v>
      </c>
      <c r="N91" s="10">
        <v>92495</v>
      </c>
      <c r="O91" s="10">
        <v>87928</v>
      </c>
      <c r="P91" s="10">
        <v>94998</v>
      </c>
      <c r="Q91" s="6">
        <f t="shared" si="3"/>
        <v>989262</v>
      </c>
      <c r="R91" s="15">
        <f t="shared" si="4"/>
        <v>0.12662200852316086</v>
      </c>
    </row>
    <row r="92" spans="1:18">
      <c r="A92" s="1" t="s">
        <v>238</v>
      </c>
      <c r="B92" s="7" t="s">
        <v>288</v>
      </c>
      <c r="C92" s="7" t="s">
        <v>289</v>
      </c>
      <c r="D92" s="6">
        <f>'2013 pax'!Q92</f>
        <v>645689</v>
      </c>
      <c r="E92" s="10">
        <v>67278</v>
      </c>
      <c r="F92" s="10">
        <v>51995</v>
      </c>
      <c r="G92" s="10">
        <v>55805</v>
      </c>
      <c r="H92" s="10">
        <v>59528</v>
      </c>
      <c r="I92" s="30">
        <v>55868</v>
      </c>
      <c r="J92" s="30">
        <v>68974</v>
      </c>
      <c r="K92" s="10">
        <v>72642</v>
      </c>
      <c r="L92" s="30">
        <v>70945</v>
      </c>
      <c r="M92" s="10">
        <v>67244</v>
      </c>
      <c r="N92" s="10">
        <v>76821</v>
      </c>
      <c r="O92" s="10">
        <v>73329</v>
      </c>
      <c r="P92" s="10">
        <v>78977</v>
      </c>
      <c r="Q92" s="6">
        <f t="shared" si="3"/>
        <v>799406</v>
      </c>
      <c r="R92" s="15">
        <f t="shared" si="4"/>
        <v>0.23806662340538565</v>
      </c>
    </row>
    <row r="93" spans="1:18">
      <c r="A93" s="1" t="s">
        <v>238</v>
      </c>
      <c r="B93" s="7" t="s">
        <v>274</v>
      </c>
      <c r="C93" s="7" t="s">
        <v>275</v>
      </c>
      <c r="D93" s="6">
        <f>'2013 pax'!Q93</f>
        <v>298719</v>
      </c>
      <c r="E93" s="10">
        <v>24078</v>
      </c>
      <c r="F93" s="10">
        <v>25039</v>
      </c>
      <c r="G93" s="10">
        <v>28624</v>
      </c>
      <c r="H93" s="10">
        <v>25948</v>
      </c>
      <c r="I93" s="10">
        <v>24497</v>
      </c>
      <c r="J93" s="30">
        <v>24461</v>
      </c>
      <c r="K93" s="10">
        <v>25227</v>
      </c>
      <c r="L93" s="30">
        <v>25907</v>
      </c>
      <c r="M93" s="10">
        <v>24220</v>
      </c>
      <c r="N93" s="10">
        <v>29088</v>
      </c>
      <c r="O93" s="10">
        <v>28972</v>
      </c>
      <c r="P93" s="10">
        <v>26550</v>
      </c>
      <c r="Q93" s="6">
        <f t="shared" si="3"/>
        <v>312611</v>
      </c>
      <c r="R93" s="15">
        <f t="shared" si="4"/>
        <v>4.6505244058797635E-2</v>
      </c>
    </row>
    <row r="94" spans="1:18">
      <c r="A94" s="1" t="s">
        <v>238</v>
      </c>
      <c r="B94" s="7" t="s">
        <v>524</v>
      </c>
      <c r="C94" s="7" t="s">
        <v>267</v>
      </c>
      <c r="D94" s="6">
        <f>'2013 pax'!Q94</f>
        <v>1085749</v>
      </c>
      <c r="E94" s="10">
        <v>102485</v>
      </c>
      <c r="F94" s="10">
        <v>97176</v>
      </c>
      <c r="G94" s="10">
        <v>112374</v>
      </c>
      <c r="H94" s="10">
        <v>106667</v>
      </c>
      <c r="I94" s="10">
        <v>119294</v>
      </c>
      <c r="J94" s="30">
        <v>113670</v>
      </c>
      <c r="K94" s="10">
        <v>118277</v>
      </c>
      <c r="L94" s="30">
        <v>119118</v>
      </c>
      <c r="M94" s="10">
        <v>115261</v>
      </c>
      <c r="N94" s="10">
        <v>122193</v>
      </c>
      <c r="O94" s="10">
        <v>119074</v>
      </c>
      <c r="P94" s="10">
        <v>128545</v>
      </c>
      <c r="Q94" s="6">
        <f t="shared" si="3"/>
        <v>1374134</v>
      </c>
      <c r="R94" s="15">
        <f t="shared" si="4"/>
        <v>0.26560927065095163</v>
      </c>
    </row>
    <row r="95" spans="1:18">
      <c r="A95" s="1" t="s">
        <v>238</v>
      </c>
      <c r="B95" s="7" t="s">
        <v>280</v>
      </c>
      <c r="C95" s="7" t="s">
        <v>281</v>
      </c>
      <c r="D95" s="6">
        <f>'2013 pax'!Q95</f>
        <v>211716</v>
      </c>
      <c r="E95" s="10">
        <v>18575</v>
      </c>
      <c r="F95" s="10">
        <v>17125</v>
      </c>
      <c r="G95" s="10">
        <v>19565</v>
      </c>
      <c r="H95" s="10">
        <v>20013</v>
      </c>
      <c r="I95" s="10">
        <v>20910</v>
      </c>
      <c r="J95" s="30">
        <v>20485</v>
      </c>
      <c r="K95" s="10">
        <v>23123</v>
      </c>
      <c r="L95" s="30">
        <v>21759</v>
      </c>
      <c r="M95" s="10">
        <v>20470</v>
      </c>
      <c r="N95" s="10">
        <v>22936</v>
      </c>
      <c r="O95" s="10">
        <v>24466</v>
      </c>
      <c r="P95" s="10">
        <v>24047</v>
      </c>
      <c r="Q95" s="6">
        <f t="shared" si="3"/>
        <v>253474</v>
      </c>
      <c r="R95" s="15">
        <f t="shared" si="4"/>
        <v>0.19723591981711341</v>
      </c>
    </row>
    <row r="96" spans="1:18">
      <c r="A96" s="1" t="s">
        <v>238</v>
      </c>
      <c r="B96" s="7" t="s">
        <v>286</v>
      </c>
      <c r="C96" s="7" t="s">
        <v>287</v>
      </c>
      <c r="D96" s="6">
        <f>'2013 pax'!Q96</f>
        <v>325831</v>
      </c>
      <c r="E96" s="10">
        <v>30337</v>
      </c>
      <c r="F96" s="10">
        <v>23995</v>
      </c>
      <c r="G96" s="10">
        <v>25575</v>
      </c>
      <c r="H96" s="10">
        <v>27609</v>
      </c>
      <c r="I96" s="10">
        <v>26319</v>
      </c>
      <c r="J96" s="30">
        <v>30848</v>
      </c>
      <c r="K96" s="10">
        <v>30989</v>
      </c>
      <c r="L96" s="48">
        <v>29256</v>
      </c>
      <c r="M96" s="10">
        <v>28894</v>
      </c>
      <c r="N96" s="10">
        <v>30925</v>
      </c>
      <c r="O96" s="10">
        <v>30964</v>
      </c>
      <c r="P96" s="10">
        <v>37502</v>
      </c>
      <c r="Q96" s="6">
        <f t="shared" si="3"/>
        <v>353213</v>
      </c>
      <c r="R96" s="15">
        <f t="shared" si="4"/>
        <v>8.4037430447072348E-2</v>
      </c>
    </row>
    <row r="97" spans="1:19">
      <c r="A97" s="1" t="s">
        <v>238</v>
      </c>
      <c r="B97" s="7" t="s">
        <v>525</v>
      </c>
      <c r="C97" s="7" t="s">
        <v>259</v>
      </c>
      <c r="D97" s="6">
        <f>'2013 pax'!Q97</f>
        <v>5953668</v>
      </c>
      <c r="E97" s="10">
        <v>427507</v>
      </c>
      <c r="F97" s="10">
        <v>369098</v>
      </c>
      <c r="G97" s="10">
        <v>410329</v>
      </c>
      <c r="H97" s="10">
        <v>405147</v>
      </c>
      <c r="I97" s="10">
        <v>411988</v>
      </c>
      <c r="J97" s="30">
        <v>404530</v>
      </c>
      <c r="K97" s="10">
        <v>419635</v>
      </c>
      <c r="L97" s="30">
        <v>428876</v>
      </c>
      <c r="M97" s="10">
        <v>409819</v>
      </c>
      <c r="N97" s="10">
        <v>448227</v>
      </c>
      <c r="O97" s="10">
        <v>423037</v>
      </c>
      <c r="P97" s="10">
        <v>446267</v>
      </c>
      <c r="Q97" s="6">
        <f t="shared" si="3"/>
        <v>5004460</v>
      </c>
      <c r="R97" s="15">
        <f t="shared" si="4"/>
        <v>-0.15943247087341783</v>
      </c>
    </row>
    <row r="98" spans="1:19">
      <c r="A98" s="1" t="s">
        <v>238</v>
      </c>
      <c r="B98" s="7" t="s">
        <v>268</v>
      </c>
      <c r="C98" s="7" t="s">
        <v>269</v>
      </c>
      <c r="D98" s="6">
        <f>'2013 pax'!Q98</f>
        <v>1328860</v>
      </c>
      <c r="E98" s="10">
        <v>139179</v>
      </c>
      <c r="F98" s="10">
        <v>116151</v>
      </c>
      <c r="G98" s="10">
        <v>115518</v>
      </c>
      <c r="H98" s="10">
        <v>107032</v>
      </c>
      <c r="I98" s="10">
        <v>108272</v>
      </c>
      <c r="J98" s="30">
        <v>118957</v>
      </c>
      <c r="K98" s="10">
        <v>137686</v>
      </c>
      <c r="L98" s="10">
        <v>134111</v>
      </c>
      <c r="M98" s="10">
        <v>123328</v>
      </c>
      <c r="N98" s="10">
        <v>126526</v>
      </c>
      <c r="O98" s="10">
        <v>124538</v>
      </c>
      <c r="P98" s="10">
        <v>146898</v>
      </c>
      <c r="Q98" s="6">
        <f t="shared" si="3"/>
        <v>1498196</v>
      </c>
      <c r="R98" s="15">
        <f t="shared" si="4"/>
        <v>0.12742952605993096</v>
      </c>
    </row>
    <row r="99" spans="1:19">
      <c r="A99" s="1" t="s">
        <v>238</v>
      </c>
      <c r="B99" s="7" t="s">
        <v>276</v>
      </c>
      <c r="C99" s="7" t="s">
        <v>277</v>
      </c>
      <c r="D99" s="6">
        <f>'2013 pax'!Q99</f>
        <v>1150374</v>
      </c>
      <c r="E99" s="10">
        <v>115685</v>
      </c>
      <c r="F99" s="10">
        <v>85414</v>
      </c>
      <c r="G99" s="10">
        <v>90548</v>
      </c>
      <c r="H99" s="10">
        <v>90742</v>
      </c>
      <c r="I99" s="10">
        <v>94125</v>
      </c>
      <c r="J99" s="10">
        <v>90266</v>
      </c>
      <c r="K99" s="10">
        <v>108605</v>
      </c>
      <c r="L99" s="10">
        <v>105126</v>
      </c>
      <c r="M99" s="10">
        <v>100814</v>
      </c>
      <c r="N99" s="10">
        <v>113470</v>
      </c>
      <c r="O99" s="10">
        <v>109999</v>
      </c>
      <c r="P99" s="10">
        <v>119490</v>
      </c>
      <c r="Q99" s="6">
        <f t="shared" si="3"/>
        <v>1224284</v>
      </c>
      <c r="R99" s="15">
        <f t="shared" si="4"/>
        <v>6.4248670432398569E-2</v>
      </c>
    </row>
    <row r="100" spans="1:19">
      <c r="A100" s="1" t="s">
        <v>238</v>
      </c>
      <c r="B100" s="7" t="s">
        <v>284</v>
      </c>
      <c r="C100" s="7" t="s">
        <v>285</v>
      </c>
      <c r="D100" s="6">
        <f>'2013 pax'!Q100</f>
        <v>286317</v>
      </c>
      <c r="E100" s="10">
        <v>27697</v>
      </c>
      <c r="F100" s="10">
        <v>26457</v>
      </c>
      <c r="G100" s="10">
        <v>28073</v>
      </c>
      <c r="H100" s="10">
        <v>29131</v>
      </c>
      <c r="I100" s="10">
        <v>35036</v>
      </c>
      <c r="J100" s="10">
        <v>30478</v>
      </c>
      <c r="K100" s="10">
        <v>31287</v>
      </c>
      <c r="L100" s="10">
        <v>30918</v>
      </c>
      <c r="M100" s="10">
        <v>30643</v>
      </c>
      <c r="N100" s="10">
        <v>30332</v>
      </c>
      <c r="O100" s="10">
        <v>31529</v>
      </c>
      <c r="P100" s="10">
        <v>30445</v>
      </c>
      <c r="Q100" s="6">
        <f t="shared" si="3"/>
        <v>362026</v>
      </c>
      <c r="R100" s="15">
        <f t="shared" si="4"/>
        <v>0.26442369820862899</v>
      </c>
    </row>
    <row r="101" spans="1:19">
      <c r="A101" s="1" t="s">
        <v>238</v>
      </c>
      <c r="B101" s="7" t="s">
        <v>278</v>
      </c>
      <c r="C101" s="7" t="s">
        <v>279</v>
      </c>
      <c r="D101" s="6">
        <f>'2013 pax'!Q101</f>
        <v>152610</v>
      </c>
      <c r="E101" s="10">
        <v>12238</v>
      </c>
      <c r="F101" s="10">
        <v>13391</v>
      </c>
      <c r="G101" s="10">
        <v>13896</v>
      </c>
      <c r="H101" s="10">
        <v>13412</v>
      </c>
      <c r="I101" s="10">
        <v>14307</v>
      </c>
      <c r="J101" s="10">
        <v>13500</v>
      </c>
      <c r="K101" s="10">
        <v>19171</v>
      </c>
      <c r="L101" s="10">
        <v>20182</v>
      </c>
      <c r="M101" s="10">
        <v>19253</v>
      </c>
      <c r="N101" s="10">
        <v>21631</v>
      </c>
      <c r="O101" s="10">
        <v>19796</v>
      </c>
      <c r="P101" s="10">
        <v>18571</v>
      </c>
      <c r="Q101" s="6">
        <f t="shared" si="3"/>
        <v>199348</v>
      </c>
      <c r="R101" s="15">
        <f t="shared" si="4"/>
        <v>0.30625778127252468</v>
      </c>
    </row>
    <row r="102" spans="1:19">
      <c r="A102" s="1" t="s">
        <v>241</v>
      </c>
      <c r="B102" s="3" t="s">
        <v>529</v>
      </c>
      <c r="C102" s="3" t="s">
        <v>250</v>
      </c>
      <c r="D102" s="6">
        <f>'2013 pax'!Q102</f>
        <v>151882</v>
      </c>
      <c r="E102" s="10">
        <v>7538</v>
      </c>
      <c r="F102" s="10">
        <v>7166</v>
      </c>
      <c r="G102" s="10">
        <v>8119</v>
      </c>
      <c r="H102" s="10">
        <v>6282</v>
      </c>
      <c r="I102" s="10">
        <v>3377</v>
      </c>
      <c r="J102" s="10">
        <v>3762</v>
      </c>
      <c r="K102" s="10">
        <v>4095</v>
      </c>
      <c r="L102" s="10">
        <v>3640</v>
      </c>
      <c r="M102" s="10">
        <v>2278</v>
      </c>
      <c r="N102" s="10">
        <v>2333</v>
      </c>
      <c r="O102" s="10">
        <v>3680</v>
      </c>
      <c r="P102" s="10">
        <v>5511</v>
      </c>
      <c r="Q102" s="6">
        <f t="shared" si="3"/>
        <v>57781</v>
      </c>
      <c r="R102" s="15">
        <f t="shared" si="4"/>
        <v>-0.61956650557669768</v>
      </c>
    </row>
    <row r="103" spans="1:19">
      <c r="A103" s="1" t="s">
        <v>241</v>
      </c>
      <c r="B103" s="3" t="s">
        <v>245</v>
      </c>
      <c r="C103" s="3" t="s">
        <v>246</v>
      </c>
      <c r="D103" s="6">
        <f>'2013 pax'!Q103</f>
        <v>0</v>
      </c>
      <c r="E103" s="10">
        <v>35884</v>
      </c>
      <c r="F103" s="10">
        <v>37112</v>
      </c>
      <c r="G103" s="10">
        <v>42448</v>
      </c>
      <c r="H103" s="10">
        <v>44467</v>
      </c>
      <c r="I103" s="10">
        <v>43159</v>
      </c>
      <c r="J103" s="10">
        <v>60049</v>
      </c>
      <c r="K103" s="10">
        <v>80857</v>
      </c>
      <c r="L103" s="10">
        <v>63553</v>
      </c>
      <c r="M103" s="10">
        <v>35035</v>
      </c>
      <c r="N103" s="10">
        <v>40814</v>
      </c>
      <c r="O103" s="10">
        <v>40261</v>
      </c>
      <c r="P103" s="10">
        <v>72491</v>
      </c>
      <c r="Q103" s="6">
        <f t="shared" si="3"/>
        <v>596130</v>
      </c>
    </row>
    <row r="104" spans="1:19">
      <c r="A104" s="1" t="s">
        <v>241</v>
      </c>
      <c r="B104" s="3" t="s">
        <v>530</v>
      </c>
      <c r="C104" s="3" t="s">
        <v>247</v>
      </c>
      <c r="D104" s="6">
        <f>'2013 pax'!Q104</f>
        <v>3117458</v>
      </c>
      <c r="E104" s="10">
        <v>116055</v>
      </c>
      <c r="F104" s="10">
        <v>100957</v>
      </c>
      <c r="G104" s="10">
        <v>114373</v>
      </c>
      <c r="H104" s="10">
        <v>120230</v>
      </c>
      <c r="I104" s="10">
        <v>120437</v>
      </c>
      <c r="J104" s="10">
        <v>136867</v>
      </c>
      <c r="K104" s="10">
        <v>161797</v>
      </c>
      <c r="L104" s="10">
        <v>150070</v>
      </c>
      <c r="M104" s="10">
        <v>109957</v>
      </c>
      <c r="N104" s="10">
        <v>119503</v>
      </c>
      <c r="O104" s="10">
        <v>126592</v>
      </c>
      <c r="P104" s="10">
        <v>169523</v>
      </c>
      <c r="Q104" s="6">
        <f t="shared" si="3"/>
        <v>1546361</v>
      </c>
      <c r="R104" s="15">
        <f t="shared" si="4"/>
        <v>-0.50396733492480084</v>
      </c>
    </row>
    <row r="105" spans="1:19">
      <c r="A105" s="1" t="s">
        <v>241</v>
      </c>
      <c r="B105" s="3" t="s">
        <v>248</v>
      </c>
      <c r="C105" s="3" t="s">
        <v>249</v>
      </c>
      <c r="D105" s="6">
        <f>'2013 pax'!Q105</f>
        <v>0</v>
      </c>
      <c r="E105" s="10">
        <v>13851</v>
      </c>
      <c r="F105" s="10">
        <v>13160</v>
      </c>
      <c r="G105" s="10">
        <v>14297</v>
      </c>
      <c r="H105" s="10">
        <v>10470</v>
      </c>
      <c r="I105" s="10">
        <v>8208</v>
      </c>
      <c r="J105" s="10">
        <v>8724</v>
      </c>
      <c r="K105" s="10">
        <v>9315</v>
      </c>
      <c r="L105" s="10">
        <v>9287</v>
      </c>
      <c r="M105" s="10">
        <v>4642</v>
      </c>
      <c r="N105" s="10">
        <v>4216</v>
      </c>
      <c r="O105" s="10">
        <v>7235</v>
      </c>
      <c r="P105" s="10">
        <v>12686</v>
      </c>
      <c r="Q105" s="6">
        <f t="shared" si="3"/>
        <v>116091</v>
      </c>
    </row>
    <row r="106" spans="1:19">
      <c r="A106" s="1" t="s">
        <v>241</v>
      </c>
      <c r="B106" s="3" t="s">
        <v>531</v>
      </c>
      <c r="C106" s="3" t="s">
        <v>242</v>
      </c>
      <c r="D106" s="6">
        <f>'2013 pax'!Q106</f>
        <v>769502</v>
      </c>
      <c r="E106" s="10">
        <v>95194</v>
      </c>
      <c r="F106" s="10">
        <v>92730</v>
      </c>
      <c r="G106" s="10">
        <v>106391</v>
      </c>
      <c r="H106" s="10">
        <v>81347</v>
      </c>
      <c r="I106" s="10">
        <v>51019</v>
      </c>
      <c r="J106" s="10">
        <v>49152</v>
      </c>
      <c r="K106" s="10">
        <v>52705</v>
      </c>
      <c r="L106" s="10">
        <v>50690</v>
      </c>
      <c r="M106" s="10">
        <v>39340</v>
      </c>
      <c r="N106" s="10">
        <v>40253</v>
      </c>
      <c r="O106" s="10">
        <v>27317</v>
      </c>
      <c r="P106" s="10">
        <v>41881</v>
      </c>
      <c r="Q106" s="6">
        <f t="shared" si="3"/>
        <v>728019</v>
      </c>
      <c r="R106" s="15">
        <f t="shared" si="4"/>
        <v>-5.3908891724777863E-2</v>
      </c>
    </row>
    <row r="107" spans="1:19">
      <c r="A107" s="1" t="s">
        <v>241</v>
      </c>
      <c r="B107" s="3" t="s">
        <v>243</v>
      </c>
      <c r="C107" s="3" t="s">
        <v>244</v>
      </c>
      <c r="D107" s="6">
        <f>'2013 pax'!Q107</f>
        <v>0</v>
      </c>
      <c r="E107" s="10">
        <v>276300</v>
      </c>
      <c r="F107" s="10">
        <v>266298</v>
      </c>
      <c r="G107" s="10">
        <v>301944</v>
      </c>
      <c r="H107" s="10">
        <v>263569</v>
      </c>
      <c r="I107" s="10">
        <v>223057</v>
      </c>
      <c r="J107" s="10">
        <v>245643</v>
      </c>
      <c r="K107" s="10">
        <v>282429</v>
      </c>
      <c r="L107" s="10">
        <v>234491</v>
      </c>
      <c r="M107" s="10">
        <v>152549</v>
      </c>
      <c r="N107" s="10">
        <v>175513</v>
      </c>
      <c r="O107" s="10">
        <v>228513</v>
      </c>
      <c r="P107" s="10">
        <v>277521</v>
      </c>
      <c r="Q107" s="6">
        <f t="shared" si="3"/>
        <v>2927827</v>
      </c>
    </row>
    <row r="108" spans="1:19">
      <c r="A108" s="3" t="s">
        <v>341</v>
      </c>
      <c r="B108" s="3" t="s">
        <v>342</v>
      </c>
      <c r="C108" s="3" t="s">
        <v>343</v>
      </c>
      <c r="D108" s="6">
        <f>'2013 pax'!Q108</f>
        <v>0</v>
      </c>
      <c r="E108" s="10"/>
      <c r="F108" s="10"/>
      <c r="G108" s="10"/>
      <c r="H108" s="10"/>
      <c r="I108" s="33"/>
      <c r="J108" s="33"/>
      <c r="K108" s="10"/>
      <c r="L108" s="10"/>
      <c r="M108" s="10"/>
      <c r="N108" s="10"/>
      <c r="O108" s="10"/>
      <c r="P108" s="10"/>
      <c r="Q108" s="6">
        <f t="shared" si="3"/>
        <v>0</v>
      </c>
    </row>
    <row r="109" spans="1:19">
      <c r="A109" s="1" t="s">
        <v>251</v>
      </c>
      <c r="B109" s="3" t="s">
        <v>361</v>
      </c>
      <c r="C109" s="3" t="s">
        <v>252</v>
      </c>
      <c r="D109" s="6">
        <f>'2013 pax'!Q109</f>
        <v>2355001</v>
      </c>
      <c r="E109" s="10">
        <v>225951</v>
      </c>
      <c r="F109" s="10">
        <v>195595</v>
      </c>
      <c r="G109" s="10">
        <v>221371</v>
      </c>
      <c r="H109" s="10">
        <v>209281</v>
      </c>
      <c r="I109" s="10">
        <v>211453</v>
      </c>
      <c r="J109" s="10">
        <v>193200</v>
      </c>
      <c r="K109" s="10">
        <v>212833</v>
      </c>
      <c r="L109" s="10">
        <v>207928</v>
      </c>
      <c r="M109" s="10">
        <v>167377</v>
      </c>
      <c r="N109" s="10">
        <v>192526</v>
      </c>
      <c r="O109" s="10">
        <v>191776</v>
      </c>
      <c r="P109" s="10">
        <v>210285</v>
      </c>
      <c r="Q109" s="6">
        <f t="shared" si="3"/>
        <v>2439576</v>
      </c>
      <c r="R109" s="15">
        <f t="shared" ref="R109:R148" si="5">Q109/D109-1</f>
        <v>3.5912935918073874E-2</v>
      </c>
    </row>
    <row r="110" spans="1:19">
      <c r="A110" s="1" t="s">
        <v>334</v>
      </c>
      <c r="B110" s="7" t="s">
        <v>335</v>
      </c>
      <c r="C110" s="7" t="s">
        <v>336</v>
      </c>
      <c r="D110" s="6">
        <f>'2013 pax'!Q110</f>
        <v>1975901</v>
      </c>
      <c r="E110" s="10">
        <v>196316</v>
      </c>
      <c r="F110" s="10">
        <v>186782</v>
      </c>
      <c r="G110" s="10">
        <v>202485</v>
      </c>
      <c r="H110" s="10">
        <v>180642</v>
      </c>
      <c r="I110" s="10">
        <v>147139</v>
      </c>
      <c r="J110" s="10">
        <v>137688</v>
      </c>
      <c r="K110" s="10">
        <v>198405</v>
      </c>
      <c r="L110" s="10">
        <v>217643</v>
      </c>
      <c r="M110" s="10">
        <v>104659</v>
      </c>
      <c r="N110" s="10">
        <v>134098</v>
      </c>
      <c r="O110" s="10">
        <v>137252</v>
      </c>
      <c r="P110" s="10">
        <v>185971</v>
      </c>
      <c r="Q110" s="6">
        <f t="shared" si="3"/>
        <v>2029080</v>
      </c>
      <c r="R110" s="15">
        <f t="shared" si="5"/>
        <v>2.691379780667158E-2</v>
      </c>
    </row>
    <row r="111" spans="1:19" s="42" customFormat="1">
      <c r="A111" s="1" t="s">
        <v>546</v>
      </c>
      <c r="B111" s="7" t="s">
        <v>547</v>
      </c>
      <c r="C111" s="7" t="s">
        <v>548</v>
      </c>
      <c r="D111" s="6">
        <f>'2013 pax'!Q111</f>
        <v>1688834</v>
      </c>
      <c r="E111" s="10">
        <v>187096</v>
      </c>
      <c r="F111" s="10">
        <v>159936</v>
      </c>
      <c r="G111" s="10">
        <v>191522</v>
      </c>
      <c r="H111" s="10">
        <v>183833</v>
      </c>
      <c r="I111" s="10">
        <v>175173</v>
      </c>
      <c r="J111" s="10">
        <v>198450</v>
      </c>
      <c r="K111" s="10">
        <v>209656</v>
      </c>
      <c r="L111" s="10">
        <v>188517</v>
      </c>
      <c r="M111" s="10">
        <v>150964</v>
      </c>
      <c r="N111" s="10">
        <v>165193</v>
      </c>
      <c r="O111" s="10">
        <v>195308</v>
      </c>
      <c r="P111" s="10">
        <v>211237</v>
      </c>
      <c r="Q111" s="6">
        <f t="shared" si="3"/>
        <v>2216885</v>
      </c>
      <c r="R111" s="15"/>
    </row>
    <row r="112" spans="1:19">
      <c r="A112" s="1" t="s">
        <v>331</v>
      </c>
      <c r="B112" s="7" t="s">
        <v>332</v>
      </c>
      <c r="C112" s="7" t="s">
        <v>333</v>
      </c>
      <c r="D112" s="6">
        <f>'2013 pax'!Q111</f>
        <v>1688834</v>
      </c>
      <c r="E112" s="10">
        <v>163486</v>
      </c>
      <c r="F112" s="10">
        <v>158784</v>
      </c>
      <c r="G112" s="10">
        <v>168819</v>
      </c>
      <c r="H112" s="10">
        <v>152737</v>
      </c>
      <c r="I112" s="10">
        <v>122671</v>
      </c>
      <c r="J112" s="10">
        <v>115153</v>
      </c>
      <c r="K112" s="10">
        <v>161147</v>
      </c>
      <c r="L112" s="10">
        <v>178072</v>
      </c>
      <c r="M112" s="10">
        <v>87733</v>
      </c>
      <c r="N112" s="10">
        <v>114163</v>
      </c>
      <c r="O112" s="10">
        <v>109312</v>
      </c>
      <c r="P112" s="10">
        <v>151262</v>
      </c>
      <c r="Q112" s="6">
        <f t="shared" si="3"/>
        <v>1683339</v>
      </c>
      <c r="R112" s="15">
        <f t="shared" si="5"/>
        <v>-3.2537241670880235E-3</v>
      </c>
      <c r="S112" s="23"/>
    </row>
    <row r="113" spans="1:18" ht="15.75">
      <c r="A113" s="1" t="s">
        <v>85</v>
      </c>
      <c r="B113" s="1" t="s">
        <v>364</v>
      </c>
      <c r="C113" s="1" t="s">
        <v>126</v>
      </c>
      <c r="D113" s="6">
        <f>'2013 pax'!Q112</f>
        <v>617079</v>
      </c>
      <c r="E113" s="10">
        <v>59850</v>
      </c>
      <c r="F113" s="10">
        <v>49687</v>
      </c>
      <c r="G113" s="10">
        <v>54964</v>
      </c>
      <c r="H113" s="10">
        <v>53790</v>
      </c>
      <c r="I113" s="10">
        <v>48658</v>
      </c>
      <c r="J113" s="10">
        <v>46898</v>
      </c>
      <c r="K113" s="10">
        <v>58860</v>
      </c>
      <c r="L113" s="10">
        <v>54366</v>
      </c>
      <c r="M113" s="10">
        <v>38342</v>
      </c>
      <c r="N113" s="30">
        <v>46838</v>
      </c>
      <c r="O113" s="10">
        <v>53675</v>
      </c>
      <c r="P113" s="10">
        <v>65642</v>
      </c>
      <c r="Q113" s="6">
        <f>SUM(E113:P113)</f>
        <v>631570</v>
      </c>
      <c r="R113" s="15">
        <f t="shared" si="5"/>
        <v>2.3483216897674408E-2</v>
      </c>
    </row>
    <row r="114" spans="1:18">
      <c r="A114" s="1" t="s">
        <v>85</v>
      </c>
      <c r="B114" s="1" t="s">
        <v>377</v>
      </c>
      <c r="C114" s="1" t="s">
        <v>121</v>
      </c>
      <c r="D114" s="6">
        <f>'2013 pax'!Q113</f>
        <v>456600</v>
      </c>
      <c r="E114" s="10">
        <v>38600</v>
      </c>
      <c r="F114" s="10">
        <v>35100</v>
      </c>
      <c r="G114" s="10">
        <v>38300</v>
      </c>
      <c r="H114" s="10">
        <v>41800</v>
      </c>
      <c r="I114" s="10">
        <v>46800</v>
      </c>
      <c r="J114" s="10">
        <v>43600</v>
      </c>
      <c r="K114" s="10">
        <v>54000</v>
      </c>
      <c r="L114" s="10">
        <v>49800</v>
      </c>
      <c r="M114" s="10">
        <v>45600</v>
      </c>
      <c r="N114" s="10">
        <v>50500</v>
      </c>
      <c r="O114" s="10">
        <v>48500</v>
      </c>
      <c r="P114" s="10">
        <v>47900</v>
      </c>
      <c r="Q114" s="6">
        <f t="shared" si="3"/>
        <v>540500</v>
      </c>
      <c r="R114" s="15">
        <f t="shared" si="5"/>
        <v>0.18374945247481378</v>
      </c>
    </row>
    <row r="115" spans="1:18">
      <c r="A115" s="1" t="s">
        <v>85</v>
      </c>
      <c r="B115" s="1" t="s">
        <v>88</v>
      </c>
      <c r="C115" s="1" t="s">
        <v>89</v>
      </c>
      <c r="D115" s="6">
        <f>'2013 pax'!Q114</f>
        <v>15926361</v>
      </c>
      <c r="E115" s="10">
        <v>1515849</v>
      </c>
      <c r="F115" s="10">
        <v>1376276</v>
      </c>
      <c r="G115" s="10">
        <v>1623442</v>
      </c>
      <c r="H115" s="10">
        <v>1515443</v>
      </c>
      <c r="I115" s="10">
        <v>1442138</v>
      </c>
      <c r="J115" s="10">
        <v>1427334</v>
      </c>
      <c r="K115" s="10">
        <v>1699008</v>
      </c>
      <c r="L115" s="10">
        <v>1566037</v>
      </c>
      <c r="M115" s="10">
        <v>1060816</v>
      </c>
      <c r="N115" s="30">
        <v>1191874</v>
      </c>
      <c r="O115" s="30">
        <v>1416880</v>
      </c>
      <c r="P115" s="30">
        <v>1620256</v>
      </c>
      <c r="Q115" s="6">
        <f t="shared" ref="Q115:Q120" si="6">SUM(E115:P115)</f>
        <v>17455353</v>
      </c>
      <c r="R115" s="15">
        <f t="shared" si="5"/>
        <v>9.6003851727334277E-2</v>
      </c>
    </row>
    <row r="116" spans="1:18" ht="15.75">
      <c r="A116" s="1" t="s">
        <v>85</v>
      </c>
      <c r="B116" s="1" t="s">
        <v>365</v>
      </c>
      <c r="C116" s="1" t="s">
        <v>129</v>
      </c>
      <c r="D116" s="6">
        <f>'2013 pax'!Q115</f>
        <v>885659</v>
      </c>
      <c r="E116" s="10">
        <v>67523</v>
      </c>
      <c r="F116" s="10">
        <v>61878</v>
      </c>
      <c r="G116" s="10">
        <v>71747</v>
      </c>
      <c r="H116" s="10">
        <v>77883</v>
      </c>
      <c r="I116" s="10">
        <v>80501</v>
      </c>
      <c r="J116" s="10">
        <v>76171</v>
      </c>
      <c r="K116" s="10">
        <v>97818</v>
      </c>
      <c r="L116" s="10">
        <v>92266</v>
      </c>
      <c r="M116" s="10">
        <v>83694</v>
      </c>
      <c r="N116" s="30">
        <v>88142</v>
      </c>
      <c r="O116" s="30">
        <v>81530</v>
      </c>
      <c r="P116" s="30">
        <v>82385</v>
      </c>
      <c r="Q116" s="6">
        <f t="shared" si="6"/>
        <v>961538</v>
      </c>
      <c r="R116" s="15">
        <f t="shared" si="5"/>
        <v>8.567518649954442E-2</v>
      </c>
    </row>
    <row r="117" spans="1:18" ht="15.75">
      <c r="A117" s="1" t="s">
        <v>85</v>
      </c>
      <c r="B117" s="1" t="s">
        <v>366</v>
      </c>
      <c r="C117" s="1" t="s">
        <v>127</v>
      </c>
      <c r="D117" s="6">
        <f>'2013 pax'!Q116</f>
        <v>702904</v>
      </c>
      <c r="E117" s="10">
        <v>60192</v>
      </c>
      <c r="F117" s="10">
        <v>50788</v>
      </c>
      <c r="G117" s="10">
        <v>60415</v>
      </c>
      <c r="H117" s="10">
        <v>59515</v>
      </c>
      <c r="I117" s="10">
        <v>64465</v>
      </c>
      <c r="J117" s="10">
        <v>61794</v>
      </c>
      <c r="K117" s="10">
        <v>74455</v>
      </c>
      <c r="L117" s="10">
        <v>66359</v>
      </c>
      <c r="M117" s="10">
        <v>59415</v>
      </c>
      <c r="N117" s="32">
        <v>64985</v>
      </c>
      <c r="O117" s="32">
        <v>70165</v>
      </c>
      <c r="P117" s="32">
        <v>76481</v>
      </c>
      <c r="Q117" s="6">
        <f t="shared" si="6"/>
        <v>769029</v>
      </c>
      <c r="R117" s="15">
        <f t="shared" si="5"/>
        <v>9.4074012951982144E-2</v>
      </c>
    </row>
    <row r="118" spans="1:18">
      <c r="A118" s="1" t="s">
        <v>85</v>
      </c>
      <c r="B118" s="1" t="s">
        <v>97</v>
      </c>
      <c r="C118" s="1" t="s">
        <v>98</v>
      </c>
      <c r="D118" s="6">
        <f>'2013 pax'!Q117</f>
        <v>448634</v>
      </c>
      <c r="E118" s="10">
        <v>48715</v>
      </c>
      <c r="F118" s="10">
        <v>49374</v>
      </c>
      <c r="G118" s="10">
        <v>69719</v>
      </c>
      <c r="H118" s="10">
        <v>47419</v>
      </c>
      <c r="I118" s="10">
        <v>38961</v>
      </c>
      <c r="J118" s="10">
        <v>47916</v>
      </c>
      <c r="K118" s="10">
        <v>52572</v>
      </c>
      <c r="L118" s="10">
        <v>38498</v>
      </c>
      <c r="M118" s="10">
        <v>17936</v>
      </c>
      <c r="N118" s="30">
        <v>22442</v>
      </c>
      <c r="O118" s="30">
        <v>36281</v>
      </c>
      <c r="P118" s="30">
        <v>44695</v>
      </c>
      <c r="Q118" s="6">
        <f t="shared" si="6"/>
        <v>514528</v>
      </c>
      <c r="R118" s="15">
        <f t="shared" si="5"/>
        <v>0.14687696429606323</v>
      </c>
    </row>
    <row r="119" spans="1:18" ht="15.75">
      <c r="A119" s="1" t="s">
        <v>85</v>
      </c>
      <c r="B119" s="1" t="s">
        <v>367</v>
      </c>
      <c r="C119" s="1" t="s">
        <v>125</v>
      </c>
      <c r="D119" s="6">
        <f>'2013 pax'!Q118</f>
        <v>1252235</v>
      </c>
      <c r="E119" s="10">
        <v>113255</v>
      </c>
      <c r="F119" s="10">
        <v>98529</v>
      </c>
      <c r="G119" s="10">
        <v>114775</v>
      </c>
      <c r="H119" s="10">
        <v>120596</v>
      </c>
      <c r="I119" s="10">
        <v>110119</v>
      </c>
      <c r="J119" s="10">
        <v>99264</v>
      </c>
      <c r="K119" s="10">
        <v>116473</v>
      </c>
      <c r="L119" s="10">
        <v>104083</v>
      </c>
      <c r="M119" s="10">
        <v>92500</v>
      </c>
      <c r="N119" s="10">
        <v>107181</v>
      </c>
      <c r="O119" s="10">
        <v>113432</v>
      </c>
      <c r="P119" s="10">
        <v>117510</v>
      </c>
      <c r="Q119" s="6">
        <f t="shared" si="6"/>
        <v>1307717</v>
      </c>
      <c r="R119" s="15">
        <f t="shared" si="5"/>
        <v>4.4306380192216333E-2</v>
      </c>
    </row>
    <row r="120" spans="1:18" ht="15.75">
      <c r="A120" s="1" t="s">
        <v>85</v>
      </c>
      <c r="B120" s="1" t="s">
        <v>368</v>
      </c>
      <c r="C120" s="1" t="s">
        <v>136</v>
      </c>
      <c r="D120" s="6">
        <f>'2013 pax'!Q119</f>
        <v>235952</v>
      </c>
      <c r="E120" s="10">
        <v>17031</v>
      </c>
      <c r="F120" s="10">
        <v>16464</v>
      </c>
      <c r="G120" s="10">
        <v>19412</v>
      </c>
      <c r="H120" s="10">
        <v>19334</v>
      </c>
      <c r="I120" s="10">
        <v>20905</v>
      </c>
      <c r="J120" s="10">
        <v>21841</v>
      </c>
      <c r="K120" s="10">
        <v>25886</v>
      </c>
      <c r="L120" s="10">
        <v>25035</v>
      </c>
      <c r="M120" s="10">
        <v>20651</v>
      </c>
      <c r="N120" s="30">
        <v>24218</v>
      </c>
      <c r="O120" s="30">
        <v>22579</v>
      </c>
      <c r="P120" s="30">
        <v>22581</v>
      </c>
      <c r="Q120" s="6">
        <f t="shared" si="6"/>
        <v>255937</v>
      </c>
      <c r="R120" s="15">
        <f t="shared" si="5"/>
        <v>8.4699430392622288E-2</v>
      </c>
    </row>
    <row r="121" spans="1:18">
      <c r="A121" s="1" t="s">
        <v>85</v>
      </c>
      <c r="B121" s="1" t="s">
        <v>105</v>
      </c>
      <c r="C121" s="1" t="s">
        <v>106</v>
      </c>
      <c r="D121" s="6">
        <f>'2013 pax'!Q120</f>
        <v>8147700</v>
      </c>
      <c r="E121" s="10">
        <v>757400</v>
      </c>
      <c r="F121" s="10">
        <v>613300</v>
      </c>
      <c r="G121" s="10">
        <v>697400</v>
      </c>
      <c r="H121" s="10">
        <v>685000</v>
      </c>
      <c r="I121" s="10">
        <v>714200</v>
      </c>
      <c r="J121" s="10">
        <v>722100</v>
      </c>
      <c r="K121" s="10">
        <v>847100</v>
      </c>
      <c r="L121" s="10">
        <v>799300</v>
      </c>
      <c r="M121" s="10">
        <v>637100</v>
      </c>
      <c r="N121" s="10">
        <v>694900</v>
      </c>
      <c r="O121" s="10">
        <v>727300</v>
      </c>
      <c r="P121" s="10">
        <v>838100</v>
      </c>
      <c r="Q121" s="6">
        <f t="shared" si="3"/>
        <v>8733200</v>
      </c>
      <c r="R121" s="15">
        <f t="shared" si="5"/>
        <v>7.1860770524196926E-2</v>
      </c>
    </row>
    <row r="122" spans="1:18">
      <c r="A122" s="1" t="s">
        <v>85</v>
      </c>
      <c r="B122" s="1" t="s">
        <v>113</v>
      </c>
      <c r="C122" s="1" t="s">
        <v>114</v>
      </c>
      <c r="D122" s="6">
        <f>'2013 pax'!Q121</f>
        <v>1329700</v>
      </c>
      <c r="E122" s="10">
        <v>110900</v>
      </c>
      <c r="F122" s="10">
        <v>94800</v>
      </c>
      <c r="G122" s="10">
        <v>110700</v>
      </c>
      <c r="H122" s="10">
        <v>116900</v>
      </c>
      <c r="I122" s="10">
        <v>118100</v>
      </c>
      <c r="J122" s="10">
        <v>111700</v>
      </c>
      <c r="K122" s="10">
        <v>120600</v>
      </c>
      <c r="L122" s="10">
        <v>112200</v>
      </c>
      <c r="M122" s="10">
        <v>99300</v>
      </c>
      <c r="N122" s="10">
        <v>115200</v>
      </c>
      <c r="O122" s="10">
        <v>106800</v>
      </c>
      <c r="P122" s="10">
        <v>109100</v>
      </c>
      <c r="Q122" s="6">
        <f t="shared" si="3"/>
        <v>1326300</v>
      </c>
      <c r="R122" s="15">
        <f t="shared" si="5"/>
        <v>-2.5569677370835819E-3</v>
      </c>
    </row>
    <row r="123" spans="1:18">
      <c r="A123" s="1" t="s">
        <v>85</v>
      </c>
      <c r="B123" s="1" t="s">
        <v>99</v>
      </c>
      <c r="C123" s="1" t="s">
        <v>100</v>
      </c>
      <c r="D123" s="6">
        <f>'2013 pax'!Q122</f>
        <v>482293</v>
      </c>
      <c r="E123" s="10">
        <v>53842</v>
      </c>
      <c r="F123" s="10">
        <v>46135</v>
      </c>
      <c r="G123" s="10">
        <v>49100</v>
      </c>
      <c r="H123" s="10">
        <v>44817</v>
      </c>
      <c r="I123" s="10">
        <v>35933</v>
      </c>
      <c r="J123" s="10">
        <v>30895</v>
      </c>
      <c r="K123" s="10">
        <v>43827</v>
      </c>
      <c r="L123" s="10">
        <v>40474</v>
      </c>
      <c r="M123" s="10">
        <v>27718</v>
      </c>
      <c r="N123" s="30">
        <v>36482</v>
      </c>
      <c r="O123" s="30">
        <v>50211</v>
      </c>
      <c r="P123" s="30">
        <v>60185</v>
      </c>
      <c r="Q123" s="6">
        <f>SUM(E123:P123)</f>
        <v>519619</v>
      </c>
      <c r="R123" s="15">
        <f t="shared" si="5"/>
        <v>7.7392788201362972E-2</v>
      </c>
    </row>
    <row r="124" spans="1:18">
      <c r="A124" s="1" t="s">
        <v>85</v>
      </c>
      <c r="B124" s="1" t="s">
        <v>381</v>
      </c>
      <c r="C124" s="1" t="s">
        <v>120</v>
      </c>
      <c r="D124" s="6">
        <f>'2013 pax'!Q123</f>
        <v>600300</v>
      </c>
      <c r="E124" s="10">
        <v>55200</v>
      </c>
      <c r="F124" s="10">
        <v>47600</v>
      </c>
      <c r="G124" s="10">
        <v>57300</v>
      </c>
      <c r="H124" s="10">
        <v>59300</v>
      </c>
      <c r="I124" s="10">
        <v>53200</v>
      </c>
      <c r="J124" s="10">
        <v>53100</v>
      </c>
      <c r="K124" s="10">
        <v>66100</v>
      </c>
      <c r="L124" s="10">
        <v>57800</v>
      </c>
      <c r="M124" s="10">
        <v>50800</v>
      </c>
      <c r="N124" s="10">
        <v>57500</v>
      </c>
      <c r="O124" s="10">
        <v>54400</v>
      </c>
      <c r="P124" s="10">
        <v>59400</v>
      </c>
      <c r="Q124" s="6">
        <f t="shared" ref="Q124:Q156" si="7">SUM(E124:P124)</f>
        <v>671700</v>
      </c>
      <c r="R124" s="15">
        <f t="shared" si="5"/>
        <v>0.11894052973513247</v>
      </c>
    </row>
    <row r="125" spans="1:18">
      <c r="A125" s="1" t="s">
        <v>85</v>
      </c>
      <c r="B125" s="1" t="s">
        <v>380</v>
      </c>
      <c r="C125" s="1" t="s">
        <v>115</v>
      </c>
      <c r="D125" s="6">
        <f>'2013 pax'!Q124</f>
        <v>998100</v>
      </c>
      <c r="E125" s="10">
        <v>100500</v>
      </c>
      <c r="F125" s="10">
        <v>79000</v>
      </c>
      <c r="G125" s="10">
        <v>90000</v>
      </c>
      <c r="H125" s="10">
        <v>89400</v>
      </c>
      <c r="I125" s="10">
        <v>94600</v>
      </c>
      <c r="J125" s="10">
        <v>101700</v>
      </c>
      <c r="K125" s="10">
        <v>120800</v>
      </c>
      <c r="L125" s="10">
        <v>113900</v>
      </c>
      <c r="M125" s="10">
        <v>94400</v>
      </c>
      <c r="N125" s="10">
        <v>105500</v>
      </c>
      <c r="O125" s="10">
        <v>107800</v>
      </c>
      <c r="P125" s="10">
        <v>124500</v>
      </c>
      <c r="Q125" s="6">
        <f t="shared" si="7"/>
        <v>1222100</v>
      </c>
      <c r="R125" s="15">
        <f t="shared" si="5"/>
        <v>0.22442641017934073</v>
      </c>
    </row>
    <row r="126" spans="1:18">
      <c r="A126" s="1" t="s">
        <v>85</v>
      </c>
      <c r="B126" s="1" t="s">
        <v>379</v>
      </c>
      <c r="C126" s="1" t="s">
        <v>123</v>
      </c>
      <c r="D126" s="6">
        <f>'2013 pax'!Q125</f>
        <v>196900</v>
      </c>
      <c r="E126" s="10">
        <v>17700</v>
      </c>
      <c r="F126" s="10">
        <v>14600</v>
      </c>
      <c r="G126" s="10">
        <v>17200</v>
      </c>
      <c r="H126" s="10">
        <v>18800</v>
      </c>
      <c r="I126" s="10">
        <v>18500</v>
      </c>
      <c r="J126" s="10">
        <v>17100</v>
      </c>
      <c r="K126" s="10">
        <v>22700</v>
      </c>
      <c r="L126" s="10">
        <v>19900</v>
      </c>
      <c r="M126" s="10">
        <v>16500</v>
      </c>
      <c r="N126" s="10">
        <v>19600</v>
      </c>
      <c r="O126" s="10">
        <v>21700</v>
      </c>
      <c r="P126" s="10">
        <v>24500</v>
      </c>
      <c r="Q126" s="6">
        <f t="shared" si="7"/>
        <v>228800</v>
      </c>
      <c r="R126" s="15">
        <f t="shared" si="5"/>
        <v>0.16201117318435765</v>
      </c>
    </row>
    <row r="127" spans="1:18">
      <c r="A127" s="1" t="s">
        <v>85</v>
      </c>
      <c r="B127" s="1" t="s">
        <v>378</v>
      </c>
      <c r="C127" s="1" t="s">
        <v>122</v>
      </c>
      <c r="D127" s="6">
        <f>'2013 pax'!Q126</f>
        <v>193400</v>
      </c>
      <c r="E127" s="10">
        <v>28200</v>
      </c>
      <c r="F127" s="10">
        <v>24700</v>
      </c>
      <c r="G127" s="10">
        <v>27200</v>
      </c>
      <c r="H127" s="10">
        <v>17300</v>
      </c>
      <c r="I127" s="10">
        <v>13500</v>
      </c>
      <c r="J127" s="10">
        <v>11400</v>
      </c>
      <c r="K127" s="10">
        <v>14800</v>
      </c>
      <c r="L127" s="10">
        <v>13800</v>
      </c>
      <c r="M127" s="10">
        <v>9500</v>
      </c>
      <c r="N127" s="10">
        <v>11200</v>
      </c>
      <c r="O127" s="10">
        <v>16200</v>
      </c>
      <c r="P127" s="10">
        <v>23500</v>
      </c>
      <c r="Q127" s="6">
        <f t="shared" si="7"/>
        <v>211300</v>
      </c>
      <c r="R127" s="15">
        <f t="shared" si="5"/>
        <v>9.2554291623577978E-2</v>
      </c>
    </row>
    <row r="128" spans="1:18" ht="15.75">
      <c r="A128" s="1" t="s">
        <v>85</v>
      </c>
      <c r="B128" s="1" t="s">
        <v>369</v>
      </c>
      <c r="C128" s="1" t="s">
        <v>128</v>
      </c>
      <c r="D128" s="6">
        <f>'2013 pax'!Q127</f>
        <v>731297</v>
      </c>
      <c r="E128" s="10">
        <v>70366</v>
      </c>
      <c r="F128" s="10">
        <v>66183</v>
      </c>
      <c r="G128" s="10">
        <v>79825</v>
      </c>
      <c r="H128" s="10">
        <v>74714</v>
      </c>
      <c r="I128" s="10">
        <v>59838</v>
      </c>
      <c r="J128" s="10">
        <v>60699</v>
      </c>
      <c r="K128" s="10">
        <v>68380</v>
      </c>
      <c r="L128" s="10">
        <v>61412</v>
      </c>
      <c r="M128" s="10">
        <v>46281</v>
      </c>
      <c r="N128" s="30">
        <v>54964</v>
      </c>
      <c r="O128" s="30">
        <v>66937</v>
      </c>
      <c r="P128" s="30">
        <v>79635</v>
      </c>
      <c r="Q128" s="6">
        <f>SUM(E128:P128)</f>
        <v>789234</v>
      </c>
      <c r="R128" s="15">
        <f t="shared" si="5"/>
        <v>7.9224993402133403E-2</v>
      </c>
    </row>
    <row r="129" spans="1:18">
      <c r="A129" s="1" t="s">
        <v>85</v>
      </c>
      <c r="B129" s="1" t="s">
        <v>488</v>
      </c>
      <c r="C129" s="1" t="s">
        <v>90</v>
      </c>
      <c r="D129" s="6">
        <f>'2013 pax'!Q128</f>
        <v>1323053</v>
      </c>
      <c r="E129" s="10">
        <v>117698</v>
      </c>
      <c r="F129" s="10">
        <v>99842</v>
      </c>
      <c r="G129" s="10">
        <v>115408</v>
      </c>
      <c r="H129" s="10">
        <v>118545</v>
      </c>
      <c r="I129" s="10">
        <v>117132</v>
      </c>
      <c r="J129" s="10">
        <v>110207</v>
      </c>
      <c r="K129" s="10">
        <v>129869</v>
      </c>
      <c r="L129" s="10">
        <v>124553</v>
      </c>
      <c r="M129" s="10">
        <v>112260</v>
      </c>
      <c r="N129" s="30">
        <v>124599</v>
      </c>
      <c r="O129" s="30">
        <v>130067</v>
      </c>
      <c r="P129" s="30">
        <v>136779</v>
      </c>
      <c r="Q129" s="6">
        <f>SUM(E129:P129)</f>
        <v>1436959</v>
      </c>
      <c r="R129" s="15">
        <f t="shared" si="5"/>
        <v>8.6093300873056444E-2</v>
      </c>
    </row>
    <row r="130" spans="1:18">
      <c r="A130" s="1" t="s">
        <v>85</v>
      </c>
      <c r="B130" s="1" t="s">
        <v>116</v>
      </c>
      <c r="C130" s="1" t="s">
        <v>117</v>
      </c>
      <c r="D130" s="6">
        <f>'2013 pax'!Q129</f>
        <v>495900</v>
      </c>
      <c r="E130" s="10">
        <v>43200</v>
      </c>
      <c r="F130" s="10">
        <v>34600</v>
      </c>
      <c r="G130" s="10">
        <v>42000</v>
      </c>
      <c r="H130" s="10">
        <v>40800</v>
      </c>
      <c r="I130" s="10">
        <v>41300</v>
      </c>
      <c r="J130" s="10">
        <v>41200</v>
      </c>
      <c r="K130" s="10">
        <v>51500</v>
      </c>
      <c r="L130" s="10">
        <v>43300</v>
      </c>
      <c r="M130" s="10">
        <v>36400</v>
      </c>
      <c r="N130" s="10">
        <v>42700</v>
      </c>
      <c r="O130" s="10">
        <v>44300</v>
      </c>
      <c r="P130" s="10">
        <v>46300</v>
      </c>
      <c r="Q130" s="6">
        <f t="shared" si="7"/>
        <v>507600</v>
      </c>
      <c r="R130" s="15">
        <f t="shared" si="5"/>
        <v>2.3593466424682408E-2</v>
      </c>
    </row>
    <row r="131" spans="1:18">
      <c r="A131" s="1" t="s">
        <v>85</v>
      </c>
      <c r="B131" s="1" t="s">
        <v>86</v>
      </c>
      <c r="C131" s="1" t="s">
        <v>87</v>
      </c>
      <c r="D131" s="6">
        <f>'2013 pax'!Q130</f>
        <v>31534638</v>
      </c>
      <c r="E131" s="10">
        <v>2719068</v>
      </c>
      <c r="F131" s="10">
        <v>2333299</v>
      </c>
      <c r="G131" s="10">
        <v>2669255</v>
      </c>
      <c r="H131" s="10">
        <v>2732120</v>
      </c>
      <c r="I131" s="10">
        <v>2852748</v>
      </c>
      <c r="J131" s="10">
        <v>2776752</v>
      </c>
      <c r="K131" s="10">
        <v>3255803</v>
      </c>
      <c r="L131" s="10">
        <v>3148774</v>
      </c>
      <c r="M131" s="10">
        <v>2683143</v>
      </c>
      <c r="N131" s="10">
        <v>2946370</v>
      </c>
      <c r="O131" s="10">
        <v>2967031</v>
      </c>
      <c r="P131" s="10">
        <v>3171376</v>
      </c>
      <c r="Q131" s="6">
        <f t="shared" si="7"/>
        <v>34255739</v>
      </c>
      <c r="R131" s="15">
        <f t="shared" si="5"/>
        <v>8.628927340152126E-2</v>
      </c>
    </row>
    <row r="132" spans="1:18">
      <c r="A132" s="1" t="s">
        <v>85</v>
      </c>
      <c r="B132" s="1" t="s">
        <v>103</v>
      </c>
      <c r="C132" s="1" t="s">
        <v>104</v>
      </c>
      <c r="D132" s="6">
        <f>'2013 pax'!Q131</f>
        <v>174654</v>
      </c>
      <c r="E132" s="10">
        <v>17275</v>
      </c>
      <c r="F132" s="10">
        <v>16873</v>
      </c>
      <c r="G132" s="10">
        <v>19847</v>
      </c>
      <c r="H132" s="10">
        <v>18757</v>
      </c>
      <c r="I132" s="10">
        <v>20492</v>
      </c>
      <c r="J132" s="10">
        <v>18620</v>
      </c>
      <c r="K132" s="10">
        <v>20466</v>
      </c>
      <c r="L132" s="10">
        <v>20266</v>
      </c>
      <c r="M132" s="10">
        <v>19363</v>
      </c>
      <c r="N132" s="30">
        <v>21011</v>
      </c>
      <c r="O132" s="30">
        <v>20345</v>
      </c>
      <c r="P132" s="30">
        <v>21434</v>
      </c>
      <c r="Q132" s="6">
        <f>SUM(E132:P132)</f>
        <v>234749</v>
      </c>
      <c r="R132" s="15">
        <f t="shared" si="5"/>
        <v>0.34408029589932099</v>
      </c>
    </row>
    <row r="133" spans="1:18" ht="15.75">
      <c r="A133" s="1" t="s">
        <v>85</v>
      </c>
      <c r="B133" s="1" t="s">
        <v>370</v>
      </c>
      <c r="C133" s="1" t="s">
        <v>124</v>
      </c>
      <c r="D133" s="6">
        <f>'2013 pax'!Q132</f>
        <v>6417755</v>
      </c>
      <c r="E133" s="10">
        <v>471841</v>
      </c>
      <c r="F133" s="10">
        <v>433144</v>
      </c>
      <c r="G133" s="10">
        <v>512236</v>
      </c>
      <c r="H133" s="10">
        <v>560482</v>
      </c>
      <c r="I133" s="10">
        <v>585111</v>
      </c>
      <c r="J133" s="10">
        <v>595063</v>
      </c>
      <c r="K133" s="10">
        <v>747790</v>
      </c>
      <c r="L133" s="10">
        <v>697943</v>
      </c>
      <c r="M133" s="10">
        <v>589124</v>
      </c>
      <c r="N133" s="10">
        <v>638660</v>
      </c>
      <c r="O133" s="10">
        <v>643966</v>
      </c>
      <c r="P133" s="10">
        <v>653171</v>
      </c>
      <c r="Q133" s="6">
        <f>SUM(E133:P133)</f>
        <v>7128531</v>
      </c>
      <c r="R133" s="15">
        <f t="shared" si="5"/>
        <v>0.11075150110903276</v>
      </c>
    </row>
    <row r="134" spans="1:18">
      <c r="A134" s="1" t="s">
        <v>85</v>
      </c>
      <c r="B134" s="1" t="s">
        <v>118</v>
      </c>
      <c r="C134" s="1" t="s">
        <v>119</v>
      </c>
      <c r="D134" s="6">
        <f>'2013 pax'!Q133</f>
        <v>425100</v>
      </c>
      <c r="E134" s="10">
        <v>46100</v>
      </c>
      <c r="F134" s="10">
        <v>33000</v>
      </c>
      <c r="G134" s="10">
        <v>34400</v>
      </c>
      <c r="H134" s="10">
        <v>40000</v>
      </c>
      <c r="I134" s="10">
        <v>40000</v>
      </c>
      <c r="J134" s="10">
        <v>40800</v>
      </c>
      <c r="K134" s="10">
        <v>52100</v>
      </c>
      <c r="L134" s="10">
        <v>42800</v>
      </c>
      <c r="M134" s="10">
        <v>28700</v>
      </c>
      <c r="N134" s="10">
        <v>34300</v>
      </c>
      <c r="O134" s="10">
        <v>36100</v>
      </c>
      <c r="P134" s="10">
        <v>47800</v>
      </c>
      <c r="Q134" s="6">
        <f t="shared" si="7"/>
        <v>476100</v>
      </c>
      <c r="R134" s="15">
        <f t="shared" si="5"/>
        <v>0.11997177134791803</v>
      </c>
    </row>
    <row r="135" spans="1:18">
      <c r="A135" s="1" t="s">
        <v>85</v>
      </c>
      <c r="B135" s="1" t="s">
        <v>95</v>
      </c>
      <c r="C135" s="1" t="s">
        <v>96</v>
      </c>
      <c r="D135" s="6">
        <f>'2013 pax'!Q134</f>
        <v>518908</v>
      </c>
      <c r="E135" s="10">
        <v>43498</v>
      </c>
      <c r="F135" s="10">
        <v>37459</v>
      </c>
      <c r="G135" s="10">
        <v>42108</v>
      </c>
      <c r="H135" s="10">
        <v>40711</v>
      </c>
      <c r="I135" s="10">
        <v>41375</v>
      </c>
      <c r="J135" s="10">
        <v>41975</v>
      </c>
      <c r="K135" s="10">
        <v>53474</v>
      </c>
      <c r="L135" s="10">
        <v>50745</v>
      </c>
      <c r="M135" s="10">
        <v>39691</v>
      </c>
      <c r="N135" s="30">
        <v>48017</v>
      </c>
      <c r="O135" s="30">
        <v>50998</v>
      </c>
      <c r="P135" s="30">
        <v>52220</v>
      </c>
      <c r="Q135" s="6">
        <f>SUM(E135:P135)</f>
        <v>542271</v>
      </c>
      <c r="R135" s="15">
        <f t="shared" si="5"/>
        <v>4.5023395283942502E-2</v>
      </c>
    </row>
    <row r="136" spans="1:18">
      <c r="A136" s="1" t="s">
        <v>85</v>
      </c>
      <c r="B136" s="1" t="s">
        <v>109</v>
      </c>
      <c r="C136" s="1" t="s">
        <v>110</v>
      </c>
      <c r="D136" s="6">
        <f>'2013 pax'!Q135</f>
        <v>2670700</v>
      </c>
      <c r="E136" s="10">
        <v>321900</v>
      </c>
      <c r="F136" s="10">
        <v>312700</v>
      </c>
      <c r="G136" s="10">
        <v>371500</v>
      </c>
      <c r="H136" s="10">
        <v>275600</v>
      </c>
      <c r="I136" s="10">
        <v>211900</v>
      </c>
      <c r="J136" s="10">
        <v>217500</v>
      </c>
      <c r="K136" s="10">
        <v>249300</v>
      </c>
      <c r="L136" s="10">
        <v>217300</v>
      </c>
      <c r="M136" s="10">
        <v>131600</v>
      </c>
      <c r="N136" s="10">
        <v>196000</v>
      </c>
      <c r="O136" s="10">
        <v>291800</v>
      </c>
      <c r="P136" s="10">
        <v>330400</v>
      </c>
      <c r="Q136" s="6">
        <f t="shared" si="7"/>
        <v>3127500</v>
      </c>
      <c r="R136" s="15">
        <f t="shared" si="5"/>
        <v>0.171041300033699</v>
      </c>
    </row>
    <row r="137" spans="1:18" ht="15.75">
      <c r="A137" s="1" t="s">
        <v>85</v>
      </c>
      <c r="B137" s="1" t="s">
        <v>371</v>
      </c>
      <c r="C137" s="1" t="s">
        <v>135</v>
      </c>
      <c r="D137" s="6">
        <f>'2013 pax'!Q136</f>
        <v>392206</v>
      </c>
      <c r="E137" s="10">
        <v>35579</v>
      </c>
      <c r="F137" s="10">
        <v>29927</v>
      </c>
      <c r="G137" s="10">
        <v>35881</v>
      </c>
      <c r="H137" s="10">
        <v>37362</v>
      </c>
      <c r="I137" s="10">
        <v>38193</v>
      </c>
      <c r="J137" s="10">
        <v>39696</v>
      </c>
      <c r="K137" s="10">
        <v>47096</v>
      </c>
      <c r="L137" s="10">
        <v>43131</v>
      </c>
      <c r="M137" s="10">
        <v>36255</v>
      </c>
      <c r="N137" s="10">
        <v>38141</v>
      </c>
      <c r="O137" s="10">
        <v>42945</v>
      </c>
      <c r="P137" s="10">
        <v>47821</v>
      </c>
      <c r="Q137" s="6">
        <f>SUM(E137:P137)</f>
        <v>472027</v>
      </c>
      <c r="R137" s="15">
        <f t="shared" si="5"/>
        <v>0.20351804918843674</v>
      </c>
    </row>
    <row r="138" spans="1:18">
      <c r="A138" s="1" t="s">
        <v>85</v>
      </c>
      <c r="B138" s="1" t="s">
        <v>111</v>
      </c>
      <c r="C138" s="1" t="s">
        <v>112</v>
      </c>
      <c r="D138" s="6">
        <f>'2013 pax'!Q137</f>
        <v>3387600</v>
      </c>
      <c r="E138" s="10">
        <v>297200</v>
      </c>
      <c r="F138" s="10">
        <v>295500</v>
      </c>
      <c r="G138" s="10">
        <v>376000</v>
      </c>
      <c r="H138" s="10">
        <v>345500</v>
      </c>
      <c r="I138" s="10">
        <v>308500</v>
      </c>
      <c r="J138" s="10">
        <v>323000</v>
      </c>
      <c r="K138" s="10">
        <v>363500</v>
      </c>
      <c r="L138" s="10">
        <v>313600</v>
      </c>
      <c r="M138" s="10">
        <v>109500</v>
      </c>
      <c r="N138" s="10">
        <v>81600</v>
      </c>
      <c r="O138" s="10">
        <v>201100</v>
      </c>
      <c r="P138" s="10">
        <v>269100</v>
      </c>
      <c r="Q138" s="6">
        <f t="shared" si="7"/>
        <v>3284100</v>
      </c>
      <c r="R138" s="15">
        <f t="shared" si="5"/>
        <v>-3.0552603613177465E-2</v>
      </c>
    </row>
    <row r="139" spans="1:18" ht="15.75">
      <c r="A139" s="1" t="s">
        <v>85</v>
      </c>
      <c r="B139" s="1" t="s">
        <v>372</v>
      </c>
      <c r="C139" s="1" t="s">
        <v>134</v>
      </c>
      <c r="D139" s="6">
        <f>'2013 pax'!Q138</f>
        <v>261699</v>
      </c>
      <c r="E139" s="10">
        <v>23182</v>
      </c>
      <c r="F139" s="10">
        <v>22634</v>
      </c>
      <c r="G139" s="10">
        <v>27023</v>
      </c>
      <c r="H139" s="10">
        <v>24909</v>
      </c>
      <c r="I139" s="10">
        <v>30240</v>
      </c>
      <c r="J139" s="10">
        <v>33797</v>
      </c>
      <c r="K139" s="10">
        <v>40091</v>
      </c>
      <c r="L139" s="10">
        <v>37627</v>
      </c>
      <c r="M139" s="10">
        <v>31495</v>
      </c>
      <c r="N139" s="30">
        <v>35241</v>
      </c>
      <c r="O139" s="30">
        <v>35149</v>
      </c>
      <c r="P139" s="10">
        <v>32598</v>
      </c>
      <c r="Q139" s="6">
        <f>SUM(E139:P139)</f>
        <v>373986</v>
      </c>
      <c r="R139" s="15">
        <f t="shared" si="5"/>
        <v>0.42906927424254593</v>
      </c>
    </row>
    <row r="140" spans="1:18" ht="15.75">
      <c r="A140" s="1" t="s">
        <v>85</v>
      </c>
      <c r="B140" s="1" t="s">
        <v>373</v>
      </c>
      <c r="C140" s="1" t="s">
        <v>131</v>
      </c>
      <c r="D140" s="6">
        <f>'2013 pax'!Q139</f>
        <v>608813</v>
      </c>
      <c r="E140" s="10">
        <v>50041</v>
      </c>
      <c r="F140" s="10">
        <v>43302</v>
      </c>
      <c r="G140" s="10">
        <v>51008</v>
      </c>
      <c r="H140" s="10">
        <v>51210</v>
      </c>
      <c r="I140" s="10">
        <v>54441</v>
      </c>
      <c r="J140" s="10">
        <v>55616</v>
      </c>
      <c r="K140" s="10">
        <v>64341</v>
      </c>
      <c r="L140" s="10">
        <v>61988</v>
      </c>
      <c r="M140" s="10">
        <v>58484</v>
      </c>
      <c r="N140" s="10">
        <v>64336</v>
      </c>
      <c r="O140" s="10">
        <v>63597</v>
      </c>
      <c r="P140" s="10">
        <v>70529</v>
      </c>
      <c r="Q140" s="6">
        <f>SUM(E140:P140)</f>
        <v>688893</v>
      </c>
      <c r="R140" s="15">
        <f t="shared" si="5"/>
        <v>0.13153464200008869</v>
      </c>
    </row>
    <row r="141" spans="1:18">
      <c r="A141" s="1" t="s">
        <v>85</v>
      </c>
      <c r="B141" s="1" t="s">
        <v>101</v>
      </c>
      <c r="C141" s="1" t="s">
        <v>102</v>
      </c>
      <c r="D141" s="6">
        <f>'2013 pax'!Q140</f>
        <v>158678</v>
      </c>
      <c r="E141" s="10">
        <v>14911</v>
      </c>
      <c r="F141" s="10">
        <v>13850</v>
      </c>
      <c r="G141" s="10">
        <v>15065</v>
      </c>
      <c r="H141" s="10">
        <v>13362</v>
      </c>
      <c r="I141" s="10">
        <v>12355</v>
      </c>
      <c r="J141" s="10">
        <v>11988</v>
      </c>
      <c r="K141" s="10">
        <v>14126</v>
      </c>
      <c r="L141" s="10">
        <v>14063</v>
      </c>
      <c r="M141" s="10">
        <v>13091</v>
      </c>
      <c r="N141" s="30">
        <v>14455</v>
      </c>
      <c r="O141" s="30">
        <v>16771</v>
      </c>
      <c r="P141" s="30">
        <v>21157</v>
      </c>
      <c r="Q141" s="6">
        <f>SUM(E141:P141)</f>
        <v>175194</v>
      </c>
      <c r="R141" s="15">
        <f t="shared" si="5"/>
        <v>0.10408500233176632</v>
      </c>
    </row>
    <row r="142" spans="1:18">
      <c r="A142" s="1" t="s">
        <v>85</v>
      </c>
      <c r="B142" s="1" t="s">
        <v>107</v>
      </c>
      <c r="C142" s="1" t="s">
        <v>108</v>
      </c>
      <c r="D142" s="6">
        <f>'2013 pax'!Q141</f>
        <v>4268700</v>
      </c>
      <c r="E142" s="10">
        <v>412900</v>
      </c>
      <c r="F142" s="10">
        <v>308400</v>
      </c>
      <c r="G142" s="10">
        <v>362600</v>
      </c>
      <c r="H142" s="10">
        <v>373400</v>
      </c>
      <c r="I142" s="10">
        <v>365600</v>
      </c>
      <c r="J142" s="10">
        <v>355200</v>
      </c>
      <c r="K142" s="10">
        <v>455300</v>
      </c>
      <c r="L142" s="10">
        <v>385000</v>
      </c>
      <c r="M142" s="10">
        <v>284400</v>
      </c>
      <c r="N142" s="10">
        <v>326300</v>
      </c>
      <c r="O142" s="10">
        <v>339500</v>
      </c>
      <c r="P142" s="10">
        <v>416900</v>
      </c>
      <c r="Q142" s="6">
        <f t="shared" si="7"/>
        <v>4385500</v>
      </c>
      <c r="R142" s="15">
        <f t="shared" si="5"/>
        <v>2.7361960315787082E-2</v>
      </c>
    </row>
    <row r="143" spans="1:18" ht="15.75">
      <c r="A143" s="1" t="s">
        <v>85</v>
      </c>
      <c r="B143" s="1" t="s">
        <v>374</v>
      </c>
      <c r="C143" s="1" t="s">
        <v>132</v>
      </c>
      <c r="D143" s="6">
        <f>'2013 pax'!Q142</f>
        <v>467398</v>
      </c>
      <c r="E143" s="10">
        <v>40735</v>
      </c>
      <c r="F143" s="10">
        <v>38383</v>
      </c>
      <c r="G143" s="10">
        <v>43883</v>
      </c>
      <c r="H143" s="10">
        <v>42197</v>
      </c>
      <c r="I143" s="10">
        <v>46761</v>
      </c>
      <c r="J143" s="10">
        <v>44214</v>
      </c>
      <c r="K143" s="10">
        <v>50483</v>
      </c>
      <c r="L143" s="10">
        <v>46847</v>
      </c>
      <c r="M143" s="10">
        <v>41393</v>
      </c>
      <c r="N143" s="10">
        <v>43946</v>
      </c>
      <c r="O143" s="10">
        <v>42264</v>
      </c>
      <c r="P143" s="10">
        <v>42677</v>
      </c>
      <c r="Q143" s="6">
        <f>SUM(E143:P143)</f>
        <v>523783</v>
      </c>
      <c r="R143" s="15">
        <f t="shared" si="5"/>
        <v>0.12063594623853757</v>
      </c>
    </row>
    <row r="144" spans="1:18">
      <c r="A144" s="1" t="s">
        <v>85</v>
      </c>
      <c r="B144" s="1" t="s">
        <v>91</v>
      </c>
      <c r="C144" s="1" t="s">
        <v>92</v>
      </c>
      <c r="D144" s="6">
        <f>'2013 pax'!Q143</f>
        <v>1017616</v>
      </c>
      <c r="E144" s="10">
        <v>82596</v>
      </c>
      <c r="F144" s="10">
        <v>72913</v>
      </c>
      <c r="G144" s="10">
        <v>87759</v>
      </c>
      <c r="H144" s="10">
        <v>93531</v>
      </c>
      <c r="I144" s="10">
        <v>107535</v>
      </c>
      <c r="J144" s="10">
        <v>93682</v>
      </c>
      <c r="K144" s="10">
        <v>108800</v>
      </c>
      <c r="L144" s="10">
        <v>105260</v>
      </c>
      <c r="M144" s="10">
        <v>89080</v>
      </c>
      <c r="N144" s="30">
        <v>100417</v>
      </c>
      <c r="O144" s="30">
        <v>105639</v>
      </c>
      <c r="P144" s="30">
        <v>110310</v>
      </c>
      <c r="Q144" s="6">
        <f>SUM(E144:P144)</f>
        <v>1157522</v>
      </c>
      <c r="R144" s="15">
        <f t="shared" si="5"/>
        <v>0.13748408043898674</v>
      </c>
    </row>
    <row r="145" spans="1:18">
      <c r="A145" s="1" t="s">
        <v>85</v>
      </c>
      <c r="B145" s="1" t="s">
        <v>93</v>
      </c>
      <c r="C145" s="1" t="s">
        <v>94</v>
      </c>
      <c r="D145" s="6">
        <f>'2013 pax'!Q144</f>
        <v>1025622</v>
      </c>
      <c r="E145" s="10">
        <v>85690</v>
      </c>
      <c r="F145" s="10">
        <v>76627</v>
      </c>
      <c r="G145" s="10">
        <v>79638</v>
      </c>
      <c r="H145" s="10">
        <v>89021</v>
      </c>
      <c r="I145" s="10">
        <v>90376</v>
      </c>
      <c r="J145" s="10">
        <v>88063</v>
      </c>
      <c r="K145" s="10">
        <v>103699</v>
      </c>
      <c r="L145" s="10">
        <v>98754</v>
      </c>
      <c r="M145" s="10">
        <v>91195</v>
      </c>
      <c r="N145" s="30">
        <v>99574</v>
      </c>
      <c r="O145" s="30">
        <v>102596</v>
      </c>
      <c r="P145" s="30">
        <v>111029</v>
      </c>
      <c r="Q145" s="6">
        <f>SUM(E145:P145)</f>
        <v>1116262</v>
      </c>
      <c r="R145" s="15">
        <f t="shared" si="5"/>
        <v>8.8375639368110326E-2</v>
      </c>
    </row>
    <row r="146" spans="1:18" ht="15.75">
      <c r="A146" s="1" t="s">
        <v>85</v>
      </c>
      <c r="B146" s="1" t="s">
        <v>375</v>
      </c>
      <c r="C146" s="1" t="s">
        <v>133</v>
      </c>
      <c r="D146" s="6">
        <f>'2013 pax'!Q145</f>
        <v>259677</v>
      </c>
      <c r="E146" s="10">
        <v>20801</v>
      </c>
      <c r="F146" s="10">
        <v>17261</v>
      </c>
      <c r="G146" s="10">
        <v>20525</v>
      </c>
      <c r="H146" s="10">
        <v>24929</v>
      </c>
      <c r="I146" s="10">
        <v>24440</v>
      </c>
      <c r="J146" s="10">
        <v>27083</v>
      </c>
      <c r="K146" s="10">
        <v>29446</v>
      </c>
      <c r="L146" s="10">
        <v>27045</v>
      </c>
      <c r="M146" s="10">
        <v>23163</v>
      </c>
      <c r="N146" s="10">
        <v>24193</v>
      </c>
      <c r="O146" s="10">
        <v>21048</v>
      </c>
      <c r="P146" s="10">
        <v>24691</v>
      </c>
      <c r="Q146" s="6">
        <f>SUM(E146:P146)</f>
        <v>284625</v>
      </c>
      <c r="R146" s="15">
        <f t="shared" si="5"/>
        <v>9.6073198627525835E-2</v>
      </c>
    </row>
    <row r="147" spans="1:18" ht="15.75">
      <c r="A147" s="1" t="s">
        <v>85</v>
      </c>
      <c r="B147" s="1" t="s">
        <v>376</v>
      </c>
      <c r="C147" s="1" t="s">
        <v>130</v>
      </c>
      <c r="D147" s="6">
        <f>'2013 pax'!Q146</f>
        <v>459799</v>
      </c>
      <c r="E147" s="10">
        <v>64116</v>
      </c>
      <c r="F147" s="10">
        <v>59600</v>
      </c>
      <c r="G147" s="10">
        <v>62032</v>
      </c>
      <c r="H147" s="10">
        <v>45868</v>
      </c>
      <c r="I147" s="10">
        <v>33422</v>
      </c>
      <c r="J147" s="10">
        <v>26612</v>
      </c>
      <c r="K147" s="10">
        <v>36944</v>
      </c>
      <c r="L147" s="10">
        <v>35755</v>
      </c>
      <c r="M147" s="10">
        <v>20183</v>
      </c>
      <c r="N147" s="10">
        <v>27712</v>
      </c>
      <c r="O147" s="10">
        <v>39777</v>
      </c>
      <c r="P147" s="10">
        <v>56044</v>
      </c>
      <c r="Q147" s="6">
        <f>SUM(E147:P147)</f>
        <v>508065</v>
      </c>
      <c r="R147" s="15">
        <f t="shared" si="5"/>
        <v>0.10497195513691859</v>
      </c>
    </row>
    <row r="148" spans="1:18">
      <c r="A148" s="1" t="s">
        <v>512</v>
      </c>
      <c r="B148" s="1" t="s">
        <v>513</v>
      </c>
      <c r="C148" s="1" t="s">
        <v>514</v>
      </c>
      <c r="D148" s="6">
        <f>'2013 pax'!Q147</f>
        <v>7784328</v>
      </c>
      <c r="E148" s="10">
        <v>1118237</v>
      </c>
      <c r="F148" s="10">
        <v>968390</v>
      </c>
      <c r="G148" s="10">
        <v>1016152</v>
      </c>
      <c r="H148" s="10">
        <v>993021</v>
      </c>
      <c r="I148" s="10">
        <v>1026430</v>
      </c>
      <c r="J148" s="10">
        <v>1062805</v>
      </c>
      <c r="K148" s="10">
        <v>1155316</v>
      </c>
      <c r="L148" s="10">
        <v>1158920</v>
      </c>
      <c r="M148" s="10">
        <v>986829</v>
      </c>
      <c r="N148" s="30">
        <v>1069406</v>
      </c>
      <c r="O148" s="10">
        <v>1055247</v>
      </c>
      <c r="P148" s="10">
        <v>1171414</v>
      </c>
      <c r="Q148" s="6">
        <f t="shared" si="7"/>
        <v>12782167</v>
      </c>
      <c r="R148" s="15">
        <f t="shared" si="5"/>
        <v>0.64203859344056413</v>
      </c>
    </row>
    <row r="149" spans="1:18">
      <c r="A149" s="1" t="s">
        <v>414</v>
      </c>
      <c r="B149" s="1" t="s">
        <v>415</v>
      </c>
      <c r="C149" s="1" t="s">
        <v>416</v>
      </c>
      <c r="D149" s="6">
        <f>'2013 pax'!Q148</f>
        <v>835323</v>
      </c>
      <c r="E149" s="10">
        <v>86971</v>
      </c>
      <c r="F149" s="10">
        <v>74195</v>
      </c>
      <c r="G149" s="10">
        <v>72115</v>
      </c>
      <c r="H149" s="10">
        <v>71838</v>
      </c>
      <c r="I149" s="10">
        <v>72712</v>
      </c>
      <c r="J149" s="10">
        <v>72021</v>
      </c>
      <c r="K149" s="10">
        <v>89023</v>
      </c>
      <c r="L149" s="10">
        <v>77884</v>
      </c>
      <c r="M149" s="10">
        <v>73163</v>
      </c>
      <c r="N149" s="10">
        <v>74778</v>
      </c>
      <c r="O149" s="10">
        <v>71626</v>
      </c>
      <c r="P149" s="10">
        <v>79313</v>
      </c>
      <c r="Q149" s="6">
        <f t="shared" si="7"/>
        <v>915639</v>
      </c>
      <c r="R149" s="15">
        <f>Q149/D149-1</f>
        <v>9.6149633135924617E-2</v>
      </c>
    </row>
    <row r="150" spans="1:18">
      <c r="A150" s="1" t="s">
        <v>414</v>
      </c>
      <c r="B150" s="1" t="s">
        <v>508</v>
      </c>
      <c r="C150" s="1" t="s">
        <v>509</v>
      </c>
      <c r="D150" s="6">
        <f>'2013 pax'!Q149</f>
        <v>55501</v>
      </c>
      <c r="E150" s="10">
        <v>2537</v>
      </c>
      <c r="F150" s="10">
        <v>2732</v>
      </c>
      <c r="G150" s="10">
        <v>3116</v>
      </c>
      <c r="H150" s="10">
        <v>2825</v>
      </c>
      <c r="I150" s="10">
        <v>3294</v>
      </c>
      <c r="J150" s="10">
        <v>2714</v>
      </c>
      <c r="K150" s="10">
        <v>2995</v>
      </c>
      <c r="L150" s="10">
        <v>3289</v>
      </c>
      <c r="M150" s="10">
        <v>3377</v>
      </c>
      <c r="N150" s="10">
        <v>3507</v>
      </c>
      <c r="O150" s="30"/>
      <c r="P150" s="10"/>
      <c r="Q150" s="6">
        <f t="shared" si="7"/>
        <v>30386</v>
      </c>
      <c r="R150"/>
    </row>
    <row r="151" spans="1:18">
      <c r="A151" s="1" t="s">
        <v>253</v>
      </c>
      <c r="B151" s="7" t="s">
        <v>304</v>
      </c>
      <c r="C151" s="7" t="s">
        <v>305</v>
      </c>
      <c r="D151" s="6">
        <f>'2013 pax'!Q150</f>
        <v>0</v>
      </c>
      <c r="E151" s="10">
        <v>99738</v>
      </c>
      <c r="F151" s="10">
        <v>96323</v>
      </c>
      <c r="G151" s="10">
        <v>101667</v>
      </c>
      <c r="H151" s="10">
        <v>100650</v>
      </c>
      <c r="I151" s="10">
        <v>110378</v>
      </c>
      <c r="J151" s="10">
        <v>103246</v>
      </c>
      <c r="K151" s="10">
        <v>120540</v>
      </c>
      <c r="L151" s="10">
        <v>135193</v>
      </c>
      <c r="M151" s="10">
        <v>120371</v>
      </c>
      <c r="N151" s="10">
        <v>128236</v>
      </c>
      <c r="O151" s="30">
        <v>118576</v>
      </c>
      <c r="P151" s="10">
        <v>116264</v>
      </c>
      <c r="Q151" s="6">
        <f t="shared" si="7"/>
        <v>1351182</v>
      </c>
      <c r="R151"/>
    </row>
    <row r="152" spans="1:18" s="42" customFormat="1">
      <c r="A152" s="1" t="s">
        <v>253</v>
      </c>
      <c r="B152" s="7" t="s">
        <v>554</v>
      </c>
      <c r="C152" s="7" t="s">
        <v>555</v>
      </c>
      <c r="D152" s="6">
        <f>'2013 pax'!Q151</f>
        <v>0</v>
      </c>
      <c r="E152" s="10">
        <v>4794</v>
      </c>
      <c r="F152" s="10">
        <v>5598</v>
      </c>
      <c r="G152" s="10">
        <v>6169</v>
      </c>
      <c r="H152" s="10">
        <v>6032</v>
      </c>
      <c r="I152" s="10">
        <v>5741</v>
      </c>
      <c r="J152" s="10">
        <v>5936</v>
      </c>
      <c r="K152" s="10">
        <v>6622</v>
      </c>
      <c r="L152" s="10">
        <v>7163</v>
      </c>
      <c r="M152" s="10">
        <v>6895</v>
      </c>
      <c r="N152" s="10">
        <v>10794</v>
      </c>
      <c r="O152" s="10">
        <v>10395</v>
      </c>
      <c r="P152" s="10">
        <v>9563</v>
      </c>
      <c r="Q152" s="6">
        <f t="shared" si="7"/>
        <v>85702</v>
      </c>
    </row>
    <row r="153" spans="1:18">
      <c r="A153" s="1" t="s">
        <v>253</v>
      </c>
      <c r="B153" s="7" t="s">
        <v>324</v>
      </c>
      <c r="C153" s="7" t="s">
        <v>325</v>
      </c>
      <c r="D153" s="6">
        <f>'2013 pax'!Q151</f>
        <v>0</v>
      </c>
      <c r="E153" s="10">
        <v>19066</v>
      </c>
      <c r="F153" s="10">
        <v>20096</v>
      </c>
      <c r="G153" s="10">
        <v>19990</v>
      </c>
      <c r="H153" s="10">
        <v>18800</v>
      </c>
      <c r="I153" s="10">
        <v>22725</v>
      </c>
      <c r="J153" s="10">
        <v>20551</v>
      </c>
      <c r="K153" s="10">
        <v>22263</v>
      </c>
      <c r="L153" s="10">
        <v>22564</v>
      </c>
      <c r="M153" s="10">
        <v>22317</v>
      </c>
      <c r="N153" s="10">
        <v>22625</v>
      </c>
      <c r="O153" s="10">
        <v>21569</v>
      </c>
      <c r="P153" s="10">
        <v>19894</v>
      </c>
      <c r="Q153" s="6">
        <f t="shared" si="7"/>
        <v>252460</v>
      </c>
      <c r="R153"/>
    </row>
    <row r="154" spans="1:18">
      <c r="A154" s="1" t="s">
        <v>253</v>
      </c>
      <c r="B154" s="7" t="s">
        <v>320</v>
      </c>
      <c r="C154" s="7" t="s">
        <v>321</v>
      </c>
      <c r="D154" s="6">
        <f>'2013 pax'!Q152</f>
        <v>0</v>
      </c>
      <c r="E154" s="10">
        <v>34586</v>
      </c>
      <c r="F154" s="10">
        <v>34222</v>
      </c>
      <c r="G154" s="10">
        <v>34028</v>
      </c>
      <c r="H154" s="10">
        <v>32172</v>
      </c>
      <c r="I154" s="10">
        <v>35659</v>
      </c>
      <c r="J154" s="10">
        <v>35794</v>
      </c>
      <c r="K154" s="10">
        <v>36615</v>
      </c>
      <c r="L154" s="10">
        <v>41039</v>
      </c>
      <c r="M154" s="10">
        <v>37393</v>
      </c>
      <c r="N154" s="10">
        <v>40481</v>
      </c>
      <c r="O154" s="10">
        <v>38891</v>
      </c>
      <c r="P154" s="10">
        <v>37844</v>
      </c>
      <c r="Q154" s="6">
        <f t="shared" si="7"/>
        <v>438724</v>
      </c>
      <c r="R154"/>
    </row>
    <row r="155" spans="1:18">
      <c r="A155" s="1" t="s">
        <v>253</v>
      </c>
      <c r="B155" s="7" t="s">
        <v>302</v>
      </c>
      <c r="C155" s="1" t="s">
        <v>303</v>
      </c>
      <c r="D155" s="6">
        <f>'2013 pax'!Q153</f>
        <v>2295270</v>
      </c>
      <c r="E155" s="10">
        <v>178347</v>
      </c>
      <c r="F155" s="10">
        <v>158603</v>
      </c>
      <c r="G155" s="10">
        <v>180422</v>
      </c>
      <c r="H155" s="10">
        <v>197259</v>
      </c>
      <c r="I155" s="10">
        <v>213564</v>
      </c>
      <c r="J155" s="10">
        <v>198720</v>
      </c>
      <c r="K155" s="10">
        <v>234434</v>
      </c>
      <c r="L155" s="10">
        <v>250930</v>
      </c>
      <c r="M155" s="10">
        <v>226221</v>
      </c>
      <c r="N155" s="10">
        <v>240257</v>
      </c>
      <c r="O155" s="10">
        <v>209864</v>
      </c>
      <c r="P155" s="10">
        <v>197238</v>
      </c>
      <c r="Q155" s="6">
        <f t="shared" si="7"/>
        <v>2485859</v>
      </c>
      <c r="R155" s="15">
        <f>Q155/D155-1</f>
        <v>8.3035547016255151E-2</v>
      </c>
    </row>
    <row r="156" spans="1:18">
      <c r="A156" s="1" t="s">
        <v>253</v>
      </c>
      <c r="B156" s="7" t="s">
        <v>306</v>
      </c>
      <c r="C156" s="7" t="s">
        <v>307</v>
      </c>
      <c r="D156" s="6">
        <f>'2013 pax'!Q154</f>
        <v>0</v>
      </c>
      <c r="E156" s="10">
        <v>82659</v>
      </c>
      <c r="F156" s="10">
        <v>79928</v>
      </c>
      <c r="G156" s="10">
        <v>78119</v>
      </c>
      <c r="H156" s="10">
        <v>66874</v>
      </c>
      <c r="I156" s="10">
        <v>70898</v>
      </c>
      <c r="J156" s="10">
        <v>74603</v>
      </c>
      <c r="K156" s="10">
        <v>88663</v>
      </c>
      <c r="L156" s="10">
        <v>95397</v>
      </c>
      <c r="M156" s="10">
        <v>86395</v>
      </c>
      <c r="N156" s="10">
        <v>90406</v>
      </c>
      <c r="O156" s="10">
        <v>86283</v>
      </c>
      <c r="P156" s="10">
        <v>99148</v>
      </c>
      <c r="Q156" s="6">
        <f t="shared" si="7"/>
        <v>999373</v>
      </c>
      <c r="R156"/>
    </row>
    <row r="157" spans="1:18">
      <c r="A157" s="1" t="s">
        <v>253</v>
      </c>
      <c r="B157" s="7" t="s">
        <v>310</v>
      </c>
      <c r="C157" s="7" t="s">
        <v>311</v>
      </c>
      <c r="D157" s="6">
        <f>'2013 pax'!Q155</f>
        <v>0</v>
      </c>
      <c r="E157" s="10">
        <v>28243</v>
      </c>
      <c r="F157" s="10">
        <v>29469</v>
      </c>
      <c r="G157" s="10">
        <v>31072</v>
      </c>
      <c r="H157" s="10">
        <v>28232</v>
      </c>
      <c r="I157" s="10">
        <v>30507</v>
      </c>
      <c r="J157" s="10">
        <v>30278</v>
      </c>
      <c r="K157" s="10">
        <v>30419</v>
      </c>
      <c r="L157" s="10">
        <v>34017</v>
      </c>
      <c r="M157" s="10">
        <v>32630</v>
      </c>
      <c r="N157" s="10">
        <v>33659</v>
      </c>
      <c r="O157" s="10">
        <v>31060</v>
      </c>
      <c r="P157" s="10">
        <v>29985</v>
      </c>
      <c r="Q157" s="6">
        <f t="shared" ref="Q157:Q191" si="8">SUM(E157:P157)</f>
        <v>369571</v>
      </c>
      <c r="R157"/>
    </row>
    <row r="158" spans="1:18">
      <c r="A158" s="1" t="s">
        <v>253</v>
      </c>
      <c r="B158" s="7" t="s">
        <v>300</v>
      </c>
      <c r="C158" s="7" t="s">
        <v>301</v>
      </c>
      <c r="D158" s="6">
        <f>'2013 pax'!Q156</f>
        <v>0</v>
      </c>
      <c r="E158" s="26">
        <v>1277383</v>
      </c>
      <c r="F158" s="26">
        <v>1236376</v>
      </c>
      <c r="G158" s="30">
        <v>1268770</v>
      </c>
      <c r="H158" s="26">
        <v>1218268</v>
      </c>
      <c r="I158" s="10">
        <v>1317175</v>
      </c>
      <c r="J158" s="10">
        <v>1257542</v>
      </c>
      <c r="K158" s="10">
        <v>1413332</v>
      </c>
      <c r="L158" s="10">
        <v>1496592</v>
      </c>
      <c r="M158" s="10">
        <v>1378420</v>
      </c>
      <c r="N158" s="10">
        <v>1460120</v>
      </c>
      <c r="O158" s="10">
        <v>1357295</v>
      </c>
      <c r="P158" s="10">
        <v>1381858</v>
      </c>
      <c r="Q158" s="6">
        <f t="shared" si="8"/>
        <v>16063131</v>
      </c>
      <c r="R158"/>
    </row>
    <row r="159" spans="1:18" s="42" customFormat="1">
      <c r="A159" s="1" t="s">
        <v>253</v>
      </c>
      <c r="B159" s="7" t="s">
        <v>556</v>
      </c>
      <c r="C159" s="7" t="s">
        <v>558</v>
      </c>
      <c r="D159" s="6">
        <v>0</v>
      </c>
      <c r="E159" s="26">
        <v>12404</v>
      </c>
      <c r="F159" s="26">
        <v>9950</v>
      </c>
      <c r="G159" s="30">
        <v>12666</v>
      </c>
      <c r="H159" s="26">
        <v>14160</v>
      </c>
      <c r="I159" s="10">
        <v>13632</v>
      </c>
      <c r="J159" s="10">
        <v>9978</v>
      </c>
      <c r="K159" s="10">
        <v>15196</v>
      </c>
      <c r="L159" s="10">
        <v>17159</v>
      </c>
      <c r="M159" s="10">
        <v>13515</v>
      </c>
      <c r="N159" s="10">
        <v>14949</v>
      </c>
      <c r="O159" s="10">
        <v>12432</v>
      </c>
      <c r="P159" s="10">
        <v>11192</v>
      </c>
      <c r="Q159" s="6">
        <f t="shared" si="8"/>
        <v>157233</v>
      </c>
    </row>
    <row r="160" spans="1:18">
      <c r="A160" s="1" t="s">
        <v>253</v>
      </c>
      <c r="B160" s="7" t="s">
        <v>312</v>
      </c>
      <c r="C160" s="7" t="s">
        <v>313</v>
      </c>
      <c r="D160" s="6">
        <f>'2013 pax'!Q157</f>
        <v>0</v>
      </c>
      <c r="E160" s="10">
        <v>63387</v>
      </c>
      <c r="F160" s="10">
        <v>63738</v>
      </c>
      <c r="G160">
        <v>60054</v>
      </c>
      <c r="H160" s="10">
        <v>58128</v>
      </c>
      <c r="I160" s="10">
        <v>61371</v>
      </c>
      <c r="J160" s="10">
        <v>57107</v>
      </c>
      <c r="K160" s="10">
        <v>62817</v>
      </c>
      <c r="L160" s="10">
        <v>66661</v>
      </c>
      <c r="M160" s="10">
        <v>60165</v>
      </c>
      <c r="N160" s="10">
        <v>71345</v>
      </c>
      <c r="O160" s="10">
        <v>59564</v>
      </c>
      <c r="P160" s="10">
        <v>62597</v>
      </c>
      <c r="Q160" s="6">
        <f t="shared" si="8"/>
        <v>746934</v>
      </c>
      <c r="R160"/>
    </row>
    <row r="161" spans="1:19">
      <c r="A161" s="1" t="s">
        <v>253</v>
      </c>
      <c r="B161" s="7" t="s">
        <v>314</v>
      </c>
      <c r="C161" s="7" t="s">
        <v>315</v>
      </c>
      <c r="D161" s="6">
        <f>'2013 pax'!Q158</f>
        <v>0</v>
      </c>
      <c r="E161" s="10">
        <v>37272</v>
      </c>
      <c r="F161" s="10">
        <v>34554</v>
      </c>
      <c r="G161" s="10">
        <v>33049</v>
      </c>
      <c r="H161" s="10">
        <v>32769</v>
      </c>
      <c r="I161" s="10">
        <v>33549</v>
      </c>
      <c r="J161" s="10">
        <v>34332</v>
      </c>
      <c r="K161" s="10">
        <v>38080</v>
      </c>
      <c r="L161" s="10">
        <v>39992</v>
      </c>
      <c r="M161" s="10">
        <v>38678</v>
      </c>
      <c r="N161" s="10">
        <v>42045</v>
      </c>
      <c r="O161" s="10">
        <v>40174</v>
      </c>
      <c r="P161" s="10">
        <v>42051</v>
      </c>
      <c r="Q161" s="6">
        <f t="shared" si="8"/>
        <v>446545</v>
      </c>
      <c r="R161"/>
    </row>
    <row r="162" spans="1:19">
      <c r="A162" s="1" t="s">
        <v>253</v>
      </c>
      <c r="B162" s="7" t="s">
        <v>308</v>
      </c>
      <c r="C162" s="7" t="s">
        <v>309</v>
      </c>
      <c r="D162" s="6">
        <f>'2013 pax'!Q159</f>
        <v>0</v>
      </c>
      <c r="E162" s="10">
        <v>20977</v>
      </c>
      <c r="F162" s="10">
        <v>16918</v>
      </c>
      <c r="G162" s="10">
        <v>19582</v>
      </c>
      <c r="H162" s="10">
        <v>22497</v>
      </c>
      <c r="I162" s="10">
        <v>22442</v>
      </c>
      <c r="J162" s="10">
        <v>21941</v>
      </c>
      <c r="K162" s="10">
        <v>25679</v>
      </c>
      <c r="L162" s="10">
        <v>26613</v>
      </c>
      <c r="M162" s="30">
        <v>23727</v>
      </c>
      <c r="N162" s="10">
        <v>24338</v>
      </c>
      <c r="O162" s="10">
        <v>22184</v>
      </c>
      <c r="P162" s="10">
        <v>21053</v>
      </c>
      <c r="Q162" s="6">
        <f t="shared" si="8"/>
        <v>267951</v>
      </c>
      <c r="R162"/>
    </row>
    <row r="163" spans="1:19">
      <c r="A163" s="1" t="s">
        <v>253</v>
      </c>
      <c r="B163" s="7" t="s">
        <v>322</v>
      </c>
      <c r="C163" s="7" t="s">
        <v>323</v>
      </c>
      <c r="D163" s="6">
        <f>'2013 pax'!Q160</f>
        <v>0</v>
      </c>
      <c r="E163" s="10">
        <v>28859</v>
      </c>
      <c r="F163" s="10">
        <v>30674</v>
      </c>
      <c r="G163" s="10">
        <v>27782</v>
      </c>
      <c r="H163" s="10">
        <v>24894</v>
      </c>
      <c r="I163" s="10">
        <v>25361</v>
      </c>
      <c r="J163" s="10">
        <v>24024</v>
      </c>
      <c r="K163" s="10">
        <v>27262</v>
      </c>
      <c r="L163" s="10">
        <v>29936</v>
      </c>
      <c r="M163" s="30">
        <v>29696</v>
      </c>
      <c r="N163" s="10">
        <v>30841</v>
      </c>
      <c r="O163" s="10">
        <v>30670</v>
      </c>
      <c r="P163" s="10">
        <v>30563</v>
      </c>
      <c r="Q163" s="6">
        <f t="shared" si="8"/>
        <v>340562</v>
      </c>
      <c r="R163"/>
    </row>
    <row r="164" spans="1:19">
      <c r="A164" s="1" t="s">
        <v>253</v>
      </c>
      <c r="B164" s="7" t="s">
        <v>318</v>
      </c>
      <c r="C164" s="7" t="s">
        <v>319</v>
      </c>
      <c r="D164" s="6">
        <f>'2013 pax'!Q161</f>
        <v>0</v>
      </c>
      <c r="E164" s="10">
        <v>55781</v>
      </c>
      <c r="F164" s="10">
        <v>54049</v>
      </c>
      <c r="G164" s="10">
        <v>51562</v>
      </c>
      <c r="H164" s="10">
        <v>46612</v>
      </c>
      <c r="I164" s="10">
        <v>50573</v>
      </c>
      <c r="J164" s="10">
        <v>48951</v>
      </c>
      <c r="K164" s="10">
        <v>60723</v>
      </c>
      <c r="L164" s="10">
        <v>64261</v>
      </c>
      <c r="M164" s="10">
        <v>56029</v>
      </c>
      <c r="N164" s="10">
        <v>58179</v>
      </c>
      <c r="O164" s="10">
        <v>50703</v>
      </c>
      <c r="P164" s="10">
        <v>53575</v>
      </c>
      <c r="Q164" s="6">
        <f t="shared" si="8"/>
        <v>650998</v>
      </c>
      <c r="R164"/>
    </row>
    <row r="165" spans="1:19">
      <c r="A165" s="1" t="s">
        <v>253</v>
      </c>
      <c r="B165" s="7" t="s">
        <v>316</v>
      </c>
      <c r="C165" s="7" t="s">
        <v>317</v>
      </c>
      <c r="D165" s="6">
        <f>'2013 pax'!Q162</f>
        <v>0</v>
      </c>
      <c r="E165" s="10">
        <v>35912</v>
      </c>
      <c r="F165" s="10">
        <v>37382</v>
      </c>
      <c r="G165" s="10">
        <v>37848</v>
      </c>
      <c r="H165" s="10">
        <v>33549</v>
      </c>
      <c r="I165" s="10">
        <v>37411</v>
      </c>
      <c r="J165" s="10">
        <v>38250</v>
      </c>
      <c r="K165" s="10">
        <v>39579</v>
      </c>
      <c r="L165" s="10">
        <v>46190</v>
      </c>
      <c r="M165" s="10">
        <v>43141</v>
      </c>
      <c r="N165" s="10">
        <v>44943</v>
      </c>
      <c r="O165" s="10">
        <v>42800</v>
      </c>
      <c r="P165" s="10">
        <v>43052</v>
      </c>
      <c r="Q165" s="6">
        <f t="shared" si="8"/>
        <v>480057</v>
      </c>
      <c r="R165"/>
    </row>
    <row r="166" spans="1:19" s="42" customFormat="1">
      <c r="A166" s="1" t="s">
        <v>253</v>
      </c>
      <c r="B166" s="7" t="s">
        <v>551</v>
      </c>
      <c r="C166" s="7" t="s">
        <v>552</v>
      </c>
      <c r="D166" s="6">
        <v>0</v>
      </c>
      <c r="E166" s="10">
        <v>16777</v>
      </c>
      <c r="F166" s="10">
        <v>17006</v>
      </c>
      <c r="G166" s="10">
        <v>13963</v>
      </c>
      <c r="H166" s="10">
        <v>12470</v>
      </c>
      <c r="I166" s="10">
        <v>14656</v>
      </c>
      <c r="J166" s="10">
        <v>11780</v>
      </c>
      <c r="K166" s="10">
        <v>15106</v>
      </c>
      <c r="L166" s="10">
        <v>16183</v>
      </c>
      <c r="M166" s="10">
        <v>16214</v>
      </c>
      <c r="N166" s="10">
        <v>17468</v>
      </c>
      <c r="O166" s="10">
        <v>14318</v>
      </c>
      <c r="P166" s="10">
        <v>17550</v>
      </c>
      <c r="Q166" s="6">
        <f t="shared" si="8"/>
        <v>183491</v>
      </c>
    </row>
    <row r="167" spans="1:19">
      <c r="A167" s="1" t="s">
        <v>326</v>
      </c>
      <c r="B167" s="7" t="s">
        <v>327</v>
      </c>
      <c r="C167" s="7" t="s">
        <v>328</v>
      </c>
      <c r="D167" s="6">
        <f>'2013 pax'!Q163</f>
        <v>0</v>
      </c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6">
        <f t="shared" si="8"/>
        <v>0</v>
      </c>
      <c r="R167"/>
    </row>
    <row r="168" spans="1:19">
      <c r="A168" s="1" t="s">
        <v>326</v>
      </c>
      <c r="B168" s="7" t="s">
        <v>329</v>
      </c>
      <c r="C168" s="7" t="s">
        <v>330</v>
      </c>
      <c r="D168" s="6">
        <f>'2013 pax'!Q164</f>
        <v>0</v>
      </c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6">
        <f t="shared" si="8"/>
        <v>0</v>
      </c>
      <c r="R168"/>
    </row>
    <row r="169" spans="1:19">
      <c r="A169" s="1" t="s">
        <v>16</v>
      </c>
      <c r="B169" s="1" t="s">
        <v>353</v>
      </c>
      <c r="C169" s="1" t="s">
        <v>354</v>
      </c>
      <c r="D169" s="6">
        <f>'2013 pax'!Q165</f>
        <v>5058414</v>
      </c>
      <c r="E169" s="10">
        <v>323024</v>
      </c>
      <c r="F169" s="10">
        <v>303883</v>
      </c>
      <c r="G169" s="10">
        <v>393771</v>
      </c>
      <c r="H169" s="10">
        <v>398110</v>
      </c>
      <c r="I169" s="10">
        <v>443575</v>
      </c>
      <c r="J169" s="10">
        <v>467363</v>
      </c>
      <c r="K169" s="10">
        <v>482905</v>
      </c>
      <c r="L169" s="10">
        <v>446798</v>
      </c>
      <c r="M169" s="10">
        <v>408792</v>
      </c>
      <c r="N169" s="10">
        <v>451387</v>
      </c>
      <c r="O169" s="10">
        <v>360732</v>
      </c>
      <c r="P169" s="10">
        <v>391561</v>
      </c>
      <c r="Q169" s="6">
        <f t="shared" si="8"/>
        <v>4871901</v>
      </c>
      <c r="R169" s="15">
        <f>Q169/D169-1</f>
        <v>-3.6871833740773297E-2</v>
      </c>
    </row>
    <row r="170" spans="1:19">
      <c r="A170" s="1" t="s">
        <v>16</v>
      </c>
      <c r="B170" s="1" t="s">
        <v>17</v>
      </c>
      <c r="C170" s="1" t="s">
        <v>18</v>
      </c>
      <c r="D170" s="6">
        <f>'2013 pax'!Q166</f>
        <v>94428349</v>
      </c>
      <c r="E170" s="10">
        <v>6779582</v>
      </c>
      <c r="F170" s="10">
        <v>6403187</v>
      </c>
      <c r="G170" s="10">
        <v>8397892</v>
      </c>
      <c r="H170" s="10">
        <v>8161562</v>
      </c>
      <c r="I170" s="10">
        <v>8611389</v>
      </c>
      <c r="J170" s="10">
        <v>8596921</v>
      </c>
      <c r="K170" s="10">
        <v>8933819</v>
      </c>
      <c r="L170" s="10">
        <v>8566734</v>
      </c>
      <c r="M170" s="10">
        <v>7748314</v>
      </c>
      <c r="N170" s="10">
        <v>8437805</v>
      </c>
      <c r="O170" s="10">
        <v>7665543</v>
      </c>
      <c r="P170" s="10">
        <v>7820322</v>
      </c>
      <c r="Q170" s="6">
        <f t="shared" si="8"/>
        <v>96123070</v>
      </c>
      <c r="R170" s="15">
        <f t="shared" ref="R170:R175" si="9">Q170/D170-1</f>
        <v>1.794716330368118E-2</v>
      </c>
    </row>
    <row r="171" spans="1:19" ht="15.75">
      <c r="A171" s="1" t="s">
        <v>16</v>
      </c>
      <c r="B171" s="1" t="s">
        <v>382</v>
      </c>
      <c r="C171" s="1" t="s">
        <v>348</v>
      </c>
      <c r="D171" s="6">
        <f>'2013 pax'!Q167</f>
        <v>10017958</v>
      </c>
      <c r="E171" s="10">
        <v>736782</v>
      </c>
      <c r="F171" s="10">
        <v>684798</v>
      </c>
      <c r="G171" s="10">
        <v>942825</v>
      </c>
      <c r="H171" s="10">
        <v>863629</v>
      </c>
      <c r="I171" s="10">
        <v>922981</v>
      </c>
      <c r="J171" s="10">
        <v>968545</v>
      </c>
      <c r="K171" s="10">
        <v>1006417</v>
      </c>
      <c r="L171" s="10">
        <v>959640</v>
      </c>
      <c r="M171" s="10">
        <v>858258</v>
      </c>
      <c r="N171" s="10">
        <v>972968</v>
      </c>
      <c r="O171" s="10">
        <v>883197</v>
      </c>
      <c r="P171" s="10">
        <v>918814</v>
      </c>
      <c r="Q171" s="6">
        <f t="shared" si="8"/>
        <v>10718854</v>
      </c>
      <c r="R171" s="15">
        <f t="shared" si="9"/>
        <v>6.9963958722925268E-2</v>
      </c>
      <c r="S171" s="13"/>
    </row>
    <row r="172" spans="1:19" ht="15.75">
      <c r="A172" s="1" t="s">
        <v>16</v>
      </c>
      <c r="B172" s="1" t="s">
        <v>383</v>
      </c>
      <c r="C172" s="1" t="s">
        <v>53</v>
      </c>
      <c r="D172" s="6">
        <f>'2013 pax'!Q168</f>
        <v>22502587</v>
      </c>
      <c r="E172" s="10">
        <v>1495347</v>
      </c>
      <c r="F172" s="10">
        <v>1356324</v>
      </c>
      <c r="G172" s="10">
        <v>1835996</v>
      </c>
      <c r="H172" s="10">
        <v>1914769</v>
      </c>
      <c r="I172" s="10">
        <v>2048995</v>
      </c>
      <c r="J172" s="10">
        <v>2072888</v>
      </c>
      <c r="K172" s="10">
        <v>2168157</v>
      </c>
      <c r="L172" s="10">
        <v>2090387</v>
      </c>
      <c r="M172" s="10">
        <v>1811446</v>
      </c>
      <c r="N172" s="10">
        <v>1926200</v>
      </c>
      <c r="O172" s="10">
        <v>1765423</v>
      </c>
      <c r="P172" s="10">
        <v>1824799</v>
      </c>
      <c r="Q172" s="6">
        <f t="shared" si="8"/>
        <v>22310731</v>
      </c>
      <c r="R172" s="15">
        <f t="shared" si="9"/>
        <v>-8.5259530381995852E-3</v>
      </c>
      <c r="S172" s="13"/>
    </row>
    <row r="173" spans="1:19" ht="15.75">
      <c r="A173" s="1" t="s">
        <v>16</v>
      </c>
      <c r="B173" s="1" t="s">
        <v>489</v>
      </c>
      <c r="C173" s="1" t="s">
        <v>431</v>
      </c>
      <c r="D173" s="6">
        <f>'2013 pax'!Q169</f>
        <v>1156504</v>
      </c>
      <c r="E173" s="10">
        <v>84102</v>
      </c>
      <c r="F173" s="10">
        <v>81999</v>
      </c>
      <c r="G173" s="10">
        <v>102936</v>
      </c>
      <c r="H173" s="10">
        <v>103999</v>
      </c>
      <c r="I173" s="10">
        <v>115630</v>
      </c>
      <c r="J173" s="10">
        <v>128226</v>
      </c>
      <c r="K173" s="10">
        <v>125274</v>
      </c>
      <c r="L173" s="10">
        <v>117062</v>
      </c>
      <c r="M173" s="10">
        <v>108564</v>
      </c>
      <c r="N173" s="10">
        <v>115877</v>
      </c>
      <c r="O173" s="10">
        <v>98027</v>
      </c>
      <c r="P173" s="10">
        <v>96707</v>
      </c>
      <c r="Q173" s="6">
        <f t="shared" si="8"/>
        <v>1278403</v>
      </c>
      <c r="R173" s="15">
        <f t="shared" si="9"/>
        <v>0.10540300768523059</v>
      </c>
    </row>
    <row r="174" spans="1:19">
      <c r="A174" s="1" t="s">
        <v>16</v>
      </c>
      <c r="B174" s="1" t="s">
        <v>423</v>
      </c>
      <c r="C174" s="1" t="s">
        <v>424</v>
      </c>
      <c r="D174" s="6">
        <f>'2013 pax'!Q170</f>
        <v>2612461</v>
      </c>
      <c r="E174" s="10">
        <v>203815</v>
      </c>
      <c r="F174" s="10">
        <v>187918</v>
      </c>
      <c r="G174" s="10">
        <v>217067</v>
      </c>
      <c r="H174" s="10">
        <v>207327</v>
      </c>
      <c r="I174" s="10">
        <v>227228</v>
      </c>
      <c r="J174" s="10">
        <v>250044</v>
      </c>
      <c r="K174" s="10">
        <v>261596</v>
      </c>
      <c r="L174" s="10">
        <v>254598</v>
      </c>
      <c r="M174" s="10">
        <v>222223</v>
      </c>
      <c r="N174" s="10">
        <v>240424</v>
      </c>
      <c r="O174" s="10">
        <v>226768</v>
      </c>
      <c r="P174" s="10">
        <v>253362</v>
      </c>
      <c r="Q174" s="6">
        <f t="shared" si="8"/>
        <v>2752370</v>
      </c>
      <c r="R174" s="15">
        <f t="shared" si="9"/>
        <v>5.3554483684158383E-2</v>
      </c>
    </row>
    <row r="175" spans="1:19" ht="15.75">
      <c r="A175" s="1" t="s">
        <v>16</v>
      </c>
      <c r="B175" s="1" t="s">
        <v>452</v>
      </c>
      <c r="C175" s="1" t="s">
        <v>48</v>
      </c>
      <c r="D175" s="6">
        <f>'2013 pax'!Q171</f>
        <v>30237699</v>
      </c>
      <c r="E175" s="10">
        <v>2016205</v>
      </c>
      <c r="F175" s="10">
        <v>1935511</v>
      </c>
      <c r="G175" s="10">
        <v>2555815</v>
      </c>
      <c r="H175" s="10">
        <v>2721967</v>
      </c>
      <c r="I175" s="10">
        <v>2877233</v>
      </c>
      <c r="J175" s="10">
        <v>2938917</v>
      </c>
      <c r="K175" s="10">
        <v>3137087</v>
      </c>
      <c r="L175" s="10">
        <v>3136875</v>
      </c>
      <c r="M175" s="10">
        <v>2672685</v>
      </c>
      <c r="N175" s="10">
        <v>2799342</v>
      </c>
      <c r="O175" s="10">
        <v>2422024</v>
      </c>
      <c r="P175" s="10">
        <v>2420784</v>
      </c>
      <c r="Q175" s="6">
        <f t="shared" si="8"/>
        <v>31634445</v>
      </c>
      <c r="R175" s="15">
        <f t="shared" si="9"/>
        <v>4.6192205299748545E-2</v>
      </c>
    </row>
    <row r="176" spans="1:19">
      <c r="A176" s="1" t="s">
        <v>16</v>
      </c>
      <c r="B176" s="1" t="s">
        <v>535</v>
      </c>
      <c r="C176" s="1" t="s">
        <v>536</v>
      </c>
      <c r="D176" s="6">
        <v>5134925</v>
      </c>
      <c r="E176" s="10">
        <v>298461</v>
      </c>
      <c r="F176" s="10">
        <v>324174</v>
      </c>
      <c r="G176" s="10">
        <v>416406</v>
      </c>
      <c r="H176" s="10">
        <v>419794</v>
      </c>
      <c r="I176" s="10">
        <v>447074</v>
      </c>
      <c r="J176" s="10"/>
      <c r="K176" s="10"/>
      <c r="L176" s="10"/>
      <c r="M176" s="10"/>
      <c r="N176" s="10"/>
      <c r="O176" s="10"/>
      <c r="P176" s="10"/>
      <c r="Q176" s="6">
        <f t="shared" si="8"/>
        <v>1905909</v>
      </c>
      <c r="R176"/>
    </row>
    <row r="177" spans="1:18" ht="15.75">
      <c r="A177" s="1" t="s">
        <v>16</v>
      </c>
      <c r="B177" s="1" t="s">
        <v>417</v>
      </c>
      <c r="C177" s="1" t="s">
        <v>407</v>
      </c>
      <c r="D177" s="6">
        <f>'2013 pax'!Q173</f>
        <v>3844092</v>
      </c>
      <c r="E177" s="10">
        <v>302389</v>
      </c>
      <c r="F177" s="10">
        <v>278420</v>
      </c>
      <c r="G177" s="10">
        <v>320787</v>
      </c>
      <c r="H177" s="10">
        <v>325839</v>
      </c>
      <c r="I177" s="10">
        <v>334143</v>
      </c>
      <c r="J177" s="10">
        <v>327858</v>
      </c>
      <c r="K177" s="10">
        <v>322512</v>
      </c>
      <c r="L177" s="10">
        <v>342390</v>
      </c>
      <c r="M177" s="10">
        <v>317060</v>
      </c>
      <c r="N177" s="10">
        <v>331476</v>
      </c>
      <c r="O177" s="10">
        <v>325515</v>
      </c>
      <c r="P177" s="10">
        <v>332790</v>
      </c>
      <c r="Q177" s="6">
        <f t="shared" si="8"/>
        <v>3861179</v>
      </c>
      <c r="R177" s="15">
        <f>Q177/D177-1</f>
        <v>4.4450028771423344E-3</v>
      </c>
    </row>
    <row r="178" spans="1:18">
      <c r="A178" s="1" t="s">
        <v>16</v>
      </c>
      <c r="B178" s="1" t="s">
        <v>439</v>
      </c>
      <c r="C178" s="1" t="s">
        <v>440</v>
      </c>
      <c r="D178" s="6">
        <f>'2013 pax'!Q174</f>
        <v>2913592</v>
      </c>
      <c r="E178" s="10">
        <v>184713</v>
      </c>
      <c r="F178" s="10">
        <v>175560</v>
      </c>
      <c r="G178" s="10">
        <v>261699</v>
      </c>
      <c r="H178" s="10">
        <v>283234</v>
      </c>
      <c r="I178" s="10">
        <v>295046</v>
      </c>
      <c r="J178" s="10">
        <v>284037</v>
      </c>
      <c r="K178" s="10">
        <v>284101</v>
      </c>
      <c r="L178" s="10">
        <v>292788</v>
      </c>
      <c r="M178" s="10">
        <v>266208</v>
      </c>
      <c r="N178" s="10">
        <v>298591</v>
      </c>
      <c r="O178" s="10">
        <v>262334</v>
      </c>
      <c r="P178" s="10">
        <v>242761</v>
      </c>
      <c r="Q178" s="6">
        <f t="shared" si="8"/>
        <v>3131072</v>
      </c>
      <c r="R178" s="15">
        <f>Q178/D178-1</f>
        <v>7.4643258218721087E-2</v>
      </c>
    </row>
    <row r="179" spans="1:18">
      <c r="A179" s="1" t="s">
        <v>16</v>
      </c>
      <c r="B179" s="1" t="s">
        <v>34</v>
      </c>
      <c r="C179" s="1" t="s">
        <v>35</v>
      </c>
      <c r="D179" s="6">
        <f>'2013 pax'!Q175</f>
        <v>43456310</v>
      </c>
      <c r="E179" s="10">
        <v>3504652</v>
      </c>
      <c r="F179" s="10">
        <v>2983487</v>
      </c>
      <c r="G179" s="10">
        <v>3846660</v>
      </c>
      <c r="H179" s="10">
        <v>3778425</v>
      </c>
      <c r="I179" s="10">
        <v>3955489</v>
      </c>
      <c r="J179" s="10">
        <v>3893873</v>
      </c>
      <c r="K179" s="10">
        <v>4020192</v>
      </c>
      <c r="L179" s="10">
        <v>3874689</v>
      </c>
      <c r="M179" s="10">
        <v>3478129</v>
      </c>
      <c r="N179" s="10">
        <v>3819689</v>
      </c>
      <c r="O179" s="10">
        <v>4656800</v>
      </c>
      <c r="P179" s="10">
        <v>6082392</v>
      </c>
      <c r="Q179" s="6">
        <f t="shared" si="8"/>
        <v>47894477</v>
      </c>
      <c r="R179" s="15">
        <f>Q179/D179-1</f>
        <v>0.1021294030717288</v>
      </c>
    </row>
    <row r="180" spans="1:18" ht="15.75">
      <c r="A180" s="1" t="s">
        <v>16</v>
      </c>
      <c r="B180" s="1" t="s">
        <v>384</v>
      </c>
      <c r="C180" s="1" t="s">
        <v>57</v>
      </c>
      <c r="D180" s="6">
        <f>'2013 pax'!Q176</f>
        <v>20473871</v>
      </c>
      <c r="E180" s="10">
        <v>1198101</v>
      </c>
      <c r="F180" s="10">
        <v>1245041</v>
      </c>
      <c r="G180" s="10">
        <v>1772375</v>
      </c>
      <c r="H180" s="10">
        <v>1816264</v>
      </c>
      <c r="I180" s="10">
        <v>1919490</v>
      </c>
      <c r="J180" s="10">
        <v>2021334</v>
      </c>
      <c r="K180" s="10">
        <v>2120226</v>
      </c>
      <c r="L180" s="10">
        <v>2040794</v>
      </c>
      <c r="M180" s="10">
        <v>1753129</v>
      </c>
      <c r="N180" s="10">
        <v>1900962</v>
      </c>
      <c r="O180" s="10">
        <v>1669482</v>
      </c>
      <c r="P180" s="10">
        <v>1747444</v>
      </c>
      <c r="Q180" s="6">
        <f t="shared" si="8"/>
        <v>21204642</v>
      </c>
      <c r="R180" s="15">
        <f>Q180/D180-1</f>
        <v>3.569285944997902E-2</v>
      </c>
    </row>
    <row r="181" spans="1:18" ht="15.75">
      <c r="A181" s="1" t="s">
        <v>16</v>
      </c>
      <c r="B181" s="1" t="s">
        <v>385</v>
      </c>
      <c r="C181" s="1" t="s">
        <v>19</v>
      </c>
      <c r="D181" s="6">
        <f>'2013 pax'!Q177</f>
        <v>66904311</v>
      </c>
      <c r="E181" s="10">
        <v>4449882</v>
      </c>
      <c r="F181" s="10">
        <v>4541474</v>
      </c>
      <c r="G181" s="10">
        <v>5793022</v>
      </c>
      <c r="H181" s="10">
        <v>5736667</v>
      </c>
      <c r="I181" s="10">
        <v>6260069</v>
      </c>
      <c r="J181" s="10">
        <v>6473876</v>
      </c>
      <c r="K181" s="10">
        <v>6775559</v>
      </c>
      <c r="L181" s="10">
        <v>6622999</v>
      </c>
      <c r="M181" s="10">
        <v>5816118</v>
      </c>
      <c r="N181" s="10">
        <v>6320395</v>
      </c>
      <c r="O181" s="10">
        <v>5543649</v>
      </c>
      <c r="P181" s="10">
        <v>5694588</v>
      </c>
      <c r="Q181" s="6">
        <f t="shared" si="8"/>
        <v>70028298</v>
      </c>
      <c r="R181" s="15">
        <f>Q181/D181-1</f>
        <v>4.6693358818088671E-2</v>
      </c>
    </row>
    <row r="182" spans="1:18">
      <c r="A182" s="1" t="s">
        <v>16</v>
      </c>
      <c r="B182" s="1" t="s">
        <v>349</v>
      </c>
      <c r="C182" s="1" t="s">
        <v>350</v>
      </c>
      <c r="D182" s="6">
        <f>'2013 pax'!Q178</f>
        <v>5718255</v>
      </c>
      <c r="E182" s="10">
        <v>398611</v>
      </c>
      <c r="F182" s="10">
        <v>377071</v>
      </c>
      <c r="G182" s="10">
        <v>529699</v>
      </c>
      <c r="H182" s="10">
        <v>514076</v>
      </c>
      <c r="I182" s="10">
        <v>531652</v>
      </c>
      <c r="J182" s="10">
        <v>549829</v>
      </c>
      <c r="K182" s="10">
        <v>548407</v>
      </c>
      <c r="L182" s="10">
        <v>528635</v>
      </c>
      <c r="M182" s="10">
        <v>466407</v>
      </c>
      <c r="N182" s="10">
        <v>518487</v>
      </c>
      <c r="O182" s="10">
        <v>474668</v>
      </c>
      <c r="P182" s="10">
        <v>471169</v>
      </c>
      <c r="Q182" s="6">
        <f t="shared" si="8"/>
        <v>5908711</v>
      </c>
      <c r="R182" s="15">
        <f t="shared" ref="R182:R188" si="10">Q182/D182-1</f>
        <v>3.3306664358270233E-2</v>
      </c>
    </row>
    <row r="183" spans="1:18">
      <c r="A183" s="1" t="s">
        <v>16</v>
      </c>
      <c r="B183" s="1" t="s">
        <v>544</v>
      </c>
      <c r="C183" s="1" t="s">
        <v>543</v>
      </c>
      <c r="D183" s="6">
        <f>'2013 pax'!Q179</f>
        <v>9072126</v>
      </c>
      <c r="E183" s="38">
        <v>564623</v>
      </c>
      <c r="F183" s="39">
        <v>598753</v>
      </c>
      <c r="G183" s="39">
        <v>762998</v>
      </c>
      <c r="H183" s="39">
        <v>689872</v>
      </c>
      <c r="I183" s="39">
        <v>676043</v>
      </c>
      <c r="J183" s="39">
        <v>640946</v>
      </c>
      <c r="K183" s="39">
        <v>657735</v>
      </c>
      <c r="L183" s="39">
        <v>648284</v>
      </c>
      <c r="M183" s="39">
        <v>570678</v>
      </c>
      <c r="N183" s="39">
        <v>623255</v>
      </c>
      <c r="O183" s="39">
        <v>580682</v>
      </c>
      <c r="P183" s="39">
        <v>595535</v>
      </c>
      <c r="Q183" s="6">
        <f t="shared" si="8"/>
        <v>7609404</v>
      </c>
      <c r="R183" s="15">
        <f t="shared" si="10"/>
        <v>-0.16123254901882977</v>
      </c>
    </row>
    <row r="184" spans="1:18" ht="15.75">
      <c r="A184" s="1" t="s">
        <v>16</v>
      </c>
      <c r="B184" s="1" t="s">
        <v>451</v>
      </c>
      <c r="C184" s="1" t="s">
        <v>434</v>
      </c>
      <c r="D184" s="6">
        <f>'2013 pax'!Q180</f>
        <v>1320463</v>
      </c>
      <c r="E184" s="10">
        <v>86054</v>
      </c>
      <c r="F184" s="10">
        <v>77740</v>
      </c>
      <c r="G184" s="10">
        <v>101837</v>
      </c>
      <c r="H184" s="10">
        <v>95861</v>
      </c>
      <c r="I184" s="10"/>
      <c r="J184" s="10"/>
      <c r="K184" s="10"/>
      <c r="L184" s="10"/>
      <c r="M184" s="10"/>
      <c r="N184" s="10"/>
      <c r="O184" s="10"/>
      <c r="P184" s="10"/>
      <c r="Q184" s="6">
        <f t="shared" si="8"/>
        <v>361492</v>
      </c>
      <c r="R184"/>
    </row>
    <row r="185" spans="1:18">
      <c r="A185" s="1" t="s">
        <v>16</v>
      </c>
      <c r="B185" s="1" t="s">
        <v>517</v>
      </c>
      <c r="C185" s="1" t="s">
        <v>518</v>
      </c>
      <c r="D185" s="6">
        <f>'2013 pax'!Q181</f>
        <v>1018883</v>
      </c>
      <c r="E185" s="10">
        <v>70428</v>
      </c>
      <c r="F185" s="10">
        <v>67039</v>
      </c>
      <c r="G185" s="10">
        <v>88381</v>
      </c>
      <c r="H185" s="10">
        <v>92948</v>
      </c>
      <c r="I185" s="10">
        <v>96006</v>
      </c>
      <c r="J185" s="10">
        <v>93477</v>
      </c>
      <c r="K185" s="10">
        <v>94265</v>
      </c>
      <c r="L185" s="10">
        <v>91628</v>
      </c>
      <c r="M185" s="10">
        <v>88201</v>
      </c>
      <c r="N185" s="10">
        <v>94194</v>
      </c>
      <c r="O185" s="10">
        <v>80927</v>
      </c>
      <c r="P185" s="10">
        <v>77408</v>
      </c>
      <c r="Q185" s="6">
        <f t="shared" si="8"/>
        <v>1034902</v>
      </c>
      <c r="R185" s="15">
        <f t="shared" si="10"/>
        <v>1.572211922271749E-2</v>
      </c>
    </row>
    <row r="186" spans="1:18">
      <c r="A186" s="1" t="s">
        <v>16</v>
      </c>
      <c r="B186" s="1" t="s">
        <v>403</v>
      </c>
      <c r="C186" s="1" t="s">
        <v>404</v>
      </c>
      <c r="D186" s="6">
        <f>'2013 pax'!Q182</f>
        <v>6217336</v>
      </c>
      <c r="E186" s="10">
        <v>429086</v>
      </c>
      <c r="F186" s="10">
        <v>435093</v>
      </c>
      <c r="G186" s="10">
        <v>569791</v>
      </c>
      <c r="H186" s="10">
        <v>516709</v>
      </c>
      <c r="I186" s="10">
        <v>570026</v>
      </c>
      <c r="J186" s="10">
        <v>591237</v>
      </c>
      <c r="K186" s="10">
        <v>587801</v>
      </c>
      <c r="L186" s="10">
        <v>539080</v>
      </c>
      <c r="M186" s="10">
        <v>508521</v>
      </c>
      <c r="N186" s="10">
        <v>559729</v>
      </c>
      <c r="O186" s="10">
        <v>505764</v>
      </c>
      <c r="P186" s="10">
        <v>522589</v>
      </c>
      <c r="Q186" s="6">
        <f t="shared" si="8"/>
        <v>6335426</v>
      </c>
      <c r="R186" s="15">
        <f t="shared" si="10"/>
        <v>1.899366545414316E-2</v>
      </c>
    </row>
    <row r="187" spans="1:18">
      <c r="A187" s="1" t="s">
        <v>16</v>
      </c>
      <c r="B187" s="1" t="s">
        <v>22</v>
      </c>
      <c r="C187" s="1" t="s">
        <v>23</v>
      </c>
      <c r="D187" s="6">
        <f>'2013 pax'!Q183</f>
        <v>60436266</v>
      </c>
      <c r="E187" s="10">
        <v>4922467</v>
      </c>
      <c r="F187" s="10">
        <v>4450462</v>
      </c>
      <c r="G187" s="10">
        <v>5289177</v>
      </c>
      <c r="H187" s="10">
        <v>5125953</v>
      </c>
      <c r="I187" s="10">
        <v>5498000</v>
      </c>
      <c r="J187" s="10">
        <v>5830033</v>
      </c>
      <c r="K187" s="10">
        <v>6059017</v>
      </c>
      <c r="L187" s="10">
        <v>5787037</v>
      </c>
      <c r="M187" s="10">
        <v>5246883</v>
      </c>
      <c r="N187" s="10">
        <v>5315989</v>
      </c>
      <c r="O187" s="10">
        <v>4764386</v>
      </c>
      <c r="P187" s="10">
        <v>5234104</v>
      </c>
      <c r="Q187" s="6">
        <f t="shared" si="8"/>
        <v>63523508</v>
      </c>
      <c r="R187" s="15">
        <f t="shared" si="10"/>
        <v>5.1082606592538271E-2</v>
      </c>
    </row>
    <row r="188" spans="1:18" ht="15.75">
      <c r="A188" s="1" t="s">
        <v>16</v>
      </c>
      <c r="B188" s="1" t="s">
        <v>505</v>
      </c>
      <c r="C188" s="1" t="s">
        <v>495</v>
      </c>
      <c r="D188" s="6">
        <f>'2013 pax'!Q184</f>
        <v>8470586</v>
      </c>
      <c r="E188" s="10">
        <v>654738</v>
      </c>
      <c r="F188" s="10">
        <v>631628</v>
      </c>
      <c r="G188" s="10">
        <v>752224</v>
      </c>
      <c r="H188" s="10">
        <v>745869</v>
      </c>
      <c r="I188" s="10">
        <v>774400</v>
      </c>
      <c r="J188" s="10">
        <v>769946</v>
      </c>
      <c r="K188" s="10">
        <v>775308</v>
      </c>
      <c r="L188" s="10">
        <v>725890</v>
      </c>
      <c r="M188" s="10">
        <v>692451</v>
      </c>
      <c r="N188" s="10">
        <v>863771</v>
      </c>
      <c r="O188" s="10">
        <v>985678</v>
      </c>
      <c r="P188" s="10">
        <v>1041733</v>
      </c>
      <c r="Q188" s="6">
        <f t="shared" si="8"/>
        <v>9413636</v>
      </c>
      <c r="R188" s="15">
        <f t="shared" si="10"/>
        <v>0.11133232104602908</v>
      </c>
    </row>
    <row r="189" spans="1:18" ht="15.75">
      <c r="A189" s="1" t="s">
        <v>16</v>
      </c>
      <c r="B189" s="1" t="s">
        <v>386</v>
      </c>
      <c r="C189" s="1" t="s">
        <v>24</v>
      </c>
      <c r="D189" s="6">
        <f>'2013 pax'!Q185</f>
        <v>52556359</v>
      </c>
      <c r="E189" s="10">
        <v>4056858</v>
      </c>
      <c r="F189" s="10">
        <v>3779715</v>
      </c>
      <c r="G189" s="10">
        <v>4544364</v>
      </c>
      <c r="H189" s="10">
        <v>4161815</v>
      </c>
      <c r="I189" s="10">
        <v>4563190</v>
      </c>
      <c r="J189" s="10">
        <v>4830401</v>
      </c>
      <c r="K189" s="10">
        <v>5068232</v>
      </c>
      <c r="L189" s="10">
        <v>4935013</v>
      </c>
      <c r="M189" s="10">
        <v>4489372</v>
      </c>
      <c r="N189" s="10">
        <v>4616603</v>
      </c>
      <c r="O189" s="10">
        <v>4029659</v>
      </c>
      <c r="P189" s="10">
        <v>4397292</v>
      </c>
      <c r="Q189" s="6">
        <f t="shared" si="8"/>
        <v>53472514</v>
      </c>
      <c r="R189" s="15">
        <f t="shared" ref="R189:R221" si="11">Q189/D189-1</f>
        <v>1.7431858245735787E-2</v>
      </c>
    </row>
    <row r="190" spans="1:18">
      <c r="A190" s="1" t="s">
        <v>16</v>
      </c>
      <c r="B190" s="1" t="s">
        <v>437</v>
      </c>
      <c r="C190" s="1" t="s">
        <v>438</v>
      </c>
      <c r="D190" s="6">
        <f>'2013 pax'!Q186</f>
        <v>2201228</v>
      </c>
      <c r="E190" s="10">
        <v>171829</v>
      </c>
      <c r="F190" s="10">
        <v>168983</v>
      </c>
      <c r="G190" s="10">
        <v>195194</v>
      </c>
      <c r="H190" s="10">
        <v>183172</v>
      </c>
      <c r="I190" s="10">
        <v>210575</v>
      </c>
      <c r="J190" s="10">
        <v>215859</v>
      </c>
      <c r="K190" s="10">
        <v>211368</v>
      </c>
      <c r="L190" s="10">
        <v>208885</v>
      </c>
      <c r="M190" s="10">
        <v>186962</v>
      </c>
      <c r="N190" s="10">
        <v>202474</v>
      </c>
      <c r="O190" s="10">
        <v>182820</v>
      </c>
      <c r="P190" s="10">
        <v>181327</v>
      </c>
      <c r="Q190" s="6">
        <f t="shared" si="8"/>
        <v>2319448</v>
      </c>
      <c r="R190" s="15">
        <f t="shared" si="11"/>
        <v>5.3706385708341076E-2</v>
      </c>
    </row>
    <row r="191" spans="1:18">
      <c r="A191" s="1" t="s">
        <v>16</v>
      </c>
      <c r="B191" s="1" t="s">
        <v>42</v>
      </c>
      <c r="C191" s="1" t="s">
        <v>43</v>
      </c>
      <c r="D191" s="6">
        <f>'2013 pax'!Q187</f>
        <v>32389544</v>
      </c>
      <c r="E191" s="10">
        <v>2275092</v>
      </c>
      <c r="F191" s="10">
        <v>2225058</v>
      </c>
      <c r="G191" s="10">
        <v>2879796</v>
      </c>
      <c r="H191" s="10">
        <v>2774676</v>
      </c>
      <c r="I191" s="10">
        <v>2919241</v>
      </c>
      <c r="J191" s="10">
        <v>2922106</v>
      </c>
      <c r="K191" s="10">
        <v>2991063</v>
      </c>
      <c r="L191" s="10">
        <v>2990523</v>
      </c>
      <c r="M191" s="10">
        <v>2666691</v>
      </c>
      <c r="N191" s="10">
        <v>2814851</v>
      </c>
      <c r="O191" s="10">
        <v>2510217</v>
      </c>
      <c r="P191" s="10">
        <v>2560404</v>
      </c>
      <c r="Q191" s="6">
        <f t="shared" si="8"/>
        <v>32529718</v>
      </c>
      <c r="R191" s="15">
        <f t="shared" si="11"/>
        <v>4.3277546605782202E-3</v>
      </c>
    </row>
    <row r="192" spans="1:18">
      <c r="A192" s="1" t="s">
        <v>16</v>
      </c>
      <c r="B192" s="1" t="s">
        <v>421</v>
      </c>
      <c r="C192" s="1" t="s">
        <v>422</v>
      </c>
      <c r="D192" s="6">
        <f>'2013 pax'!Q188</f>
        <v>2714384</v>
      </c>
      <c r="E192" s="10">
        <v>191377</v>
      </c>
      <c r="F192" s="10">
        <v>170518</v>
      </c>
      <c r="G192" s="10">
        <v>234440</v>
      </c>
      <c r="H192" s="10">
        <v>225786</v>
      </c>
      <c r="I192" s="10">
        <v>241100</v>
      </c>
      <c r="J192" s="33">
        <v>268411</v>
      </c>
      <c r="K192" s="10">
        <v>284690</v>
      </c>
      <c r="L192" s="10">
        <v>244845</v>
      </c>
      <c r="M192" s="10">
        <v>219446</v>
      </c>
      <c r="N192" s="10">
        <v>233280</v>
      </c>
      <c r="O192" s="10">
        <v>214400</v>
      </c>
      <c r="P192" s="10">
        <v>243169</v>
      </c>
      <c r="Q192" s="6">
        <f>SUM(E192:P192)</f>
        <v>2771462</v>
      </c>
      <c r="R192" s="15">
        <f t="shared" si="11"/>
        <v>2.102797540804846E-2</v>
      </c>
    </row>
    <row r="193" spans="1:21">
      <c r="A193" s="1" t="s">
        <v>16</v>
      </c>
      <c r="B193" s="1" t="s">
        <v>51</v>
      </c>
      <c r="C193" s="1" t="s">
        <v>52</v>
      </c>
      <c r="D193" s="6">
        <f>'2013 pax'!Q189</f>
        <v>23559779</v>
      </c>
      <c r="E193" s="10">
        <v>2149815</v>
      </c>
      <c r="F193" s="10">
        <v>1998069</v>
      </c>
      <c r="G193" s="10">
        <v>2470105</v>
      </c>
      <c r="H193" s="10">
        <v>2192566</v>
      </c>
      <c r="I193" s="10">
        <v>1977662</v>
      </c>
      <c r="J193" s="10">
        <v>1940390</v>
      </c>
      <c r="K193" s="10">
        <v>2099551</v>
      </c>
      <c r="L193" s="10">
        <v>2015097</v>
      </c>
      <c r="M193" s="10">
        <v>1540523</v>
      </c>
      <c r="N193" s="10">
        <v>1820243</v>
      </c>
      <c r="O193" s="10">
        <v>2033376</v>
      </c>
      <c r="P193" s="10">
        <v>2410909</v>
      </c>
      <c r="Q193" s="6">
        <f t="shared" ref="Q193:Q258" si="12">SUM(E193:P193)</f>
        <v>24648306</v>
      </c>
      <c r="R193" s="15">
        <f t="shared" si="11"/>
        <v>4.6202767861277527E-2</v>
      </c>
    </row>
    <row r="194" spans="1:21">
      <c r="A194" s="1" t="s">
        <v>16</v>
      </c>
      <c r="B194" s="1" t="s">
        <v>398</v>
      </c>
      <c r="C194" s="1" t="s">
        <v>399</v>
      </c>
      <c r="D194" s="6">
        <f>'2013 pax'!Q190</f>
        <v>7637801</v>
      </c>
      <c r="E194" s="10">
        <v>778163</v>
      </c>
      <c r="F194" s="10">
        <v>862899</v>
      </c>
      <c r="G194" s="10">
        <v>1147059</v>
      </c>
      <c r="H194" s="10">
        <v>865554</v>
      </c>
      <c r="I194" s="10">
        <v>591116</v>
      </c>
      <c r="J194" s="10">
        <v>478692</v>
      </c>
      <c r="K194" s="10">
        <v>496472</v>
      </c>
      <c r="L194" s="10">
        <v>446402</v>
      </c>
      <c r="M194" s="10">
        <v>366038</v>
      </c>
      <c r="N194" s="10">
        <v>503243</v>
      </c>
      <c r="O194" s="10">
        <v>669567</v>
      </c>
      <c r="P194" s="10">
        <v>765288</v>
      </c>
      <c r="Q194" s="6">
        <f t="shared" si="12"/>
        <v>7970493</v>
      </c>
      <c r="R194" s="15">
        <f t="shared" si="11"/>
        <v>4.3558610652463914E-2</v>
      </c>
    </row>
    <row r="195" spans="1:21">
      <c r="A195" s="1" t="s">
        <v>16</v>
      </c>
      <c r="B195" s="1" t="s">
        <v>537</v>
      </c>
      <c r="C195" s="1" t="s">
        <v>538</v>
      </c>
      <c r="D195" s="6">
        <v>1401582</v>
      </c>
      <c r="E195" s="10">
        <v>108854</v>
      </c>
      <c r="F195" s="10">
        <v>96978</v>
      </c>
      <c r="G195" s="10">
        <v>114173</v>
      </c>
      <c r="H195" s="10">
        <v>118734</v>
      </c>
      <c r="I195" s="10">
        <v>130142</v>
      </c>
      <c r="J195" s="10">
        <v>133672</v>
      </c>
      <c r="K195" s="10">
        <v>140521</v>
      </c>
      <c r="L195" s="10">
        <v>129541</v>
      </c>
      <c r="M195" s="10">
        <v>115733</v>
      </c>
      <c r="N195" s="10">
        <v>123133</v>
      </c>
      <c r="O195" s="10">
        <v>112975</v>
      </c>
      <c r="P195" s="10">
        <v>113214</v>
      </c>
      <c r="Q195" s="6">
        <f t="shared" si="12"/>
        <v>1437670</v>
      </c>
      <c r="R195" s="15">
        <f t="shared" si="11"/>
        <v>2.5748047563396215E-2</v>
      </c>
    </row>
    <row r="196" spans="1:21">
      <c r="A196" s="1" t="s">
        <v>16</v>
      </c>
      <c r="B196" s="1" t="s">
        <v>432</v>
      </c>
      <c r="C196" s="1" t="s">
        <v>433</v>
      </c>
      <c r="D196" s="6">
        <f>'2013 pax'!Q192</f>
        <v>2237979</v>
      </c>
      <c r="E196" s="10">
        <v>157504</v>
      </c>
      <c r="F196" s="10">
        <v>171036</v>
      </c>
      <c r="G196" s="10">
        <v>213844</v>
      </c>
      <c r="H196" s="10">
        <v>197730</v>
      </c>
      <c r="I196" s="10">
        <v>199165</v>
      </c>
      <c r="J196" s="10">
        <v>205383</v>
      </c>
      <c r="K196" s="10">
        <v>214218</v>
      </c>
      <c r="L196" s="10">
        <v>210537</v>
      </c>
      <c r="M196" s="10">
        <v>187688</v>
      </c>
      <c r="N196" s="10">
        <v>205601</v>
      </c>
      <c r="O196" s="10">
        <v>179649</v>
      </c>
      <c r="P196" s="10">
        <v>192750</v>
      </c>
      <c r="Q196" s="6">
        <f t="shared" si="12"/>
        <v>2335105</v>
      </c>
      <c r="R196" s="15">
        <f t="shared" si="11"/>
        <v>4.3398977380931569E-2</v>
      </c>
    </row>
    <row r="197" spans="1:21">
      <c r="A197" s="1" t="s">
        <v>16</v>
      </c>
      <c r="B197" s="1" t="s">
        <v>447</v>
      </c>
      <c r="C197" s="1" t="s">
        <v>448</v>
      </c>
      <c r="D197" s="6">
        <f>'2013 pax'!Q193</f>
        <v>1827157</v>
      </c>
      <c r="E197" s="10">
        <v>128943</v>
      </c>
      <c r="F197" s="10">
        <v>117237</v>
      </c>
      <c r="G197" s="10">
        <v>152038</v>
      </c>
      <c r="H197" s="10">
        <v>158669</v>
      </c>
      <c r="I197" s="10">
        <v>171611</v>
      </c>
      <c r="J197" s="10">
        <v>170542</v>
      </c>
      <c r="K197" s="10">
        <v>168728</v>
      </c>
      <c r="L197" s="10">
        <v>166860</v>
      </c>
      <c r="M197" s="10">
        <v>160020</v>
      </c>
      <c r="N197" s="10">
        <v>171401</v>
      </c>
      <c r="O197" s="10">
        <v>158464</v>
      </c>
      <c r="P197" s="10">
        <v>172751</v>
      </c>
      <c r="Q197" s="6">
        <f t="shared" si="12"/>
        <v>1897264</v>
      </c>
      <c r="R197" s="15">
        <f t="shared" si="11"/>
        <v>3.8369444990222545E-2</v>
      </c>
      <c r="S197" s="10"/>
    </row>
    <row r="198" spans="1:21">
      <c r="A198" s="1" t="s">
        <v>16</v>
      </c>
      <c r="B198" s="1" t="s">
        <v>496</v>
      </c>
      <c r="C198" s="1" t="s">
        <v>497</v>
      </c>
      <c r="D198" s="6">
        <f>'2013 pax'!Q194</f>
        <v>5421975</v>
      </c>
      <c r="E198" s="10">
        <v>421045</v>
      </c>
      <c r="F198" s="10">
        <v>402634</v>
      </c>
      <c r="G198" s="10">
        <v>502497</v>
      </c>
      <c r="H198" s="10">
        <v>520000</v>
      </c>
      <c r="I198" s="10">
        <v>525374</v>
      </c>
      <c r="J198" s="10">
        <v>500602</v>
      </c>
      <c r="K198" s="10">
        <v>539213</v>
      </c>
      <c r="L198" s="10">
        <v>538442</v>
      </c>
      <c r="M198" s="10">
        <v>451802</v>
      </c>
      <c r="N198" s="10">
        <v>500429</v>
      </c>
      <c r="O198" s="10">
        <v>480586</v>
      </c>
      <c r="P198" s="10">
        <v>490400</v>
      </c>
      <c r="Q198" s="6">
        <f t="shared" si="12"/>
        <v>5873024</v>
      </c>
      <c r="R198" s="15">
        <f t="shared" si="11"/>
        <v>8.3189059337234195E-2</v>
      </c>
    </row>
    <row r="199" spans="1:21">
      <c r="A199" s="1" t="s">
        <v>16</v>
      </c>
      <c r="B199" s="1" t="s">
        <v>26</v>
      </c>
      <c r="C199" s="1" t="s">
        <v>27</v>
      </c>
      <c r="D199" s="6">
        <f>'2013 pax'!Q195</f>
        <v>39864662</v>
      </c>
      <c r="E199" s="10">
        <v>3161011</v>
      </c>
      <c r="F199" s="10">
        <v>2957008</v>
      </c>
      <c r="G199" s="10">
        <v>3569044</v>
      </c>
      <c r="H199" s="10">
        <v>3259731</v>
      </c>
      <c r="I199" s="10">
        <v>3566178</v>
      </c>
      <c r="J199" s="10">
        <v>3663848</v>
      </c>
      <c r="K199" s="10">
        <v>3820943</v>
      </c>
      <c r="L199" s="10">
        <v>3651456</v>
      </c>
      <c r="M199" s="10">
        <v>3133441</v>
      </c>
      <c r="N199" s="10">
        <v>3449261</v>
      </c>
      <c r="O199" s="10">
        <v>3327559</v>
      </c>
      <c r="P199" s="10">
        <v>3637374</v>
      </c>
      <c r="Q199" s="6">
        <f t="shared" si="12"/>
        <v>41196854</v>
      </c>
      <c r="R199" s="15">
        <f t="shared" si="11"/>
        <v>3.3417867684416791E-2</v>
      </c>
    </row>
    <row r="200" spans="1:21">
      <c r="A200" s="1" t="s">
        <v>16</v>
      </c>
      <c r="B200" s="7" t="s">
        <v>64</v>
      </c>
      <c r="C200" s="7" t="s">
        <v>65</v>
      </c>
      <c r="D200" s="6">
        <f>'2013 pax'!Q196</f>
        <v>11109467</v>
      </c>
      <c r="E200" s="10">
        <v>863596</v>
      </c>
      <c r="F200" s="10">
        <v>822448</v>
      </c>
      <c r="G200" s="10">
        <v>1020238</v>
      </c>
      <c r="H200" s="10">
        <v>980303</v>
      </c>
      <c r="I200" s="10">
        <v>1055278</v>
      </c>
      <c r="J200" s="10">
        <v>1109816</v>
      </c>
      <c r="K200" s="10">
        <v>1159669</v>
      </c>
      <c r="L200" s="10">
        <v>1041519</v>
      </c>
      <c r="M200" s="10">
        <v>928039</v>
      </c>
      <c r="N200" s="10">
        <v>1017352</v>
      </c>
      <c r="O200" s="10">
        <v>940363</v>
      </c>
      <c r="P200" s="10">
        <v>1005484</v>
      </c>
      <c r="Q200" s="6">
        <f t="shared" si="12"/>
        <v>11944105</v>
      </c>
      <c r="R200" s="15">
        <f t="shared" si="11"/>
        <v>7.5128536769585752E-2</v>
      </c>
    </row>
    <row r="201" spans="1:21">
      <c r="A201" s="1" t="s">
        <v>16</v>
      </c>
      <c r="B201" s="1" t="s">
        <v>351</v>
      </c>
      <c r="C201" s="1" t="s">
        <v>352</v>
      </c>
      <c r="D201" s="6">
        <f>'2013 pax'!Q197</f>
        <v>7217051</v>
      </c>
      <c r="E201" s="10">
        <v>499367</v>
      </c>
      <c r="F201" s="10">
        <v>509450</v>
      </c>
      <c r="G201" s="10">
        <v>676270</v>
      </c>
      <c r="H201" s="10">
        <v>624927</v>
      </c>
      <c r="I201" s="10">
        <v>672399</v>
      </c>
      <c r="J201" s="10">
        <v>682135</v>
      </c>
      <c r="K201" s="10">
        <v>681299</v>
      </c>
      <c r="L201" s="10">
        <v>613458</v>
      </c>
      <c r="M201" s="10">
        <v>577281</v>
      </c>
      <c r="N201" s="10">
        <v>653596</v>
      </c>
      <c r="O201" s="10">
        <v>586902</v>
      </c>
      <c r="P201" s="10">
        <v>586587</v>
      </c>
      <c r="Q201" s="6">
        <f t="shared" si="12"/>
        <v>7363671</v>
      </c>
      <c r="R201" s="15">
        <f t="shared" si="11"/>
        <v>2.0315777178240735E-2</v>
      </c>
    </row>
    <row r="202" spans="1:21">
      <c r="A202" s="1" t="s">
        <v>16</v>
      </c>
      <c r="B202" s="1" t="s">
        <v>449</v>
      </c>
      <c r="C202" s="1" t="s">
        <v>450</v>
      </c>
      <c r="D202" s="6">
        <f>'2013 pax'!Q198</f>
        <v>1191378</v>
      </c>
      <c r="E202" s="10">
        <v>79608</v>
      </c>
      <c r="F202" s="10">
        <v>78510</v>
      </c>
      <c r="G202" s="10">
        <v>97367</v>
      </c>
      <c r="H202" s="10">
        <v>92879</v>
      </c>
      <c r="I202" s="10">
        <v>112191</v>
      </c>
      <c r="J202" s="10">
        <v>92579</v>
      </c>
      <c r="K202" s="10">
        <v>93194</v>
      </c>
      <c r="L202" s="10">
        <v>87929</v>
      </c>
      <c r="M202" s="10">
        <v>83350</v>
      </c>
      <c r="N202" s="10">
        <v>94155</v>
      </c>
      <c r="O202" s="10">
        <v>84162</v>
      </c>
      <c r="P202" s="10">
        <v>79684</v>
      </c>
      <c r="Q202" s="6">
        <f t="shared" si="12"/>
        <v>1075608</v>
      </c>
      <c r="R202" s="15">
        <f t="shared" si="11"/>
        <v>-9.7173189365591828E-2</v>
      </c>
      <c r="S202" s="13"/>
      <c r="T202" s="13"/>
      <c r="U202" s="13"/>
    </row>
    <row r="203" spans="1:21">
      <c r="A203" s="1" t="s">
        <v>16</v>
      </c>
      <c r="B203" s="1" t="s">
        <v>486</v>
      </c>
      <c r="C203" s="1" t="s">
        <v>487</v>
      </c>
      <c r="D203" s="6">
        <f>'2013 pax'!Q199</f>
        <v>5128576</v>
      </c>
      <c r="E203" s="10">
        <v>362424</v>
      </c>
      <c r="F203" s="10">
        <v>346567</v>
      </c>
      <c r="G203" s="10">
        <v>470348</v>
      </c>
      <c r="H203" s="10">
        <v>462899</v>
      </c>
      <c r="I203" s="10">
        <v>480827</v>
      </c>
      <c r="J203" s="10">
        <v>460699</v>
      </c>
      <c r="K203" s="10">
        <v>470971</v>
      </c>
      <c r="L203" s="10">
        <v>445025</v>
      </c>
      <c r="M203" s="10"/>
      <c r="N203" s="10">
        <v>459270</v>
      </c>
      <c r="O203" s="10">
        <v>417898</v>
      </c>
      <c r="P203" s="10">
        <v>446091</v>
      </c>
      <c r="Q203" s="6">
        <f t="shared" si="12"/>
        <v>4823019</v>
      </c>
      <c r="R203"/>
      <c r="S203" s="13"/>
      <c r="T203" s="13"/>
      <c r="U203" s="13"/>
    </row>
    <row r="204" spans="1:21" ht="15.75">
      <c r="A204" s="1" t="s">
        <v>16</v>
      </c>
      <c r="B204" s="1" t="s">
        <v>418</v>
      </c>
      <c r="C204" s="1" t="s">
        <v>506</v>
      </c>
      <c r="D204" s="6">
        <f>'2013 pax'!Q200</f>
        <v>9640723</v>
      </c>
      <c r="E204" s="10">
        <v>680606</v>
      </c>
      <c r="F204" s="10">
        <v>632925</v>
      </c>
      <c r="G204" s="10">
        <v>826975</v>
      </c>
      <c r="H204" s="10">
        <v>796812</v>
      </c>
      <c r="I204" s="10">
        <v>909217</v>
      </c>
      <c r="J204" s="10">
        <v>966481</v>
      </c>
      <c r="K204" s="10">
        <v>977385</v>
      </c>
      <c r="L204" s="10">
        <v>895800</v>
      </c>
      <c r="M204" s="10">
        <v>837319</v>
      </c>
      <c r="N204" s="10">
        <v>927225</v>
      </c>
      <c r="O204" s="10">
        <v>825370</v>
      </c>
      <c r="P204" s="10">
        <v>836157</v>
      </c>
      <c r="Q204" s="6">
        <f t="shared" si="12"/>
        <v>10112272</v>
      </c>
      <c r="R204" s="15">
        <f t="shared" si="11"/>
        <v>4.8912202954072947E-2</v>
      </c>
      <c r="S204" s="13"/>
      <c r="T204" s="13"/>
      <c r="U204" s="13"/>
    </row>
    <row r="205" spans="1:21">
      <c r="A205" s="1" t="s">
        <v>16</v>
      </c>
      <c r="B205" s="1" t="s">
        <v>445</v>
      </c>
      <c r="C205" s="1" t="s">
        <v>446</v>
      </c>
      <c r="D205" s="6">
        <f>'2013 pax'!Q201</f>
        <v>1712676</v>
      </c>
      <c r="E205" s="10">
        <v>115846</v>
      </c>
      <c r="F205" s="10">
        <v>109718</v>
      </c>
      <c r="G205" s="10">
        <v>141497</v>
      </c>
      <c r="H205" s="10">
        <v>138442</v>
      </c>
      <c r="I205" s="10">
        <v>154612</v>
      </c>
      <c r="J205" s="10">
        <v>164397</v>
      </c>
      <c r="K205" s="10">
        <v>168680</v>
      </c>
      <c r="L205" s="10">
        <v>155422</v>
      </c>
      <c r="M205" s="10">
        <v>144540</v>
      </c>
      <c r="N205" s="10">
        <v>165247</v>
      </c>
      <c r="O205" s="10">
        <v>140470</v>
      </c>
      <c r="P205" s="10">
        <v>139162</v>
      </c>
      <c r="Q205" s="6">
        <f t="shared" si="12"/>
        <v>1738033</v>
      </c>
      <c r="R205" s="15">
        <f t="shared" si="11"/>
        <v>1.4805485684390884E-2</v>
      </c>
      <c r="S205" s="13"/>
      <c r="T205" s="13"/>
      <c r="U205" s="13"/>
    </row>
    <row r="206" spans="1:21">
      <c r="A206" s="1" t="s">
        <v>16</v>
      </c>
      <c r="B206" s="1" t="s">
        <v>28</v>
      </c>
      <c r="C206" s="1" t="s">
        <v>29</v>
      </c>
      <c r="D206" s="6">
        <f>'2013 pax'!Q202</f>
        <v>41857059</v>
      </c>
      <c r="E206" s="10">
        <v>3291478</v>
      </c>
      <c r="F206" s="10">
        <v>3063639</v>
      </c>
      <c r="G206" s="10">
        <v>3784028</v>
      </c>
      <c r="H206" s="10">
        <v>3609875</v>
      </c>
      <c r="I206" s="10">
        <v>3777994</v>
      </c>
      <c r="J206" s="10">
        <v>3698373</v>
      </c>
      <c r="K206" s="10">
        <v>3734974</v>
      </c>
      <c r="L206" s="10">
        <v>3736167</v>
      </c>
      <c r="M206" s="10">
        <v>3567999</v>
      </c>
      <c r="N206" s="10">
        <v>3857173</v>
      </c>
      <c r="O206" s="10">
        <v>3385609</v>
      </c>
      <c r="P206" s="10">
        <v>3362208</v>
      </c>
      <c r="Q206" s="6">
        <f t="shared" si="12"/>
        <v>42869517</v>
      </c>
      <c r="R206" s="15">
        <f t="shared" si="11"/>
        <v>2.4188464841736756E-2</v>
      </c>
    </row>
    <row r="207" spans="1:21">
      <c r="A207" s="1" t="s">
        <v>16</v>
      </c>
      <c r="B207" s="1" t="s">
        <v>429</v>
      </c>
      <c r="C207" s="1" t="s">
        <v>430</v>
      </c>
      <c r="D207" s="6">
        <f>'2013 pax'!Q203</f>
        <v>2184602</v>
      </c>
      <c r="E207" s="10">
        <v>147916</v>
      </c>
      <c r="F207" s="10">
        <v>138646</v>
      </c>
      <c r="G207" s="10">
        <v>176425</v>
      </c>
      <c r="H207" s="10">
        <v>170780</v>
      </c>
      <c r="I207" s="10">
        <v>196205</v>
      </c>
      <c r="J207" s="10">
        <v>196674</v>
      </c>
      <c r="K207" s="10">
        <v>200832</v>
      </c>
      <c r="L207" s="10">
        <v>178524</v>
      </c>
      <c r="M207" s="10">
        <v>161435</v>
      </c>
      <c r="N207" s="10">
        <v>185257</v>
      </c>
      <c r="O207" s="10">
        <v>161172</v>
      </c>
      <c r="P207" s="10">
        <v>162685</v>
      </c>
      <c r="Q207" s="6">
        <f t="shared" si="12"/>
        <v>2076551</v>
      </c>
      <c r="R207" s="15">
        <f t="shared" si="11"/>
        <v>-4.9460267819950721E-2</v>
      </c>
    </row>
    <row r="208" spans="1:21">
      <c r="A208" s="1" t="s">
        <v>16</v>
      </c>
      <c r="B208" s="1" t="s">
        <v>427</v>
      </c>
      <c r="C208" s="1" t="s">
        <v>428</v>
      </c>
      <c r="D208" s="6">
        <f>'2013 pax'!Q204</f>
        <v>2942873</v>
      </c>
      <c r="E208" s="10">
        <v>212359</v>
      </c>
      <c r="F208" s="10">
        <v>195842</v>
      </c>
      <c r="G208" s="10">
        <v>225493</v>
      </c>
      <c r="H208" s="10">
        <v>222712</v>
      </c>
      <c r="I208" s="10">
        <v>255167</v>
      </c>
      <c r="J208" s="10">
        <v>269948</v>
      </c>
      <c r="K208" s="10">
        <v>297523</v>
      </c>
      <c r="L208" s="10">
        <v>294140</v>
      </c>
      <c r="M208" s="10">
        <v>215190</v>
      </c>
      <c r="N208" s="10">
        <v>226186</v>
      </c>
      <c r="O208" s="10">
        <v>202615</v>
      </c>
      <c r="P208" s="10">
        <v>203855</v>
      </c>
      <c r="Q208" s="6">
        <f t="shared" si="12"/>
        <v>2821030</v>
      </c>
      <c r="R208" s="15">
        <f t="shared" si="11"/>
        <v>-4.1402738072624956E-2</v>
      </c>
    </row>
    <row r="209" spans="1:18">
      <c r="A209" s="1" t="s">
        <v>16</v>
      </c>
      <c r="B209" s="1" t="s">
        <v>20</v>
      </c>
      <c r="C209" s="1" t="s">
        <v>21</v>
      </c>
      <c r="D209" s="6">
        <f>'2013 pax'!Q205</f>
        <v>66726796</v>
      </c>
      <c r="E209" s="10">
        <v>5419015</v>
      </c>
      <c r="F209" s="10">
        <v>4765984</v>
      </c>
      <c r="G209" s="10">
        <v>5785094</v>
      </c>
      <c r="H209" s="10">
        <v>5759829</v>
      </c>
      <c r="I209" s="10">
        <v>6080975</v>
      </c>
      <c r="J209" s="10">
        <v>6524047</v>
      </c>
      <c r="K209" s="10">
        <v>6872077</v>
      </c>
      <c r="L209" s="10">
        <v>6717574</v>
      </c>
      <c r="M209" s="10">
        <v>5573460</v>
      </c>
      <c r="N209" s="10">
        <v>5865903</v>
      </c>
      <c r="O209" s="10">
        <v>5380432</v>
      </c>
      <c r="P209" s="10">
        <v>5920503</v>
      </c>
      <c r="Q209" s="6">
        <f t="shared" si="12"/>
        <v>70664893</v>
      </c>
      <c r="R209" s="15">
        <f t="shared" si="11"/>
        <v>5.9018224102952654E-2</v>
      </c>
    </row>
    <row r="210" spans="1:18" s="36" customFormat="1">
      <c r="A210" s="34" t="s">
        <v>16</v>
      </c>
      <c r="B210" s="34" t="s">
        <v>507</v>
      </c>
      <c r="C210" s="34" t="s">
        <v>402</v>
      </c>
      <c r="D210" s="35">
        <f>'2013 pax'!Q206</f>
        <v>3966577</v>
      </c>
      <c r="E210" s="33">
        <v>313870</v>
      </c>
      <c r="F210" s="33">
        <v>286362</v>
      </c>
      <c r="G210" s="33">
        <v>348205</v>
      </c>
      <c r="H210" s="33">
        <v>338421</v>
      </c>
      <c r="I210" s="33">
        <v>350334</v>
      </c>
      <c r="J210" s="33">
        <v>361859</v>
      </c>
      <c r="K210" s="33">
        <v>362218</v>
      </c>
      <c r="L210" s="33">
        <v>360481</v>
      </c>
      <c r="M210" s="10">
        <v>335589</v>
      </c>
      <c r="N210" s="10">
        <v>360256</v>
      </c>
      <c r="O210" s="10">
        <v>345574</v>
      </c>
      <c r="P210" s="33">
        <v>359180</v>
      </c>
      <c r="Q210" s="35">
        <f t="shared" si="12"/>
        <v>4122349</v>
      </c>
      <c r="R210" s="15">
        <f t="shared" si="11"/>
        <v>3.9271139826606127E-2</v>
      </c>
    </row>
    <row r="211" spans="1:18">
      <c r="A211" s="1" t="s">
        <v>16</v>
      </c>
      <c r="B211" s="1" t="s">
        <v>500</v>
      </c>
      <c r="C211" s="1" t="s">
        <v>501</v>
      </c>
      <c r="D211" s="6">
        <f>'2013 pax'!Q207</f>
        <v>3404080</v>
      </c>
      <c r="E211" s="10">
        <v>228318</v>
      </c>
      <c r="F211" s="10">
        <v>223312</v>
      </c>
      <c r="G211" s="10">
        <v>289515</v>
      </c>
      <c r="H211" s="10">
        <v>272407</v>
      </c>
      <c r="I211" s="10">
        <v>315919</v>
      </c>
      <c r="J211" s="10">
        <v>319927</v>
      </c>
      <c r="K211" s="10">
        <v>319160</v>
      </c>
      <c r="L211" s="10">
        <v>287360</v>
      </c>
      <c r="M211" s="33">
        <v>270114</v>
      </c>
      <c r="N211" s="33">
        <v>312068</v>
      </c>
      <c r="O211" s="33">
        <v>262323</v>
      </c>
      <c r="P211" s="10">
        <v>255438</v>
      </c>
      <c r="Q211" s="6">
        <f t="shared" si="12"/>
        <v>3355861</v>
      </c>
      <c r="R211" s="15">
        <f t="shared" si="11"/>
        <v>-1.4165060750628622E-2</v>
      </c>
    </row>
    <row r="212" spans="1:18">
      <c r="A212" s="1" t="s">
        <v>16</v>
      </c>
      <c r="B212" s="1" t="s">
        <v>522</v>
      </c>
      <c r="C212" s="1" t="s">
        <v>523</v>
      </c>
      <c r="D212" s="6">
        <f>'2013 pax'!Q208</f>
        <v>4598186</v>
      </c>
      <c r="E212" s="10">
        <v>265134</v>
      </c>
      <c r="F212" s="10">
        <v>247684</v>
      </c>
      <c r="G212" s="10">
        <v>311716</v>
      </c>
      <c r="H212" s="10">
        <v>301243</v>
      </c>
      <c r="I212" s="10">
        <v>325772</v>
      </c>
      <c r="J212" s="10">
        <v>319109</v>
      </c>
      <c r="K212" s="10">
        <v>325963</v>
      </c>
      <c r="L212" s="10">
        <v>295243</v>
      </c>
      <c r="M212" s="10">
        <v>290077</v>
      </c>
      <c r="N212" s="10">
        <v>327012</v>
      </c>
      <c r="O212" s="10">
        <v>291766</v>
      </c>
      <c r="P212" s="10">
        <v>296081</v>
      </c>
      <c r="Q212" s="6">
        <f t="shared" si="12"/>
        <v>3596800</v>
      </c>
      <c r="R212" s="15">
        <f t="shared" si="11"/>
        <v>-0.21777848916942466</v>
      </c>
    </row>
    <row r="213" spans="1:18">
      <c r="A213" s="1" t="s">
        <v>16</v>
      </c>
      <c r="B213" s="1" t="s">
        <v>36</v>
      </c>
      <c r="C213" s="1" t="s">
        <v>37</v>
      </c>
      <c r="D213" s="6">
        <f>'2013 pax'!Q209</f>
        <v>40563071</v>
      </c>
      <c r="E213" s="10">
        <v>3659583</v>
      </c>
      <c r="F213" s="10">
        <v>3192348</v>
      </c>
      <c r="G213" s="10">
        <v>3641295</v>
      </c>
      <c r="H213" s="10">
        <v>3427752</v>
      </c>
      <c r="I213" s="10">
        <v>3429494</v>
      </c>
      <c r="J213" s="10">
        <v>3395127</v>
      </c>
      <c r="K213" s="10">
        <v>3669020</v>
      </c>
      <c r="L213" s="10">
        <v>3520643</v>
      </c>
      <c r="M213" s="10">
        <v>2841333</v>
      </c>
      <c r="N213" s="10">
        <v>3029869</v>
      </c>
      <c r="O213" s="10">
        <v>3101601</v>
      </c>
      <c r="P213" s="10">
        <v>4033814</v>
      </c>
      <c r="Q213" s="6">
        <f t="shared" si="12"/>
        <v>40941879</v>
      </c>
      <c r="R213" s="15">
        <f t="shared" si="11"/>
        <v>9.3387406490992309E-3</v>
      </c>
    </row>
    <row r="214" spans="1:18">
      <c r="A214" s="1" t="s">
        <v>16</v>
      </c>
      <c r="B214" s="1" t="s">
        <v>346</v>
      </c>
      <c r="C214" s="1" t="s">
        <v>347</v>
      </c>
      <c r="D214" s="6">
        <f>'2013 pax'!Q210</f>
        <v>6525181</v>
      </c>
      <c r="E214" s="10">
        <v>476155</v>
      </c>
      <c r="F214" s="10">
        <v>464603</v>
      </c>
      <c r="G214" s="10">
        <v>631843</v>
      </c>
      <c r="H214" s="10">
        <v>575548</v>
      </c>
      <c r="I214" s="10">
        <v>573248</v>
      </c>
      <c r="J214" s="10">
        <v>589631</v>
      </c>
      <c r="K214" s="10">
        <v>610965</v>
      </c>
      <c r="L214" s="10">
        <v>593731</v>
      </c>
      <c r="M214" s="10">
        <v>490720</v>
      </c>
      <c r="N214" s="10">
        <v>554390</v>
      </c>
      <c r="O214" s="10">
        <v>493189</v>
      </c>
      <c r="P214" s="10">
        <v>500129</v>
      </c>
      <c r="Q214" s="6">
        <f t="shared" si="12"/>
        <v>6554152</v>
      </c>
      <c r="R214" s="15">
        <f t="shared" si="11"/>
        <v>4.439876840198087E-3</v>
      </c>
    </row>
    <row r="215" spans="1:18" ht="15.75">
      <c r="A215" s="1" t="s">
        <v>16</v>
      </c>
      <c r="B215" s="1" t="s">
        <v>387</v>
      </c>
      <c r="C215" s="1" t="s">
        <v>41</v>
      </c>
      <c r="D215" s="6">
        <f>'2013 pax'!Q211</f>
        <v>33892074</v>
      </c>
      <c r="E215" s="10">
        <v>2558351</v>
      </c>
      <c r="F215" s="10">
        <v>2451894</v>
      </c>
      <c r="G215" s="10">
        <v>3221408</v>
      </c>
      <c r="H215" s="10">
        <v>2816126</v>
      </c>
      <c r="I215" s="10">
        <v>2950951</v>
      </c>
      <c r="J215" s="10">
        <v>3241353</v>
      </c>
      <c r="K215" s="10">
        <v>3428790</v>
      </c>
      <c r="L215" s="10">
        <v>3392911</v>
      </c>
      <c r="M215" s="10">
        <v>2823082</v>
      </c>
      <c r="N215" s="10">
        <v>2962710</v>
      </c>
      <c r="O215" s="10">
        <v>2553110</v>
      </c>
      <c r="P215" s="10">
        <v>2751774</v>
      </c>
      <c r="Q215" s="6">
        <f t="shared" si="12"/>
        <v>35152460</v>
      </c>
      <c r="R215" s="15">
        <f t="shared" si="11"/>
        <v>3.7188222827555517E-2</v>
      </c>
    </row>
    <row r="216" spans="1:18">
      <c r="A216" s="1" t="s">
        <v>16</v>
      </c>
      <c r="B216" s="1" t="s">
        <v>515</v>
      </c>
      <c r="C216" s="1" t="s">
        <v>516</v>
      </c>
      <c r="D216" s="6">
        <f>'2013 pax'!Q212</f>
        <v>1664917</v>
      </c>
      <c r="E216" s="10">
        <v>61356</v>
      </c>
      <c r="F216" s="10">
        <v>72136</v>
      </c>
      <c r="G216" s="10">
        <v>136304</v>
      </c>
      <c r="H216" s="10">
        <v>156098</v>
      </c>
      <c r="I216" s="10">
        <v>192909</v>
      </c>
      <c r="J216" s="10">
        <v>206924</v>
      </c>
      <c r="K216" s="10">
        <v>227666</v>
      </c>
      <c r="L216" s="10">
        <v>219891</v>
      </c>
      <c r="M216" s="10">
        <v>157138</v>
      </c>
      <c r="N216" s="10">
        <v>150943</v>
      </c>
      <c r="O216" s="10">
        <v>88664</v>
      </c>
      <c r="P216" s="10">
        <v>79628</v>
      </c>
      <c r="Q216" s="6">
        <f t="shared" si="12"/>
        <v>1749657</v>
      </c>
      <c r="R216" s="15">
        <f t="shared" si="11"/>
        <v>5.0897432124244135E-2</v>
      </c>
    </row>
    <row r="217" spans="1:18">
      <c r="A217" s="1" t="s">
        <v>16</v>
      </c>
      <c r="B217" s="1" t="s">
        <v>359</v>
      </c>
      <c r="C217" s="1" t="s">
        <v>360</v>
      </c>
      <c r="D217" s="6">
        <f>'2013 pax'!Q213</f>
        <v>10351709</v>
      </c>
      <c r="E217" s="10">
        <v>759607</v>
      </c>
      <c r="F217" s="10">
        <v>728600</v>
      </c>
      <c r="G217" s="10">
        <v>962826</v>
      </c>
      <c r="H217" s="10">
        <v>912732</v>
      </c>
      <c r="I217" s="10">
        <v>990248</v>
      </c>
      <c r="J217" s="10">
        <v>1019557</v>
      </c>
      <c r="K217" s="10">
        <v>1013822</v>
      </c>
      <c r="L217" s="10">
        <v>942777</v>
      </c>
      <c r="M217" s="10">
        <v>909845</v>
      </c>
      <c r="N217" s="10">
        <v>1020598</v>
      </c>
      <c r="O217" s="10">
        <v>878698</v>
      </c>
      <c r="P217" s="10">
        <v>901949</v>
      </c>
      <c r="Q217" s="6">
        <f t="shared" si="12"/>
        <v>11041259</v>
      </c>
      <c r="R217" s="15">
        <f t="shared" si="11"/>
        <v>6.6612189349604112E-2</v>
      </c>
    </row>
    <row r="218" spans="1:18">
      <c r="A218" s="1" t="s">
        <v>16</v>
      </c>
      <c r="B218" s="1" t="s">
        <v>405</v>
      </c>
      <c r="C218" s="1" t="s">
        <v>406</v>
      </c>
      <c r="D218" s="6">
        <f>'2013 pax'!Q214</f>
        <v>9207636</v>
      </c>
      <c r="E218" s="10">
        <v>707905</v>
      </c>
      <c r="F218" s="10">
        <v>703540</v>
      </c>
      <c r="G218" s="10">
        <v>910460</v>
      </c>
      <c r="H218" s="10">
        <v>881088</v>
      </c>
      <c r="I218" s="10">
        <v>896004</v>
      </c>
      <c r="J218" s="10">
        <v>821429</v>
      </c>
      <c r="K218" s="10">
        <v>825695</v>
      </c>
      <c r="L218" s="10">
        <v>727839</v>
      </c>
      <c r="M218" s="10">
        <v>743445</v>
      </c>
      <c r="N218" s="10">
        <v>893747</v>
      </c>
      <c r="O218" s="10">
        <v>861007</v>
      </c>
      <c r="P218" s="10">
        <v>813340</v>
      </c>
      <c r="Q218" s="6">
        <f t="shared" si="12"/>
        <v>9785499</v>
      </c>
      <c r="R218" s="15">
        <f t="shared" si="11"/>
        <v>6.2759105594530462E-2</v>
      </c>
    </row>
    <row r="219" spans="1:18" ht="15.75">
      <c r="A219" s="1" t="s">
        <v>16</v>
      </c>
      <c r="B219" s="1" t="s">
        <v>388</v>
      </c>
      <c r="C219" s="1" t="s">
        <v>25</v>
      </c>
      <c r="D219" s="6">
        <f>'2013 pax'!Q215</f>
        <v>51905134</v>
      </c>
      <c r="E219" s="10">
        <v>3836683</v>
      </c>
      <c r="F219" s="10">
        <v>3332677</v>
      </c>
      <c r="G219" s="10">
        <v>4257599</v>
      </c>
      <c r="H219" s="10">
        <v>4605157</v>
      </c>
      <c r="I219" s="10">
        <v>4661187</v>
      </c>
      <c r="J219" s="10">
        <v>4984019</v>
      </c>
      <c r="K219" s="10">
        <v>5372407</v>
      </c>
      <c r="L219" s="10">
        <v>5621590</v>
      </c>
      <c r="M219" s="10">
        <v>4669829</v>
      </c>
      <c r="N219" s="10">
        <v>4635348</v>
      </c>
      <c r="O219" s="10">
        <v>4079069</v>
      </c>
      <c r="P219" s="10">
        <v>4570019</v>
      </c>
      <c r="Q219" s="6">
        <f t="shared" si="12"/>
        <v>54625584</v>
      </c>
      <c r="R219" s="15">
        <f t="shared" si="11"/>
        <v>5.2411963718271171E-2</v>
      </c>
    </row>
    <row r="220" spans="1:18" ht="15.75">
      <c r="A220" s="1" t="s">
        <v>16</v>
      </c>
      <c r="B220" s="1" t="s">
        <v>389</v>
      </c>
      <c r="C220" s="1" t="s">
        <v>49</v>
      </c>
      <c r="D220" s="6">
        <f>'2013 pax'!Q216</f>
        <v>27681749</v>
      </c>
      <c r="E220" s="10">
        <v>1928522</v>
      </c>
      <c r="F220" s="10">
        <v>1743355</v>
      </c>
      <c r="G220" s="10">
        <v>2331516</v>
      </c>
      <c r="H220" s="10">
        <v>2426686</v>
      </c>
      <c r="I220" s="10">
        <v>2515669</v>
      </c>
      <c r="J220" s="10">
        <v>2518646</v>
      </c>
      <c r="K220" s="10">
        <v>2569339</v>
      </c>
      <c r="L220" s="10">
        <v>2610619</v>
      </c>
      <c r="M220" s="10">
        <v>2223198</v>
      </c>
      <c r="N220" s="10">
        <v>2434471</v>
      </c>
      <c r="O220" s="10">
        <v>2194616</v>
      </c>
      <c r="P220" s="10">
        <v>2424145</v>
      </c>
      <c r="Q220" s="6">
        <f t="shared" si="12"/>
        <v>27920782</v>
      </c>
      <c r="R220" s="15">
        <f t="shared" si="11"/>
        <v>8.6350396429069054E-3</v>
      </c>
    </row>
    <row r="221" spans="1:18" ht="15.75">
      <c r="A221" s="1" t="s">
        <v>16</v>
      </c>
      <c r="B221" s="1" t="s">
        <v>390</v>
      </c>
      <c r="C221" s="1" t="s">
        <v>40</v>
      </c>
      <c r="D221" s="6">
        <f>'2013 pax'!Q217</f>
        <v>36144129</v>
      </c>
      <c r="E221" s="10">
        <v>2619543</v>
      </c>
      <c r="F221" s="10">
        <v>2300026</v>
      </c>
      <c r="G221" s="10">
        <v>3158068</v>
      </c>
      <c r="H221" s="10">
        <v>3061636</v>
      </c>
      <c r="I221" s="10">
        <v>3123122</v>
      </c>
      <c r="J221" s="10">
        <v>3323399</v>
      </c>
      <c r="K221" s="10">
        <v>3488091</v>
      </c>
      <c r="L221" s="10">
        <v>3531244</v>
      </c>
      <c r="M221" s="10">
        <v>2938656</v>
      </c>
      <c r="N221" s="10">
        <v>3043799</v>
      </c>
      <c r="O221" s="10">
        <v>2923305</v>
      </c>
      <c r="P221" s="10">
        <v>3229204</v>
      </c>
      <c r="Q221" s="6">
        <f t="shared" si="12"/>
        <v>36740093</v>
      </c>
      <c r="R221" s="15">
        <f t="shared" si="11"/>
        <v>1.6488542302402598E-2</v>
      </c>
    </row>
    <row r="222" spans="1:18">
      <c r="A222" s="1" t="s">
        <v>16</v>
      </c>
      <c r="B222" s="1" t="s">
        <v>419</v>
      </c>
      <c r="C222" s="1" t="s">
        <v>420</v>
      </c>
      <c r="D222" s="6">
        <f>'2013 pax'!Q218</f>
        <v>3112355</v>
      </c>
      <c r="E222" s="10">
        <v>208087</v>
      </c>
      <c r="F222" s="10">
        <v>189594</v>
      </c>
      <c r="G222" s="10">
        <v>245173</v>
      </c>
      <c r="H222" s="10">
        <v>256446</v>
      </c>
      <c r="I222" s="10">
        <v>283917</v>
      </c>
      <c r="J222" s="10">
        <v>280975</v>
      </c>
      <c r="K222" s="10">
        <v>281374</v>
      </c>
      <c r="L222" s="10">
        <v>274697</v>
      </c>
      <c r="M222" s="10">
        <v>234769</v>
      </c>
      <c r="N222" s="10">
        <v>244988</v>
      </c>
      <c r="O222" s="10">
        <v>228461</v>
      </c>
      <c r="P222" s="10">
        <v>236711</v>
      </c>
      <c r="Q222" s="6">
        <f t="shared" si="12"/>
        <v>2965192</v>
      </c>
      <c r="R222" s="15">
        <f t="shared" ref="R222:R231" si="13">Q222/D222-1</f>
        <v>-4.7283487905460664E-2</v>
      </c>
    </row>
    <row r="223" spans="1:18">
      <c r="A223" s="1" t="s">
        <v>16</v>
      </c>
      <c r="B223" s="1" t="s">
        <v>357</v>
      </c>
      <c r="C223" s="1" t="s">
        <v>358</v>
      </c>
      <c r="D223" s="6">
        <f>'2013 pax'!Q219</f>
        <v>9742887</v>
      </c>
      <c r="E223" s="10">
        <v>723607</v>
      </c>
      <c r="F223" s="10">
        <v>688889</v>
      </c>
      <c r="G223" s="10">
        <v>815634</v>
      </c>
      <c r="H223" s="10">
        <v>805572</v>
      </c>
      <c r="I223" s="10">
        <v>857766</v>
      </c>
      <c r="J223" s="10">
        <v>946930</v>
      </c>
      <c r="K223" s="10">
        <v>1000013</v>
      </c>
      <c r="L223" s="10">
        <v>990299</v>
      </c>
      <c r="M223" s="10">
        <v>857798</v>
      </c>
      <c r="N223" s="10">
        <v>887274</v>
      </c>
      <c r="O223" s="10">
        <v>849223</v>
      </c>
      <c r="P223" s="10">
        <v>913783</v>
      </c>
      <c r="Q223" s="6">
        <f t="shared" si="12"/>
        <v>10336788</v>
      </c>
      <c r="R223" s="15">
        <f t="shared" si="13"/>
        <v>6.0957393840244789E-2</v>
      </c>
    </row>
    <row r="224" spans="1:18">
      <c r="A224" s="1" t="s">
        <v>16</v>
      </c>
      <c r="B224" s="1" t="s">
        <v>453</v>
      </c>
      <c r="C224" s="1" t="s">
        <v>454</v>
      </c>
      <c r="D224" s="6">
        <f>'2013 pax'!Q220</f>
        <v>3657467</v>
      </c>
      <c r="E224" s="10">
        <v>259608</v>
      </c>
      <c r="F224" s="10">
        <v>244486</v>
      </c>
      <c r="G224" s="10">
        <v>309850</v>
      </c>
      <c r="H224" s="10">
        <v>303820</v>
      </c>
      <c r="I224" s="10">
        <v>353876</v>
      </c>
      <c r="J224" s="10">
        <v>359926</v>
      </c>
      <c r="K224" s="10">
        <v>365654</v>
      </c>
      <c r="L224" s="10">
        <v>337797</v>
      </c>
      <c r="M224" s="10">
        <v>320352</v>
      </c>
      <c r="N224" s="10">
        <v>342388</v>
      </c>
      <c r="O224" s="10">
        <v>310767</v>
      </c>
      <c r="P224" s="10">
        <v>326759</v>
      </c>
      <c r="Q224" s="6">
        <f t="shared" si="12"/>
        <v>3835283</v>
      </c>
      <c r="R224" s="15">
        <f t="shared" si="13"/>
        <v>4.8617253416093797E-2</v>
      </c>
    </row>
    <row r="225" spans="1:18">
      <c r="A225" s="1" t="s">
        <v>16</v>
      </c>
      <c r="B225" s="1" t="s">
        <v>412</v>
      </c>
      <c r="C225" s="1" t="s">
        <v>413</v>
      </c>
      <c r="D225" s="6">
        <f>'2013 pax'!Q221</f>
        <v>4042333</v>
      </c>
      <c r="E225" s="10">
        <v>296785</v>
      </c>
      <c r="F225" s="10">
        <v>298191</v>
      </c>
      <c r="G225" s="10">
        <v>361184</v>
      </c>
      <c r="H225" s="10">
        <v>327332</v>
      </c>
      <c r="I225" s="10">
        <v>386748</v>
      </c>
      <c r="J225" s="10">
        <v>391525</v>
      </c>
      <c r="K225" s="10">
        <v>382280</v>
      </c>
      <c r="L225" s="10">
        <v>346310</v>
      </c>
      <c r="M225" s="10">
        <v>329972</v>
      </c>
      <c r="N225" s="10">
        <v>356714</v>
      </c>
      <c r="O225" s="10">
        <v>311167</v>
      </c>
      <c r="P225" s="10">
        <v>329383</v>
      </c>
      <c r="Q225" s="6">
        <f t="shared" si="12"/>
        <v>4117591</v>
      </c>
      <c r="R225" s="15">
        <f t="shared" si="13"/>
        <v>1.8617466695593832E-2</v>
      </c>
    </row>
    <row r="226" spans="1:18">
      <c r="A226" s="1" t="s">
        <v>16</v>
      </c>
      <c r="B226" s="1" t="s">
        <v>38</v>
      </c>
      <c r="C226" s="1" t="s">
        <v>39</v>
      </c>
      <c r="D226" s="6">
        <f>'2013 pax'!Q222</f>
        <v>34926379</v>
      </c>
      <c r="E226" s="10">
        <v>2859986</v>
      </c>
      <c r="F226" s="10">
        <v>2737678</v>
      </c>
      <c r="G226" s="10">
        <v>3386683</v>
      </c>
      <c r="H226" s="10">
        <v>3087877</v>
      </c>
      <c r="I226" s="10">
        <v>3063743</v>
      </c>
      <c r="J226" s="10">
        <v>3043142</v>
      </c>
      <c r="K226" s="10">
        <v>3213075</v>
      </c>
      <c r="L226" s="10">
        <v>3025995</v>
      </c>
      <c r="M226" s="10">
        <v>2399287</v>
      </c>
      <c r="N226" s="10">
        <v>2855044</v>
      </c>
      <c r="O226" s="10">
        <v>2885778</v>
      </c>
      <c r="P226" s="10">
        <v>3195369</v>
      </c>
      <c r="Q226" s="6">
        <f t="shared" si="12"/>
        <v>35753657</v>
      </c>
      <c r="R226" s="15">
        <f t="shared" si="13"/>
        <v>2.3686337481477748E-2</v>
      </c>
    </row>
    <row r="227" spans="1:18">
      <c r="A227" s="1" t="s">
        <v>16</v>
      </c>
      <c r="B227" s="1" t="s">
        <v>441</v>
      </c>
      <c r="C227" s="1" t="s">
        <v>442</v>
      </c>
      <c r="D227" s="6">
        <f>'2013 pax'!Q223</f>
        <v>2032680</v>
      </c>
      <c r="E227" s="10">
        <v>153348</v>
      </c>
      <c r="F227" s="10">
        <v>158250</v>
      </c>
      <c r="G227" s="10">
        <v>222606</v>
      </c>
      <c r="H227" s="10">
        <v>186168</v>
      </c>
      <c r="I227" s="10">
        <v>187603</v>
      </c>
      <c r="J227" s="10">
        <v>224820</v>
      </c>
      <c r="K227" s="10">
        <v>229882</v>
      </c>
      <c r="L227" s="10">
        <v>169229</v>
      </c>
      <c r="M227" s="10">
        <v>116397</v>
      </c>
      <c r="N227" s="10">
        <v>181996</v>
      </c>
      <c r="O227" s="10">
        <v>164089</v>
      </c>
      <c r="P227" s="10">
        <v>190313</v>
      </c>
      <c r="Q227" s="6">
        <f t="shared" si="12"/>
        <v>2184701</v>
      </c>
      <c r="R227" s="15">
        <f t="shared" si="13"/>
        <v>7.4788456618847921E-2</v>
      </c>
    </row>
    <row r="228" spans="1:18">
      <c r="A228" s="1" t="s">
        <v>16</v>
      </c>
      <c r="B228" s="1" t="s">
        <v>400</v>
      </c>
      <c r="C228" s="1" t="s">
        <v>401</v>
      </c>
      <c r="D228" s="6">
        <f>'2013 pax'!Q224</f>
        <v>5691747</v>
      </c>
      <c r="E228" s="10">
        <v>549235</v>
      </c>
      <c r="F228" s="10">
        <v>542600</v>
      </c>
      <c r="G228" s="10">
        <v>714450</v>
      </c>
      <c r="H228" s="10">
        <v>585480</v>
      </c>
      <c r="I228" s="10">
        <v>449535</v>
      </c>
      <c r="J228" s="10">
        <v>392762</v>
      </c>
      <c r="K228" s="10">
        <v>410354</v>
      </c>
      <c r="L228" s="10">
        <v>408424</v>
      </c>
      <c r="M228" s="10">
        <v>335961</v>
      </c>
      <c r="N228" s="10">
        <v>408016</v>
      </c>
      <c r="O228" s="10">
        <v>494834</v>
      </c>
      <c r="P228" s="10">
        <v>594683</v>
      </c>
      <c r="Q228" s="6">
        <f t="shared" si="12"/>
        <v>5886334</v>
      </c>
      <c r="R228" s="15">
        <f t="shared" si="13"/>
        <v>3.4187570178365378E-2</v>
      </c>
    </row>
    <row r="229" spans="1:18">
      <c r="A229" s="1" t="s">
        <v>16</v>
      </c>
      <c r="B229" s="1" t="s">
        <v>455</v>
      </c>
      <c r="C229" s="1" t="s">
        <v>456</v>
      </c>
      <c r="D229" s="6">
        <f>'2013 pax'!Q225</f>
        <v>1752180</v>
      </c>
      <c r="E229" s="10">
        <v>199582</v>
      </c>
      <c r="F229" s="10">
        <v>223523</v>
      </c>
      <c r="G229" s="10">
        <v>281759</v>
      </c>
      <c r="H229" s="10">
        <v>229192</v>
      </c>
      <c r="I229" s="10">
        <v>151138</v>
      </c>
      <c r="J229" s="10">
        <v>83192</v>
      </c>
      <c r="K229" s="10">
        <v>74368</v>
      </c>
      <c r="L229" s="10">
        <v>74259</v>
      </c>
      <c r="M229" s="10">
        <v>88808</v>
      </c>
      <c r="N229" s="10">
        <v>138012</v>
      </c>
      <c r="O229" s="10">
        <v>182951</v>
      </c>
      <c r="P229" s="10">
        <v>188808</v>
      </c>
      <c r="Q229" s="6">
        <f t="shared" si="12"/>
        <v>1915592</v>
      </c>
      <c r="R229" s="15">
        <f t="shared" si="13"/>
        <v>9.3262107774315428E-2</v>
      </c>
    </row>
    <row r="230" spans="1:18">
      <c r="A230" s="1" t="s">
        <v>16</v>
      </c>
      <c r="B230" s="1" t="s">
        <v>46</v>
      </c>
      <c r="C230" s="1" t="s">
        <v>47</v>
      </c>
      <c r="D230" s="6">
        <f>'2013 pax'!Q226</f>
        <v>30504112</v>
      </c>
      <c r="E230" s="10">
        <v>2219814</v>
      </c>
      <c r="F230" s="10">
        <v>1991843</v>
      </c>
      <c r="G230" s="10">
        <v>2617997</v>
      </c>
      <c r="H230" s="10">
        <v>2667745</v>
      </c>
      <c r="I230" s="10">
        <v>2804875</v>
      </c>
      <c r="J230" s="10">
        <v>2780990</v>
      </c>
      <c r="K230" s="10">
        <v>2880094</v>
      </c>
      <c r="L230" s="10">
        <v>2933282</v>
      </c>
      <c r="M230" s="10">
        <v>2493419</v>
      </c>
      <c r="N230" s="10">
        <v>2650966</v>
      </c>
      <c r="O230" s="10">
        <v>2320925</v>
      </c>
      <c r="P230" s="10">
        <v>2378311</v>
      </c>
      <c r="Q230" s="6">
        <f t="shared" si="12"/>
        <v>30740261</v>
      </c>
      <c r="R230" s="15">
        <f t="shared" si="13"/>
        <v>7.7415464511800813E-3</v>
      </c>
    </row>
    <row r="231" spans="1:18">
      <c r="A231" s="1" t="s">
        <v>16</v>
      </c>
      <c r="B231" s="1" t="s">
        <v>32</v>
      </c>
      <c r="C231" s="1" t="s">
        <v>33</v>
      </c>
      <c r="D231" s="6">
        <f>'2013 pax'!Q227</f>
        <v>40340275</v>
      </c>
      <c r="E231" s="10">
        <v>3363970</v>
      </c>
      <c r="F231" s="10">
        <v>3149161</v>
      </c>
      <c r="G231" s="10">
        <v>4029816</v>
      </c>
      <c r="H231" s="10">
        <v>3586618</v>
      </c>
      <c r="I231" s="10">
        <v>3587384</v>
      </c>
      <c r="J231" s="10">
        <v>3591682</v>
      </c>
      <c r="K231" s="10">
        <v>3680553</v>
      </c>
      <c r="L231" s="10">
        <v>3460913</v>
      </c>
      <c r="M231" s="10">
        <v>2998209</v>
      </c>
      <c r="N231" s="10">
        <v>3504951</v>
      </c>
      <c r="O231" s="10">
        <v>3417994</v>
      </c>
      <c r="P231" s="10">
        <v>3753916</v>
      </c>
      <c r="Q231" s="6">
        <f t="shared" si="12"/>
        <v>42125167</v>
      </c>
      <c r="R231" s="15">
        <f t="shared" si="13"/>
        <v>4.4245905611699499E-2</v>
      </c>
    </row>
    <row r="232" spans="1:18">
      <c r="A232" s="1" t="s">
        <v>16</v>
      </c>
      <c r="B232" s="1" t="s">
        <v>510</v>
      </c>
      <c r="C232" s="1" t="s">
        <v>511</v>
      </c>
      <c r="D232" s="6">
        <f>'2013 pax'!Q228</f>
        <v>0</v>
      </c>
      <c r="E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6">
        <f t="shared" si="12"/>
        <v>0</v>
      </c>
      <c r="R232"/>
    </row>
    <row r="233" spans="1:18">
      <c r="A233" s="1" t="s">
        <v>16</v>
      </c>
      <c r="B233" s="1" t="s">
        <v>344</v>
      </c>
      <c r="C233" s="1" t="s">
        <v>345</v>
      </c>
      <c r="D233" s="6">
        <f>'2013 pax'!Q229</f>
        <v>7884170</v>
      </c>
      <c r="E233" s="10">
        <v>540155</v>
      </c>
      <c r="F233" s="10">
        <v>517275</v>
      </c>
      <c r="G233" s="10">
        <v>677287</v>
      </c>
      <c r="H233" s="10">
        <v>652478</v>
      </c>
      <c r="I233" s="10">
        <v>715625</v>
      </c>
      <c r="J233" s="10">
        <v>755989</v>
      </c>
      <c r="K233" s="10">
        <v>763921</v>
      </c>
      <c r="L233" s="10">
        <v>728392</v>
      </c>
      <c r="M233" s="10">
        <v>657929</v>
      </c>
      <c r="N233" s="10">
        <v>713672</v>
      </c>
      <c r="O233" s="10">
        <v>640620</v>
      </c>
      <c r="P233" s="10">
        <v>635627</v>
      </c>
      <c r="Q233" s="6">
        <f t="shared" si="12"/>
        <v>7998970</v>
      </c>
      <c r="R233" s="15">
        <f t="shared" ref="R233:R240" si="14">Q233/D233-1</f>
        <v>1.4560822508900673E-2</v>
      </c>
    </row>
    <row r="234" spans="1:18">
      <c r="A234" s="1" t="s">
        <v>16</v>
      </c>
      <c r="B234" s="1" t="s">
        <v>62</v>
      </c>
      <c r="C234" s="1" t="s">
        <v>63</v>
      </c>
      <c r="D234" s="6">
        <f>'2013 pax'!Q230</f>
        <v>15028793</v>
      </c>
      <c r="E234" s="10">
        <v>1114867</v>
      </c>
      <c r="F234" s="10">
        <v>1025571</v>
      </c>
      <c r="G234" s="10">
        <v>1263596</v>
      </c>
      <c r="H234" s="10">
        <v>1253513</v>
      </c>
      <c r="I234" s="10">
        <v>1341271</v>
      </c>
      <c r="J234" s="10">
        <v>1488367</v>
      </c>
      <c r="K234" s="10">
        <v>1629339</v>
      </c>
      <c r="L234" s="10">
        <v>1590325</v>
      </c>
      <c r="M234" s="10">
        <v>1336629</v>
      </c>
      <c r="N234" s="10">
        <v>1335908</v>
      </c>
      <c r="O234" s="10">
        <v>1215182</v>
      </c>
      <c r="P234" s="10">
        <v>1321944</v>
      </c>
      <c r="Q234" s="6">
        <f t="shared" si="12"/>
        <v>15916512</v>
      </c>
      <c r="R234" s="15">
        <f t="shared" si="14"/>
        <v>5.9067883894601492E-2</v>
      </c>
    </row>
    <row r="235" spans="1:18">
      <c r="A235" s="1" t="s">
        <v>16</v>
      </c>
      <c r="B235" s="1" t="s">
        <v>408</v>
      </c>
      <c r="C235" s="1" t="s">
        <v>409</v>
      </c>
      <c r="D235" s="6">
        <f>'2013 pax'!Q231</f>
        <v>3803586</v>
      </c>
      <c r="E235" s="10">
        <v>239812</v>
      </c>
      <c r="F235" s="10">
        <v>232370</v>
      </c>
      <c r="G235" s="10">
        <v>314784</v>
      </c>
      <c r="H235" s="10">
        <v>305453</v>
      </c>
      <c r="I235" s="10">
        <v>314005</v>
      </c>
      <c r="J235" s="10">
        <v>308534</v>
      </c>
      <c r="K235" s="10">
        <v>346416</v>
      </c>
      <c r="L235" s="10">
        <v>332246</v>
      </c>
      <c r="M235" s="10">
        <v>297077</v>
      </c>
      <c r="N235" s="10">
        <v>314052</v>
      </c>
      <c r="O235" s="10">
        <v>281044</v>
      </c>
      <c r="P235" s="10">
        <v>280976</v>
      </c>
      <c r="Q235" s="6">
        <f t="shared" si="12"/>
        <v>3566769</v>
      </c>
      <c r="R235" s="15">
        <f t="shared" si="14"/>
        <v>-6.2261507955913231E-2</v>
      </c>
    </row>
    <row r="236" spans="1:18">
      <c r="A236" s="1" t="s">
        <v>16</v>
      </c>
      <c r="B236" s="1" t="s">
        <v>355</v>
      </c>
      <c r="C236" s="1" t="s">
        <v>356</v>
      </c>
      <c r="D236" s="6">
        <f>'2013 pax'!Q232</f>
        <v>9159753</v>
      </c>
      <c r="E236" s="10">
        <v>649394</v>
      </c>
      <c r="F236" s="10">
        <v>582319</v>
      </c>
      <c r="G236" s="10">
        <v>783063</v>
      </c>
      <c r="H236" s="10">
        <v>810901</v>
      </c>
      <c r="I236" s="10">
        <v>863651</v>
      </c>
      <c r="J236" s="10">
        <v>887903</v>
      </c>
      <c r="K236" s="10">
        <v>886101</v>
      </c>
      <c r="L236" s="10">
        <v>860137</v>
      </c>
      <c r="M236" s="10">
        <v>764260</v>
      </c>
      <c r="N236" s="10">
        <v>864597</v>
      </c>
      <c r="O236" s="10">
        <v>781143</v>
      </c>
      <c r="P236" s="10">
        <v>811891</v>
      </c>
      <c r="Q236" s="6">
        <f t="shared" si="12"/>
        <v>9545360</v>
      </c>
      <c r="R236" s="15">
        <f t="shared" si="14"/>
        <v>4.2097969235633359E-2</v>
      </c>
    </row>
    <row r="237" spans="1:18">
      <c r="A237" s="1" t="s">
        <v>16</v>
      </c>
      <c r="B237" s="1" t="s">
        <v>410</v>
      </c>
      <c r="C237" s="1" t="s">
        <v>411</v>
      </c>
      <c r="D237" s="6">
        <f>'2013 pax'!Q233</f>
        <v>3431986</v>
      </c>
      <c r="E237" s="10">
        <v>241181</v>
      </c>
      <c r="F237" s="10">
        <v>228035</v>
      </c>
      <c r="G237" s="10">
        <v>278172</v>
      </c>
      <c r="H237" s="10">
        <v>266800</v>
      </c>
      <c r="I237" s="10">
        <v>283225</v>
      </c>
      <c r="J237" s="10">
        <v>316720</v>
      </c>
      <c r="K237" s="10">
        <v>332242</v>
      </c>
      <c r="L237" s="10">
        <v>318971</v>
      </c>
      <c r="M237" s="10">
        <v>284938</v>
      </c>
      <c r="N237" s="10">
        <v>266701</v>
      </c>
      <c r="O237" s="10">
        <v>225384</v>
      </c>
      <c r="P237" s="10">
        <v>257507</v>
      </c>
      <c r="Q237" s="6">
        <f t="shared" si="12"/>
        <v>3299876</v>
      </c>
      <c r="R237" s="15">
        <f t="shared" si="14"/>
        <v>-3.8493746769363235E-2</v>
      </c>
    </row>
    <row r="238" spans="1:18">
      <c r="A238" s="1" t="s">
        <v>16</v>
      </c>
      <c r="B238" s="1" t="s">
        <v>425</v>
      </c>
      <c r="C238" s="1" t="s">
        <v>426</v>
      </c>
      <c r="D238" s="6">
        <f>'2013 pax'!Q234</f>
        <v>3196480</v>
      </c>
      <c r="E238" s="10">
        <v>222882</v>
      </c>
      <c r="F238" s="10">
        <v>205327</v>
      </c>
      <c r="G238" s="10">
        <v>270781</v>
      </c>
      <c r="H238" s="10">
        <v>289756</v>
      </c>
      <c r="I238" s="10">
        <v>310246</v>
      </c>
      <c r="J238" s="10">
        <v>308043</v>
      </c>
      <c r="K238" s="10">
        <v>316741</v>
      </c>
      <c r="L238" s="10">
        <v>306099</v>
      </c>
      <c r="M238" s="10">
        <v>275032</v>
      </c>
      <c r="N238" s="10">
        <v>302941</v>
      </c>
      <c r="O238" s="10">
        <v>271189</v>
      </c>
      <c r="P238" s="10">
        <v>273614</v>
      </c>
      <c r="Q238" s="6">
        <f t="shared" si="12"/>
        <v>3352651</v>
      </c>
      <c r="R238" s="15">
        <f t="shared" si="14"/>
        <v>4.8857180398438338E-2</v>
      </c>
    </row>
    <row r="239" spans="1:18">
      <c r="A239" s="1" t="s">
        <v>16</v>
      </c>
      <c r="B239" s="1" t="s">
        <v>519</v>
      </c>
      <c r="C239" s="1" t="s">
        <v>520</v>
      </c>
      <c r="D239" s="6">
        <f>'2013 pax'!Q235</f>
        <v>8686690</v>
      </c>
      <c r="E239" s="10">
        <v>642142</v>
      </c>
      <c r="F239" s="10">
        <v>596086</v>
      </c>
      <c r="G239" s="10">
        <v>717256</v>
      </c>
      <c r="H239" s="10">
        <v>739658</v>
      </c>
      <c r="I239" s="10">
        <v>782159</v>
      </c>
      <c r="J239" s="10">
        <v>820244</v>
      </c>
      <c r="K239" s="10">
        <v>827562</v>
      </c>
      <c r="L239" s="10">
        <v>822464</v>
      </c>
      <c r="M239" s="10">
        <v>751802</v>
      </c>
      <c r="N239" s="10">
        <v>769303</v>
      </c>
      <c r="O239" s="10">
        <v>735732</v>
      </c>
      <c r="P239" s="10">
        <v>765715</v>
      </c>
      <c r="Q239" s="6">
        <f t="shared" si="12"/>
        <v>8970123</v>
      </c>
      <c r="R239" s="15">
        <f t="shared" si="14"/>
        <v>3.2628423484664548E-2</v>
      </c>
    </row>
    <row r="240" spans="1:18">
      <c r="A240" s="1" t="s">
        <v>16</v>
      </c>
      <c r="B240" s="1" t="s">
        <v>54</v>
      </c>
      <c r="C240" s="1" t="s">
        <v>55</v>
      </c>
      <c r="D240" s="6">
        <f>'2013 pax'!Q236</f>
        <v>20242092</v>
      </c>
      <c r="E240" s="10">
        <v>1551976</v>
      </c>
      <c r="F240" s="10">
        <v>1518645</v>
      </c>
      <c r="G240" s="10">
        <v>1860617</v>
      </c>
      <c r="H240" s="10">
        <v>1735995</v>
      </c>
      <c r="I240" s="10">
        <v>1757118</v>
      </c>
      <c r="J240" s="10">
        <v>1904143</v>
      </c>
      <c r="K240" s="10">
        <v>1997348</v>
      </c>
      <c r="L240" s="10">
        <v>1984260</v>
      </c>
      <c r="M240" s="10">
        <v>1725791</v>
      </c>
      <c r="N240" s="10">
        <v>1794068</v>
      </c>
      <c r="O240" s="10">
        <v>1592154</v>
      </c>
      <c r="P240" s="10">
        <v>1733705</v>
      </c>
      <c r="Q240" s="6">
        <f t="shared" si="12"/>
        <v>21155820</v>
      </c>
      <c r="R240" s="15">
        <f t="shared" si="14"/>
        <v>4.513999837566196E-2</v>
      </c>
    </row>
    <row r="241" spans="1:19">
      <c r="A241" s="1" t="s">
        <v>16</v>
      </c>
      <c r="B241" s="1" t="s">
        <v>396</v>
      </c>
      <c r="C241" s="1" t="s">
        <v>397</v>
      </c>
      <c r="D241" s="6">
        <f>'2013 pax'!Q237</f>
        <v>8251368</v>
      </c>
      <c r="E241" s="10">
        <v>607626</v>
      </c>
      <c r="F241" s="10">
        <v>563714</v>
      </c>
      <c r="G241" s="10">
        <v>726394</v>
      </c>
      <c r="H241" s="10">
        <v>694347</v>
      </c>
      <c r="I241" s="10">
        <v>722455</v>
      </c>
      <c r="J241" s="10">
        <v>770365</v>
      </c>
      <c r="K241" s="10">
        <v>817740</v>
      </c>
      <c r="L241" s="10">
        <v>718885</v>
      </c>
      <c r="M241" s="10">
        <v>641768</v>
      </c>
      <c r="N241" s="10">
        <v>718664</v>
      </c>
      <c r="O241" s="10">
        <v>667975</v>
      </c>
      <c r="P241" s="10">
        <v>719695</v>
      </c>
      <c r="Q241" s="6">
        <f t="shared" si="12"/>
        <v>8369628</v>
      </c>
      <c r="R241" s="15">
        <f t="shared" ref="R241:R252" si="15">Q241/D241-1</f>
        <v>1.4332168920353494E-2</v>
      </c>
    </row>
    <row r="242" spans="1:19">
      <c r="A242" s="1" t="s">
        <v>16</v>
      </c>
      <c r="B242" s="1" t="s">
        <v>58</v>
      </c>
      <c r="C242" s="1" t="s">
        <v>59</v>
      </c>
      <c r="D242" s="6">
        <f>'2013 pax'!Q238</f>
        <v>17710416</v>
      </c>
      <c r="E242" s="10">
        <v>1341986</v>
      </c>
      <c r="F242" s="10">
        <v>1269983</v>
      </c>
      <c r="G242" s="10">
        <v>1550540</v>
      </c>
      <c r="H242" s="10">
        <v>1548167</v>
      </c>
      <c r="I242" s="10">
        <v>1565536</v>
      </c>
      <c r="J242" s="10">
        <v>1690456</v>
      </c>
      <c r="K242" s="10">
        <v>1835980</v>
      </c>
      <c r="L242" s="10">
        <v>1795282</v>
      </c>
      <c r="M242" s="10">
        <v>1517303</v>
      </c>
      <c r="N242" s="10">
        <v>1537897</v>
      </c>
      <c r="O242" s="10">
        <v>1434736</v>
      </c>
      <c r="P242" s="10">
        <v>1531121</v>
      </c>
      <c r="Q242" s="6">
        <f t="shared" si="12"/>
        <v>18618987</v>
      </c>
      <c r="R242" s="15">
        <f t="shared" si="15"/>
        <v>5.1301505283670279E-2</v>
      </c>
    </row>
    <row r="243" spans="1:19">
      <c r="A243" s="1" t="s">
        <v>16</v>
      </c>
      <c r="B243" s="1" t="s">
        <v>30</v>
      </c>
      <c r="C243" s="1" t="s">
        <v>31</v>
      </c>
      <c r="D243" s="6">
        <f>'2013 pax'!Q239</f>
        <v>45010205</v>
      </c>
      <c r="E243" s="10">
        <v>3438136</v>
      </c>
      <c r="F243" s="10">
        <v>3081846</v>
      </c>
      <c r="G243" s="10">
        <v>3771574</v>
      </c>
      <c r="H243" s="10">
        <v>3887382</v>
      </c>
      <c r="I243" s="10">
        <v>4151403</v>
      </c>
      <c r="J243" s="10">
        <v>4327219</v>
      </c>
      <c r="K243" s="10">
        <v>4492224</v>
      </c>
      <c r="L243" s="10">
        <v>4523910</v>
      </c>
      <c r="M243" s="10">
        <v>3919485</v>
      </c>
      <c r="N243" s="10">
        <v>4059884</v>
      </c>
      <c r="O243" s="10">
        <v>3629099</v>
      </c>
      <c r="P243" s="10">
        <v>3856908</v>
      </c>
      <c r="Q243" s="6">
        <f t="shared" si="12"/>
        <v>47139070</v>
      </c>
      <c r="R243" s="15">
        <f t="shared" si="15"/>
        <v>4.7297385115220081E-2</v>
      </c>
    </row>
    <row r="244" spans="1:19">
      <c r="A244" s="1" t="s">
        <v>16</v>
      </c>
      <c r="B244" s="1" t="s">
        <v>493</v>
      </c>
      <c r="C244" s="1" t="s">
        <v>494</v>
      </c>
      <c r="D244" s="6">
        <f>'2013 pax'!Q240</f>
        <v>8783319</v>
      </c>
      <c r="E244" s="10">
        <v>668176</v>
      </c>
      <c r="F244" s="10">
        <v>637824</v>
      </c>
      <c r="G244" s="10">
        <v>738232</v>
      </c>
      <c r="H244" s="10">
        <v>759947</v>
      </c>
      <c r="I244" s="10">
        <v>793731</v>
      </c>
      <c r="J244" s="10">
        <v>863439</v>
      </c>
      <c r="K244" s="10">
        <v>888481</v>
      </c>
      <c r="L244" s="10">
        <v>875102</v>
      </c>
      <c r="M244" s="10">
        <v>788249</v>
      </c>
      <c r="N244" s="10">
        <v>801209</v>
      </c>
      <c r="O244" s="10">
        <v>770286</v>
      </c>
      <c r="P244" s="10">
        <v>800536</v>
      </c>
      <c r="Q244" s="6">
        <f t="shared" si="12"/>
        <v>9385212</v>
      </c>
      <c r="R244" s="15">
        <f t="shared" si="15"/>
        <v>6.8526829095015174E-2</v>
      </c>
    </row>
    <row r="245" spans="1:19" ht="15.75">
      <c r="A245" s="1" t="s">
        <v>16</v>
      </c>
      <c r="B245" s="1" t="s">
        <v>504</v>
      </c>
      <c r="C245" s="1" t="s">
        <v>492</v>
      </c>
      <c r="D245" s="6">
        <f>'2013 pax'!Q241</f>
        <v>9232789</v>
      </c>
      <c r="E245" s="10">
        <v>718549</v>
      </c>
      <c r="F245" s="10">
        <v>671858</v>
      </c>
      <c r="G245" s="10">
        <v>776360</v>
      </c>
      <c r="H245" s="10">
        <v>781451</v>
      </c>
      <c r="I245" s="10">
        <v>800721</v>
      </c>
      <c r="J245" s="10">
        <v>820986</v>
      </c>
      <c r="K245" s="10">
        <v>837702</v>
      </c>
      <c r="L245" s="10">
        <v>834765</v>
      </c>
      <c r="M245" s="10">
        <v>760536</v>
      </c>
      <c r="N245" s="10">
        <v>812298</v>
      </c>
      <c r="O245" s="10">
        <v>767315</v>
      </c>
      <c r="P245" s="10">
        <v>803492</v>
      </c>
      <c r="Q245" s="6">
        <f t="shared" si="12"/>
        <v>9386033</v>
      </c>
      <c r="R245" s="15">
        <f t="shared" si="15"/>
        <v>1.6597801596029083E-2</v>
      </c>
    </row>
    <row r="246" spans="1:19">
      <c r="A246" s="1" t="s">
        <v>16</v>
      </c>
      <c r="B246" s="1" t="s">
        <v>541</v>
      </c>
      <c r="C246" s="1" t="s">
        <v>542</v>
      </c>
      <c r="D246" s="6">
        <f>'2013 pax'!Q242</f>
        <v>1187890</v>
      </c>
      <c r="E246" s="10">
        <v>99256</v>
      </c>
      <c r="F246" s="10">
        <v>102988</v>
      </c>
      <c r="G246" s="10">
        <v>149373</v>
      </c>
      <c r="H246" s="10">
        <v>121588</v>
      </c>
      <c r="I246" s="10">
        <v>96701</v>
      </c>
      <c r="J246" s="10">
        <v>88646</v>
      </c>
      <c r="K246" s="10">
        <v>85306</v>
      </c>
      <c r="L246" s="10">
        <v>82848</v>
      </c>
      <c r="M246" s="10">
        <v>72175</v>
      </c>
      <c r="N246" s="10">
        <v>96168</v>
      </c>
      <c r="O246" s="10">
        <v>97153</v>
      </c>
      <c r="P246" s="10">
        <v>104895</v>
      </c>
      <c r="Q246" s="6">
        <f t="shared" si="12"/>
        <v>1197097</v>
      </c>
      <c r="R246" s="15">
        <f t="shared" si="15"/>
        <v>7.7507176590425608E-3</v>
      </c>
    </row>
    <row r="247" spans="1:19">
      <c r="A247" s="1" t="s">
        <v>16</v>
      </c>
      <c r="B247" s="1" t="s">
        <v>435</v>
      </c>
      <c r="C247" s="1" t="s">
        <v>436</v>
      </c>
      <c r="D247" s="6">
        <f>'2013 pax'!Q243</f>
        <v>1642088</v>
      </c>
      <c r="E247" s="10">
        <v>103110</v>
      </c>
      <c r="F247" s="10">
        <v>107759</v>
      </c>
      <c r="G247" s="10">
        <v>172028</v>
      </c>
      <c r="H247" s="10">
        <v>174335</v>
      </c>
      <c r="I247" s="10">
        <v>191856</v>
      </c>
      <c r="J247" s="10">
        <v>172465</v>
      </c>
      <c r="K247" s="10">
        <v>174222</v>
      </c>
      <c r="L247" s="10">
        <v>172656</v>
      </c>
      <c r="M247" s="10">
        <v>161897</v>
      </c>
      <c r="N247" s="10">
        <v>180888</v>
      </c>
      <c r="O247" s="10">
        <v>161327</v>
      </c>
      <c r="P247" s="10">
        <v>144018</v>
      </c>
      <c r="Q247" s="6">
        <f t="shared" si="12"/>
        <v>1916561</v>
      </c>
      <c r="R247" s="15">
        <f t="shared" si="15"/>
        <v>0.1671487764358548</v>
      </c>
    </row>
    <row r="248" spans="1:19">
      <c r="A248" s="1" t="s">
        <v>16</v>
      </c>
      <c r="B248" s="1" t="s">
        <v>44</v>
      </c>
      <c r="C248" s="1" t="s">
        <v>45</v>
      </c>
      <c r="D248" s="6">
        <f>'2013 pax'!Q244</f>
        <v>34776666</v>
      </c>
      <c r="E248" s="10">
        <v>2521827</v>
      </c>
      <c r="F248" s="10">
        <v>2359535</v>
      </c>
      <c r="G248" s="10">
        <v>2536225</v>
      </c>
      <c r="H248" s="10">
        <v>2564963</v>
      </c>
      <c r="I248" s="10">
        <v>2786890</v>
      </c>
      <c r="J248" s="10">
        <v>3228622</v>
      </c>
      <c r="K248" s="10">
        <v>3535363</v>
      </c>
      <c r="L248" s="10">
        <v>3968007</v>
      </c>
      <c r="M248" s="10">
        <v>3226452</v>
      </c>
      <c r="N248" s="10">
        <v>3086358</v>
      </c>
      <c r="O248" s="10">
        <v>2867370</v>
      </c>
      <c r="P248" s="10">
        <v>3192852</v>
      </c>
      <c r="Q248" s="6">
        <f t="shared" si="12"/>
        <v>35874464</v>
      </c>
      <c r="R248" s="15">
        <f t="shared" si="15"/>
        <v>3.156708581552925E-2</v>
      </c>
    </row>
    <row r="249" spans="1:19">
      <c r="A249" s="1" t="s">
        <v>16</v>
      </c>
      <c r="B249" s="1" t="s">
        <v>502</v>
      </c>
      <c r="C249" s="1" t="s">
        <v>503</v>
      </c>
      <c r="D249" s="6">
        <f>'2013 pax'!Q245</f>
        <v>2926611</v>
      </c>
      <c r="E249" s="10">
        <v>220737</v>
      </c>
      <c r="F249" s="10">
        <v>208435</v>
      </c>
      <c r="G249" s="10">
        <v>248821</v>
      </c>
      <c r="H249" s="10">
        <v>229989</v>
      </c>
      <c r="I249" s="10">
        <v>241870</v>
      </c>
      <c r="J249" s="10">
        <v>266701</v>
      </c>
      <c r="K249" s="10">
        <v>292025</v>
      </c>
      <c r="L249" s="10">
        <v>289713</v>
      </c>
      <c r="M249" s="10">
        <v>237078</v>
      </c>
      <c r="N249" s="10">
        <v>247679</v>
      </c>
      <c r="O249" s="10">
        <v>237296</v>
      </c>
      <c r="P249" s="10">
        <v>266225</v>
      </c>
      <c r="Q249" s="6">
        <f t="shared" si="12"/>
        <v>2986569</v>
      </c>
      <c r="R249" s="15">
        <f t="shared" si="15"/>
        <v>2.0487177831286729E-2</v>
      </c>
    </row>
    <row r="250" spans="1:19">
      <c r="A250" s="1" t="s">
        <v>16</v>
      </c>
      <c r="B250" s="1" t="s">
        <v>443</v>
      </c>
      <c r="C250" s="1" t="s">
        <v>444</v>
      </c>
      <c r="D250" s="6">
        <f>'2013 pax'!Q246</f>
        <v>755773</v>
      </c>
      <c r="E250" s="10">
        <v>58429</v>
      </c>
      <c r="F250" s="10">
        <v>55618</v>
      </c>
      <c r="G250" s="10">
        <v>71561</v>
      </c>
      <c r="H250" s="10">
        <v>66295</v>
      </c>
      <c r="I250" s="10">
        <v>75452</v>
      </c>
      <c r="J250" s="10">
        <v>81928</v>
      </c>
      <c r="K250" s="10">
        <v>82822</v>
      </c>
      <c r="L250" s="10">
        <v>74294</v>
      </c>
      <c r="M250" s="10">
        <v>70279</v>
      </c>
      <c r="N250" s="10">
        <v>73002</v>
      </c>
      <c r="O250" s="10">
        <v>67487</v>
      </c>
      <c r="P250" s="10">
        <v>69157</v>
      </c>
      <c r="Q250" s="6">
        <f t="shared" si="12"/>
        <v>846324</v>
      </c>
      <c r="R250" s="15">
        <f t="shared" si="15"/>
        <v>0.11981243045200074</v>
      </c>
    </row>
    <row r="251" spans="1:19">
      <c r="A251" s="1" t="s">
        <v>16</v>
      </c>
      <c r="B251" s="1" t="s">
        <v>394</v>
      </c>
      <c r="C251" s="1" t="s">
        <v>395</v>
      </c>
      <c r="D251" s="6">
        <f>'2013 pax'!Q247</f>
        <v>12569395</v>
      </c>
      <c r="E251" s="10">
        <v>842568</v>
      </c>
      <c r="F251" s="10">
        <v>816734</v>
      </c>
      <c r="G251" s="10">
        <v>1072666</v>
      </c>
      <c r="H251" s="10">
        <v>1015165</v>
      </c>
      <c r="I251" s="10">
        <v>1097074</v>
      </c>
      <c r="J251" s="10">
        <v>1175898</v>
      </c>
      <c r="K251" s="10">
        <v>1202674</v>
      </c>
      <c r="L251" s="10">
        <v>1107445</v>
      </c>
      <c r="M251" s="10">
        <v>1018950</v>
      </c>
      <c r="N251" s="10">
        <v>1104119</v>
      </c>
      <c r="O251" s="10">
        <v>954808</v>
      </c>
      <c r="P251" s="10">
        <v>976238</v>
      </c>
      <c r="Q251" s="6">
        <f t="shared" si="12"/>
        <v>12384339</v>
      </c>
      <c r="R251" s="15">
        <f t="shared" si="15"/>
        <v>-1.472274520770489E-2</v>
      </c>
    </row>
    <row r="252" spans="1:19" ht="15.75">
      <c r="A252" s="1" t="s">
        <v>16</v>
      </c>
      <c r="B252" s="7" t="s">
        <v>391</v>
      </c>
      <c r="C252" s="7" t="s">
        <v>337</v>
      </c>
      <c r="D252" s="6">
        <f>'2013 pax'!Q248</f>
        <v>324254</v>
      </c>
      <c r="E252" s="10">
        <v>24907</v>
      </c>
      <c r="F252" s="10">
        <v>21560</v>
      </c>
      <c r="G252" s="10">
        <v>26234</v>
      </c>
      <c r="H252" s="10">
        <v>26893</v>
      </c>
      <c r="I252" s="10">
        <v>29228</v>
      </c>
      <c r="J252" s="10">
        <v>26481</v>
      </c>
      <c r="K252" s="10">
        <v>28442</v>
      </c>
      <c r="L252" s="10">
        <v>28564</v>
      </c>
      <c r="M252" s="10">
        <v>25471</v>
      </c>
      <c r="N252" s="10">
        <v>27124</v>
      </c>
      <c r="O252" s="10">
        <v>25446</v>
      </c>
      <c r="P252" s="10">
        <v>24232</v>
      </c>
      <c r="Q252" s="6">
        <f t="shared" si="12"/>
        <v>314582</v>
      </c>
      <c r="R252" s="15">
        <f t="shared" si="15"/>
        <v>-2.9828467806102599E-2</v>
      </c>
    </row>
    <row r="253" spans="1:19">
      <c r="A253" s="1" t="s">
        <v>16</v>
      </c>
      <c r="B253" s="1" t="s">
        <v>60</v>
      </c>
      <c r="C253" s="1" t="s">
        <v>61</v>
      </c>
      <c r="D253" s="6">
        <f>'2013 pax'!Q249</f>
        <v>16920093</v>
      </c>
      <c r="E253" s="10">
        <v>1364906</v>
      </c>
      <c r="F253" s="10">
        <v>1352995</v>
      </c>
      <c r="G253" s="10">
        <v>1817448</v>
      </c>
      <c r="H253" s="10">
        <v>1632296</v>
      </c>
      <c r="I253" s="10">
        <v>1503807</v>
      </c>
      <c r="J253" s="10">
        <v>1441986</v>
      </c>
      <c r="K253" s="10">
        <v>1498559</v>
      </c>
      <c r="L253" s="10">
        <v>1381534</v>
      </c>
      <c r="M253" s="10">
        <v>1165999</v>
      </c>
      <c r="N253" s="10">
        <v>1382730</v>
      </c>
      <c r="O253" s="10">
        <v>1430139</v>
      </c>
      <c r="P253" s="10">
        <v>1580727</v>
      </c>
      <c r="Q253" s="6">
        <f t="shared" si="12"/>
        <v>17553126</v>
      </c>
      <c r="R253" s="15">
        <f t="shared" ref="R253:R258" si="16">Q253/D253-1</f>
        <v>3.7413092233003598E-2</v>
      </c>
    </row>
    <row r="254" spans="1:19">
      <c r="A254" s="1" t="s">
        <v>16</v>
      </c>
      <c r="B254" s="1" t="s">
        <v>498</v>
      </c>
      <c r="C254" s="1" t="s">
        <v>499</v>
      </c>
      <c r="D254" s="6">
        <f>'2013 pax'!Q250</f>
        <v>3237319</v>
      </c>
      <c r="E254" s="10">
        <v>254261</v>
      </c>
      <c r="F254" s="10">
        <v>265009</v>
      </c>
      <c r="G254" s="10">
        <v>315866</v>
      </c>
      <c r="H254" s="10">
        <v>293707</v>
      </c>
      <c r="I254" s="10">
        <v>291411</v>
      </c>
      <c r="J254" s="10">
        <v>259278</v>
      </c>
      <c r="K254" s="10">
        <v>260564</v>
      </c>
      <c r="L254" s="10">
        <v>244179</v>
      </c>
      <c r="M254" s="10">
        <v>235010</v>
      </c>
      <c r="N254" s="10">
        <v>285074</v>
      </c>
      <c r="O254" s="10">
        <v>269520</v>
      </c>
      <c r="P254" s="10">
        <v>273799</v>
      </c>
      <c r="Q254" s="6">
        <f t="shared" si="12"/>
        <v>3247678</v>
      </c>
      <c r="R254" s="15">
        <f t="shared" si="16"/>
        <v>3.1998700158990534E-3</v>
      </c>
    </row>
    <row r="255" spans="1:19">
      <c r="A255" s="1" t="s">
        <v>16</v>
      </c>
      <c r="B255" s="1" t="s">
        <v>539</v>
      </c>
      <c r="C255" s="1" t="s">
        <v>540</v>
      </c>
      <c r="D255" s="6">
        <v>2732971</v>
      </c>
      <c r="E255" s="10">
        <v>193784</v>
      </c>
      <c r="F255" s="10">
        <v>183865</v>
      </c>
      <c r="G255" s="10">
        <v>234969</v>
      </c>
      <c r="H255" s="10">
        <v>225333</v>
      </c>
      <c r="I255" s="10">
        <v>257899</v>
      </c>
      <c r="J255" s="10">
        <v>270916</v>
      </c>
      <c r="K255" s="10">
        <v>280068</v>
      </c>
      <c r="L255" s="10">
        <v>240600</v>
      </c>
      <c r="M255" s="10">
        <v>232729</v>
      </c>
      <c r="N255" s="10">
        <v>261913</v>
      </c>
      <c r="O255" s="10">
        <v>225356</v>
      </c>
      <c r="P255" s="10">
        <v>232892</v>
      </c>
      <c r="Q255" s="6">
        <f t="shared" si="12"/>
        <v>2840324</v>
      </c>
      <c r="R255" s="15">
        <f t="shared" si="16"/>
        <v>3.9280694892115608E-2</v>
      </c>
    </row>
    <row r="256" spans="1:19" ht="15.75">
      <c r="A256" s="1" t="s">
        <v>16</v>
      </c>
      <c r="B256" s="1" t="s">
        <v>392</v>
      </c>
      <c r="C256" s="1" t="s">
        <v>50</v>
      </c>
      <c r="D256" s="6">
        <f>'2013 pax'!Q252</f>
        <v>21821784</v>
      </c>
      <c r="E256" s="10">
        <v>1516637</v>
      </c>
      <c r="F256" s="10">
        <v>1295690</v>
      </c>
      <c r="G256" s="10">
        <v>1761271</v>
      </c>
      <c r="H256" s="10">
        <v>1798165</v>
      </c>
      <c r="I256" s="10">
        <v>1957272</v>
      </c>
      <c r="J256" s="10">
        <v>1978659</v>
      </c>
      <c r="K256" s="10">
        <v>2028966</v>
      </c>
      <c r="L256" s="10">
        <v>2046943</v>
      </c>
      <c r="M256" s="10">
        <v>1803387</v>
      </c>
      <c r="N256" s="10">
        <v>1872982</v>
      </c>
      <c r="O256" s="10">
        <v>1624338</v>
      </c>
      <c r="P256" s="10">
        <v>1718218</v>
      </c>
      <c r="Q256" s="6">
        <f t="shared" si="12"/>
        <v>21402528</v>
      </c>
      <c r="R256" s="15">
        <f t="shared" si="16"/>
        <v>-1.9212727978610733E-2</v>
      </c>
      <c r="S256" s="29"/>
    </row>
    <row r="257" spans="1:18" ht="15.75">
      <c r="A257" s="1" t="s">
        <v>16</v>
      </c>
      <c r="B257" s="1" t="s">
        <v>393</v>
      </c>
      <c r="C257" s="1" t="s">
        <v>56</v>
      </c>
      <c r="D257" s="6">
        <f>'2013 pax'!Q253</f>
        <v>20319134</v>
      </c>
      <c r="E257" s="10">
        <v>1485762</v>
      </c>
      <c r="F257" s="10">
        <v>1382839</v>
      </c>
      <c r="G257" s="10">
        <v>1697105</v>
      </c>
      <c r="H257" s="10">
        <v>1832177</v>
      </c>
      <c r="I257" s="10">
        <v>1918581</v>
      </c>
      <c r="J257" s="10">
        <v>1823100</v>
      </c>
      <c r="K257" s="10">
        <v>1799769</v>
      </c>
      <c r="L257" s="10">
        <v>1819784</v>
      </c>
      <c r="M257" s="10">
        <v>1675676</v>
      </c>
      <c r="N257" s="10">
        <v>1901805</v>
      </c>
      <c r="O257" s="10">
        <v>1693931</v>
      </c>
      <c r="P257" s="10">
        <v>1753855</v>
      </c>
      <c r="Q257" s="6">
        <f t="shared" si="12"/>
        <v>20784384</v>
      </c>
      <c r="R257" s="15">
        <f t="shared" si="16"/>
        <v>2.2897137250042165E-2</v>
      </c>
    </row>
    <row r="258" spans="1:18">
      <c r="A258" s="1" t="s">
        <v>16</v>
      </c>
      <c r="B258" s="1" t="s">
        <v>526</v>
      </c>
      <c r="C258" s="1" t="s">
        <v>527</v>
      </c>
      <c r="D258" s="6">
        <f>'2013 pax'!Q254</f>
        <v>1512507</v>
      </c>
      <c r="E258" s="10">
        <v>108220</v>
      </c>
      <c r="F258" s="10">
        <v>98499</v>
      </c>
      <c r="G258" s="10">
        <v>126165</v>
      </c>
      <c r="H258" s="10">
        <v>119265</v>
      </c>
      <c r="I258" s="10">
        <v>140524</v>
      </c>
      <c r="J258" s="10">
        <v>145338</v>
      </c>
      <c r="K258" s="10">
        <v>144926</v>
      </c>
      <c r="L258" s="10">
        <v>131420</v>
      </c>
      <c r="M258" s="10">
        <v>123833</v>
      </c>
      <c r="N258" s="10">
        <v>137233</v>
      </c>
      <c r="O258" s="10">
        <v>126136</v>
      </c>
      <c r="P258" s="10">
        <v>132156</v>
      </c>
      <c r="Q258" s="6">
        <f t="shared" si="12"/>
        <v>1533715</v>
      </c>
      <c r="R258" s="15">
        <f t="shared" si="16"/>
        <v>1.4021753287753347E-2</v>
      </c>
    </row>
    <row r="259" spans="1:18">
      <c r="M259" s="10"/>
      <c r="N259" s="10"/>
      <c r="O259" s="10"/>
      <c r="R259"/>
    </row>
  </sheetData>
  <pageMargins left="0.7" right="0.7" top="0.75" bottom="0.75" header="0.3" footer="0.3"/>
  <pageSetup paperSize="9" orientation="portrait" r:id="rId1"/>
  <headerFooter alignWithMargins="0"/>
  <ignoredErrors>
    <ignoredError sqref="Q5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54"/>
  <sheetViews>
    <sheetView zoomScaleNormal="100" workbookViewId="0">
      <pane xSplit="4" ySplit="1" topLeftCell="E248" activePane="bottomRight" state="frozen"/>
      <selection pane="topRight" activeCell="E1" sqref="E1"/>
      <selection pane="bottomLeft" activeCell="A5" sqref="A5"/>
      <selection pane="bottomRight" activeCell="A257" sqref="A257:IV272"/>
    </sheetView>
  </sheetViews>
  <sheetFormatPr defaultRowHeight="15"/>
  <cols>
    <col min="1" max="1" width="22.42578125" customWidth="1"/>
    <col min="2" max="2" width="41.7109375" customWidth="1"/>
    <col min="3" max="3" width="6.5703125" customWidth="1"/>
    <col min="4" max="17" width="11.5703125" customWidth="1"/>
    <col min="18" max="18" width="11.5703125" style="15" customWidth="1"/>
    <col min="19" max="19" width="10.140625" bestFit="1" customWidth="1"/>
  </cols>
  <sheetData>
    <row r="1" spans="1:18">
      <c r="A1" s="4" t="s">
        <v>0</v>
      </c>
      <c r="B1" s="4" t="s">
        <v>1</v>
      </c>
      <c r="C1" s="4" t="s">
        <v>2</v>
      </c>
      <c r="D1" s="8" t="s">
        <v>521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8" t="s">
        <v>528</v>
      </c>
      <c r="R1" s="16" t="s">
        <v>339</v>
      </c>
    </row>
    <row r="2" spans="1:18">
      <c r="A2" s="1" t="s">
        <v>137</v>
      </c>
      <c r="B2" s="1" t="s">
        <v>138</v>
      </c>
      <c r="C2" s="1" t="s">
        <v>139</v>
      </c>
      <c r="D2" s="6">
        <f>'2012 pax'!Q2</f>
        <v>1373401</v>
      </c>
      <c r="E2" s="10">
        <v>126059</v>
      </c>
      <c r="F2" s="10">
        <v>88939</v>
      </c>
      <c r="G2" s="10">
        <v>103889</v>
      </c>
      <c r="H2" s="10">
        <v>102177</v>
      </c>
      <c r="I2" s="10">
        <v>104725</v>
      </c>
      <c r="J2" s="10">
        <v>109246</v>
      </c>
      <c r="K2" s="10">
        <v>118301</v>
      </c>
      <c r="L2" s="10">
        <v>109354</v>
      </c>
      <c r="M2" s="10">
        <v>117584</v>
      </c>
      <c r="N2" s="10">
        <v>123001</v>
      </c>
      <c r="O2" s="10">
        <v>118502</v>
      </c>
      <c r="P2" s="10">
        <v>122122</v>
      </c>
      <c r="Q2" s="6">
        <f>SUM(E2:P2)</f>
        <v>1343899</v>
      </c>
      <c r="R2" s="15">
        <f t="shared" ref="R2:R66" si="0">Q2/D2-1</f>
        <v>-2.1480980427420637E-2</v>
      </c>
    </row>
    <row r="3" spans="1:18">
      <c r="A3" s="1" t="s">
        <v>137</v>
      </c>
      <c r="B3" s="1" t="s">
        <v>172</v>
      </c>
      <c r="C3" s="1" t="s">
        <v>173</v>
      </c>
      <c r="D3" s="6">
        <f>'2012 pax'!Q3</f>
        <v>3333911</v>
      </c>
      <c r="E3" s="10">
        <v>273013</v>
      </c>
      <c r="F3" s="10">
        <v>206762</v>
      </c>
      <c r="G3" s="10">
        <v>251799</v>
      </c>
      <c r="H3" s="10">
        <v>264825</v>
      </c>
      <c r="I3" s="10">
        <v>313978</v>
      </c>
      <c r="J3" s="10">
        <v>282356</v>
      </c>
      <c r="K3" s="10">
        <v>343944</v>
      </c>
      <c r="L3" s="10">
        <v>300506</v>
      </c>
      <c r="M3" s="10">
        <v>291546</v>
      </c>
      <c r="N3" s="10">
        <v>311676</v>
      </c>
      <c r="O3" s="10">
        <v>297811</v>
      </c>
      <c r="P3" s="10">
        <v>335729</v>
      </c>
      <c r="Q3" s="6">
        <f t="shared" ref="Q3:Q67" si="1">SUM(E3:P3)</f>
        <v>3473945</v>
      </c>
      <c r="R3" s="15">
        <f t="shared" si="0"/>
        <v>4.2002920893809081E-2</v>
      </c>
    </row>
    <row r="4" spans="1:18">
      <c r="A4" s="1" t="s">
        <v>137</v>
      </c>
      <c r="B4" s="1" t="s">
        <v>184</v>
      </c>
      <c r="C4" s="1" t="s">
        <v>185</v>
      </c>
      <c r="D4" s="6">
        <f>'2012 pax'!Q4</f>
        <v>336530</v>
      </c>
      <c r="E4" s="10">
        <v>28592</v>
      </c>
      <c r="F4" s="10">
        <v>22069</v>
      </c>
      <c r="G4" s="10">
        <v>24376</v>
      </c>
      <c r="H4" s="10">
        <v>25006</v>
      </c>
      <c r="I4" s="10">
        <v>40096</v>
      </c>
      <c r="J4" s="10">
        <v>30776</v>
      </c>
      <c r="K4" s="10">
        <v>34017</v>
      </c>
      <c r="L4" s="10">
        <v>27635</v>
      </c>
      <c r="M4" s="10">
        <v>27802</v>
      </c>
      <c r="N4" s="10">
        <v>26008</v>
      </c>
      <c r="O4" s="10">
        <v>30925</v>
      </c>
      <c r="P4" s="10">
        <v>32893</v>
      </c>
      <c r="Q4" s="6">
        <f t="shared" si="1"/>
        <v>350195</v>
      </c>
      <c r="R4" s="15">
        <f t="shared" si="0"/>
        <v>4.0605592369179488E-2</v>
      </c>
    </row>
    <row r="5" spans="1:18">
      <c r="A5" s="1" t="s">
        <v>137</v>
      </c>
      <c r="B5" s="1" t="s">
        <v>146</v>
      </c>
      <c r="C5" s="1" t="s">
        <v>147</v>
      </c>
      <c r="D5" s="6">
        <f>'2012 pax'!Q5</f>
        <v>15665045</v>
      </c>
      <c r="E5" s="10">
        <v>1418015</v>
      </c>
      <c r="F5" s="10">
        <v>1099079</v>
      </c>
      <c r="G5" s="10">
        <v>1212767</v>
      </c>
      <c r="H5" s="10">
        <v>1290562</v>
      </c>
      <c r="I5" s="10">
        <v>1327970</v>
      </c>
      <c r="J5" s="10">
        <v>1271583</v>
      </c>
      <c r="K5" s="10">
        <v>1546956</v>
      </c>
      <c r="L5" s="10">
        <v>1460845</v>
      </c>
      <c r="M5" s="10">
        <v>1379834</v>
      </c>
      <c r="N5" s="10">
        <v>1463836</v>
      </c>
      <c r="O5" s="10">
        <v>1464298</v>
      </c>
      <c r="P5" s="10">
        <v>1554242</v>
      </c>
      <c r="Q5" s="6">
        <f t="shared" si="1"/>
        <v>16489987</v>
      </c>
      <c r="R5" s="15">
        <f t="shared" si="0"/>
        <v>5.2661323347618749E-2</v>
      </c>
    </row>
    <row r="6" spans="1:18">
      <c r="A6" s="1" t="s">
        <v>137</v>
      </c>
      <c r="B6" s="1" t="s">
        <v>162</v>
      </c>
      <c r="C6" s="1" t="s">
        <v>163</v>
      </c>
      <c r="D6" s="6">
        <f>'2012 pax'!Q6</f>
        <v>127609</v>
      </c>
      <c r="E6" s="10">
        <v>12428</v>
      </c>
      <c r="F6" s="10">
        <v>7656</v>
      </c>
      <c r="G6" s="10">
        <v>7472</v>
      </c>
      <c r="H6" s="10">
        <v>7413</v>
      </c>
      <c r="I6" s="10">
        <v>11843</v>
      </c>
      <c r="J6" s="10">
        <v>14495</v>
      </c>
      <c r="K6" s="10">
        <v>10884</v>
      </c>
      <c r="L6" s="10">
        <v>10058</v>
      </c>
      <c r="M6" s="10">
        <v>13447</v>
      </c>
      <c r="N6" s="10">
        <v>15479</v>
      </c>
      <c r="O6" s="10">
        <v>15582</v>
      </c>
      <c r="P6" s="10">
        <v>17009</v>
      </c>
      <c r="Q6" s="6">
        <f t="shared" si="1"/>
        <v>143766</v>
      </c>
      <c r="R6" s="15">
        <f t="shared" si="0"/>
        <v>0.1266133266462397</v>
      </c>
    </row>
    <row r="7" spans="1:18">
      <c r="A7" s="1" t="s">
        <v>137</v>
      </c>
      <c r="B7" s="3" t="s">
        <v>214</v>
      </c>
      <c r="C7" s="3" t="s">
        <v>215</v>
      </c>
      <c r="D7" s="6">
        <f>'2012 pax'!Q7</f>
        <v>8824074</v>
      </c>
      <c r="E7" s="10">
        <v>849104</v>
      </c>
      <c r="F7" s="10">
        <v>685163</v>
      </c>
      <c r="G7" s="10">
        <v>734166</v>
      </c>
      <c r="H7" s="10">
        <v>774667</v>
      </c>
      <c r="I7" s="10">
        <v>770151</v>
      </c>
      <c r="J7" s="10">
        <v>727347</v>
      </c>
      <c r="K7" s="10">
        <v>777069</v>
      </c>
      <c r="L7" s="10">
        <v>804158</v>
      </c>
      <c r="M7" s="10">
        <v>718028</v>
      </c>
      <c r="N7" s="10">
        <v>822145</v>
      </c>
      <c r="O7" s="10">
        <v>805048</v>
      </c>
      <c r="P7" s="10">
        <v>828303</v>
      </c>
      <c r="Q7" s="6">
        <f>SUM(E7:P7)</f>
        <v>9295349</v>
      </c>
      <c r="R7" s="15">
        <f t="shared" si="0"/>
        <v>5.3407870332909724E-2</v>
      </c>
    </row>
    <row r="8" spans="1:18">
      <c r="A8" s="1" t="s">
        <v>137</v>
      </c>
      <c r="B8" s="3" t="s">
        <v>216</v>
      </c>
      <c r="C8" s="3" t="s">
        <v>217</v>
      </c>
      <c r="D8" s="6">
        <f>'2012 pax'!Q8</f>
        <v>392228</v>
      </c>
      <c r="E8" s="10">
        <v>29016</v>
      </c>
      <c r="F8" s="10">
        <v>29613</v>
      </c>
      <c r="G8" s="10">
        <v>35595</v>
      </c>
      <c r="H8" s="10">
        <v>35929</v>
      </c>
      <c r="I8" s="10">
        <v>35991</v>
      </c>
      <c r="J8" s="10">
        <v>31699</v>
      </c>
      <c r="K8" s="10">
        <v>16504</v>
      </c>
      <c r="L8" s="10">
        <v>18521</v>
      </c>
      <c r="M8" s="10">
        <v>16004</v>
      </c>
      <c r="N8" s="10">
        <v>18496</v>
      </c>
      <c r="O8" s="10">
        <v>18019</v>
      </c>
      <c r="P8" s="10">
        <v>18005</v>
      </c>
      <c r="Q8" s="6">
        <f t="shared" si="1"/>
        <v>303392</v>
      </c>
      <c r="R8" s="15">
        <f t="shared" si="0"/>
        <v>-0.22649071458437442</v>
      </c>
    </row>
    <row r="9" spans="1:18">
      <c r="A9" s="1" t="s">
        <v>137</v>
      </c>
      <c r="B9" s="1" t="s">
        <v>148</v>
      </c>
      <c r="C9" s="1" t="s">
        <v>149</v>
      </c>
      <c r="D9" s="6">
        <f>'2012 pax'!Q9</f>
        <v>1648143</v>
      </c>
      <c r="E9" s="10">
        <v>145323</v>
      </c>
      <c r="F9" s="10">
        <v>109370</v>
      </c>
      <c r="G9" s="10">
        <v>122740</v>
      </c>
      <c r="H9" s="10">
        <v>97715</v>
      </c>
      <c r="I9" s="10">
        <v>160566</v>
      </c>
      <c r="J9" s="10">
        <v>127427</v>
      </c>
      <c r="K9" s="10">
        <v>148225</v>
      </c>
      <c r="L9" s="10">
        <v>126407</v>
      </c>
      <c r="M9" s="10">
        <v>85274</v>
      </c>
      <c r="N9" s="10">
        <v>120702</v>
      </c>
      <c r="O9" s="10">
        <v>120382</v>
      </c>
      <c r="P9" s="10">
        <v>132157</v>
      </c>
      <c r="Q9" s="6">
        <f t="shared" si="1"/>
        <v>1496288</v>
      </c>
      <c r="R9" s="15">
        <f t="shared" si="0"/>
        <v>-9.2137029371844537E-2</v>
      </c>
    </row>
    <row r="10" spans="1:18">
      <c r="A10" s="1" t="s">
        <v>137</v>
      </c>
      <c r="B10" s="7" t="s">
        <v>204</v>
      </c>
      <c r="C10" s="7" t="s">
        <v>205</v>
      </c>
      <c r="D10" s="6">
        <f>'2012 pax'!Q10</f>
        <v>10200348</v>
      </c>
      <c r="E10" s="10">
        <v>839029</v>
      </c>
      <c r="F10" s="10">
        <v>733761</v>
      </c>
      <c r="G10" s="10">
        <v>717501</v>
      </c>
      <c r="H10" s="10">
        <v>896684</v>
      </c>
      <c r="I10" s="10">
        <v>945741</v>
      </c>
      <c r="J10" s="10">
        <v>777829</v>
      </c>
      <c r="K10" s="10">
        <v>858584</v>
      </c>
      <c r="L10" s="10">
        <v>800585</v>
      </c>
      <c r="M10" s="10">
        <v>822077</v>
      </c>
      <c r="N10" s="10">
        <v>883452</v>
      </c>
      <c r="O10" s="10">
        <v>850433</v>
      </c>
      <c r="P10" s="10">
        <v>876801</v>
      </c>
      <c r="Q10" s="6">
        <f t="shared" si="1"/>
        <v>10002477</v>
      </c>
      <c r="R10" s="15">
        <f t="shared" si="0"/>
        <v>-1.9398455817389748E-2</v>
      </c>
    </row>
    <row r="11" spans="1:18">
      <c r="A11" s="1" t="s">
        <v>137</v>
      </c>
      <c r="B11" s="3" t="s">
        <v>220</v>
      </c>
      <c r="C11" s="3" t="s">
        <v>221</v>
      </c>
      <c r="D11" s="6">
        <f>'2012 pax'!Q11</f>
        <v>16775785</v>
      </c>
      <c r="E11" s="10">
        <v>1271737</v>
      </c>
      <c r="F11" s="10">
        <v>1032733</v>
      </c>
      <c r="G11" s="10">
        <v>1310696</v>
      </c>
      <c r="H11" s="10">
        <v>1359173</v>
      </c>
      <c r="I11" s="10">
        <v>1550595</v>
      </c>
      <c r="J11" s="10">
        <v>1307659</v>
      </c>
      <c r="K11" s="10">
        <v>1501431</v>
      </c>
      <c r="L11" s="10">
        <v>1435085</v>
      </c>
      <c r="M11" s="10">
        <v>1517640</v>
      </c>
      <c r="N11" s="10">
        <v>1594673</v>
      </c>
      <c r="O11" s="10">
        <v>1563405</v>
      </c>
      <c r="P11" s="10">
        <v>1580776</v>
      </c>
      <c r="Q11" s="6">
        <f t="shared" si="1"/>
        <v>17025603</v>
      </c>
      <c r="R11" s="15">
        <f t="shared" si="0"/>
        <v>1.4891583314879053E-2</v>
      </c>
    </row>
    <row r="12" spans="1:18">
      <c r="A12" s="1" t="s">
        <v>137</v>
      </c>
      <c r="B12" s="1" t="s">
        <v>186</v>
      </c>
      <c r="C12" s="1" t="s">
        <v>187</v>
      </c>
      <c r="D12" s="6">
        <f>'2012 pax'!Q12</f>
        <v>73970</v>
      </c>
      <c r="E12" s="10">
        <v>4467</v>
      </c>
      <c r="F12" s="10">
        <v>4339</v>
      </c>
      <c r="G12" s="10">
        <v>6052</v>
      </c>
      <c r="H12" s="10">
        <v>7191</v>
      </c>
      <c r="I12" s="10">
        <v>7164</v>
      </c>
      <c r="J12" s="10">
        <v>5960</v>
      </c>
      <c r="K12" s="10">
        <v>5292</v>
      </c>
      <c r="L12" s="10">
        <v>5621</v>
      </c>
      <c r="M12" s="10">
        <v>5670</v>
      </c>
      <c r="N12" s="10">
        <v>5376</v>
      </c>
      <c r="O12" s="10">
        <v>6082</v>
      </c>
      <c r="P12" s="10">
        <v>7002</v>
      </c>
      <c r="Q12" s="6">
        <f t="shared" si="1"/>
        <v>70216</v>
      </c>
      <c r="R12" s="15">
        <f t="shared" si="0"/>
        <v>-5.0750304177369254E-2</v>
      </c>
    </row>
    <row r="13" spans="1:18">
      <c r="A13" s="1" t="s">
        <v>137</v>
      </c>
      <c r="B13" s="1" t="s">
        <v>150</v>
      </c>
      <c r="C13" s="1" t="s">
        <v>151</v>
      </c>
      <c r="D13" s="6">
        <f>'2012 pax'!Q13</f>
        <v>2761588</v>
      </c>
      <c r="E13" s="10">
        <v>234052</v>
      </c>
      <c r="F13" s="10">
        <v>197390</v>
      </c>
      <c r="G13" s="10">
        <v>224340</v>
      </c>
      <c r="H13" s="10">
        <v>241794</v>
      </c>
      <c r="I13" s="10">
        <v>262345</v>
      </c>
      <c r="J13" s="10">
        <v>236881</v>
      </c>
      <c r="K13" s="10">
        <v>279706</v>
      </c>
      <c r="L13" s="10">
        <v>265978</v>
      </c>
      <c r="M13" s="10">
        <v>260099</v>
      </c>
      <c r="N13" s="10">
        <v>263747</v>
      </c>
      <c r="O13" s="10">
        <v>256488</v>
      </c>
      <c r="P13" s="10">
        <v>272859</v>
      </c>
      <c r="Q13" s="6">
        <f t="shared" si="1"/>
        <v>2995679</v>
      </c>
      <c r="R13" s="15">
        <f t="shared" si="0"/>
        <v>8.4766808082885614E-2</v>
      </c>
    </row>
    <row r="14" spans="1:18">
      <c r="A14" s="1" t="s">
        <v>137</v>
      </c>
      <c r="B14" s="3" t="s">
        <v>222</v>
      </c>
      <c r="C14" s="3" t="s">
        <v>223</v>
      </c>
      <c r="D14" s="6">
        <f>'2012 pax'!Q14</f>
        <v>6753137</v>
      </c>
      <c r="E14" s="10">
        <v>495388</v>
      </c>
      <c r="F14" s="10">
        <v>411257</v>
      </c>
      <c r="G14" s="10">
        <v>531016</v>
      </c>
      <c r="H14" s="10">
        <v>562032</v>
      </c>
      <c r="I14" s="10">
        <v>577120</v>
      </c>
      <c r="J14" s="10">
        <v>534040</v>
      </c>
      <c r="K14" s="10">
        <v>600318</v>
      </c>
      <c r="L14" s="10">
        <v>569644</v>
      </c>
      <c r="M14" s="10">
        <v>578650</v>
      </c>
      <c r="N14" s="10">
        <v>628719</v>
      </c>
      <c r="O14" s="10">
        <v>617187</v>
      </c>
      <c r="P14" s="10">
        <v>634653</v>
      </c>
      <c r="Q14" s="6">
        <f t="shared" si="1"/>
        <v>6740024</v>
      </c>
      <c r="R14" s="15">
        <f t="shared" si="0"/>
        <v>-1.9417642497109311E-3</v>
      </c>
    </row>
    <row r="15" spans="1:18">
      <c r="A15" s="1" t="s">
        <v>137</v>
      </c>
      <c r="B15" s="3" t="s">
        <v>226</v>
      </c>
      <c r="C15" s="3" t="s">
        <v>227</v>
      </c>
      <c r="D15" s="6">
        <f>'2012 pax'!Q15</f>
        <v>3395253</v>
      </c>
      <c r="E15" s="10">
        <v>402505</v>
      </c>
      <c r="F15" s="10">
        <v>346934</v>
      </c>
      <c r="G15" s="10">
        <v>253186</v>
      </c>
      <c r="H15" s="10">
        <v>419673</v>
      </c>
      <c r="I15" s="10">
        <v>318649</v>
      </c>
      <c r="J15" s="10">
        <v>278772</v>
      </c>
      <c r="K15" s="10">
        <v>305304</v>
      </c>
      <c r="L15" s="10">
        <v>266135</v>
      </c>
      <c r="M15" s="10">
        <v>292216</v>
      </c>
      <c r="N15" s="10">
        <v>323669</v>
      </c>
      <c r="O15" s="10">
        <v>320439</v>
      </c>
      <c r="P15" s="10">
        <v>345155</v>
      </c>
      <c r="Q15" s="6">
        <f t="shared" si="1"/>
        <v>3872637</v>
      </c>
      <c r="R15" s="15">
        <f t="shared" si="0"/>
        <v>0.14060336593473299</v>
      </c>
    </row>
    <row r="16" spans="1:18">
      <c r="A16" s="1" t="s">
        <v>137</v>
      </c>
      <c r="B16" s="1" t="s">
        <v>156</v>
      </c>
      <c r="C16" s="1" t="s">
        <v>157</v>
      </c>
      <c r="D16" s="6">
        <f>'2012 pax'!Q16</f>
        <v>5964223</v>
      </c>
      <c r="E16" s="10">
        <v>558766</v>
      </c>
      <c r="F16" s="10">
        <v>406795</v>
      </c>
      <c r="G16" s="10">
        <v>442724</v>
      </c>
      <c r="H16" s="10">
        <v>445033</v>
      </c>
      <c r="I16" s="10">
        <v>489548</v>
      </c>
      <c r="J16" s="10">
        <v>491320</v>
      </c>
      <c r="K16" s="10">
        <v>571081</v>
      </c>
      <c r="L16" s="10">
        <v>520751</v>
      </c>
      <c r="M16" s="10">
        <v>488119</v>
      </c>
      <c r="N16" s="10">
        <v>502130</v>
      </c>
      <c r="O16" s="10">
        <v>492545</v>
      </c>
      <c r="P16" s="10">
        <v>543723</v>
      </c>
      <c r="Q16" s="6">
        <f t="shared" si="1"/>
        <v>5952535</v>
      </c>
      <c r="R16" s="15">
        <f t="shared" si="0"/>
        <v>-1.9596852766906592E-3</v>
      </c>
    </row>
    <row r="17" spans="1:18">
      <c r="A17" s="1" t="s">
        <v>137</v>
      </c>
      <c r="B17" s="3" t="s">
        <v>224</v>
      </c>
      <c r="C17" s="3" t="s">
        <v>225</v>
      </c>
      <c r="D17" s="6">
        <f>'2012 pax'!Q17</f>
        <v>1741526</v>
      </c>
      <c r="E17" s="10">
        <v>146025</v>
      </c>
      <c r="F17" s="10">
        <v>120183</v>
      </c>
      <c r="G17" s="10">
        <v>129263</v>
      </c>
      <c r="H17" s="10">
        <v>155807</v>
      </c>
      <c r="I17" s="10">
        <v>142068</v>
      </c>
      <c r="J17" s="10">
        <v>131131</v>
      </c>
      <c r="K17" s="10">
        <v>145043</v>
      </c>
      <c r="L17" s="10">
        <v>139974</v>
      </c>
      <c r="M17" s="10">
        <v>135888</v>
      </c>
      <c r="N17" s="10">
        <v>143368</v>
      </c>
      <c r="O17" s="10">
        <v>144130</v>
      </c>
      <c r="P17" s="10">
        <v>144580</v>
      </c>
      <c r="Q17" s="6">
        <f t="shared" si="1"/>
        <v>1677460</v>
      </c>
      <c r="R17" s="15">
        <f t="shared" si="0"/>
        <v>-3.6787277364793813E-2</v>
      </c>
    </row>
    <row r="18" spans="1:18">
      <c r="A18" s="1" t="s">
        <v>137</v>
      </c>
      <c r="B18" s="7" t="s">
        <v>194</v>
      </c>
      <c r="C18" s="7" t="s">
        <v>195</v>
      </c>
      <c r="D18" s="6">
        <f>'2012 pax'!Q18</f>
        <v>17491744</v>
      </c>
      <c r="E18" s="10">
        <v>1665181</v>
      </c>
      <c r="F18" s="10">
        <v>1365240</v>
      </c>
      <c r="G18" s="10">
        <v>1403031</v>
      </c>
      <c r="H18" s="10">
        <v>1310219</v>
      </c>
      <c r="I18" s="10">
        <v>1384505</v>
      </c>
      <c r="J18" s="10">
        <v>1341812</v>
      </c>
      <c r="K18" s="10">
        <v>1574646</v>
      </c>
      <c r="L18" s="10">
        <v>1366194</v>
      </c>
      <c r="M18" s="10">
        <v>1355315</v>
      </c>
      <c r="N18" s="10">
        <v>1403787</v>
      </c>
      <c r="O18" s="10">
        <v>1393260</v>
      </c>
      <c r="P18" s="10">
        <v>1546400</v>
      </c>
      <c r="Q18" s="6">
        <f t="shared" si="1"/>
        <v>17109590</v>
      </c>
      <c r="R18" s="15">
        <f t="shared" si="0"/>
        <v>-2.1847678539086757E-2</v>
      </c>
    </row>
    <row r="19" spans="1:18">
      <c r="A19" s="1" t="s">
        <v>137</v>
      </c>
      <c r="B19" s="7" t="s">
        <v>152</v>
      </c>
      <c r="C19" s="7" t="s">
        <v>153</v>
      </c>
      <c r="D19" s="6">
        <f>'2012 pax'!Q19</f>
        <v>3063649</v>
      </c>
      <c r="E19" s="10">
        <v>248581</v>
      </c>
      <c r="F19" s="10">
        <v>196767</v>
      </c>
      <c r="G19" s="10">
        <v>216060</v>
      </c>
      <c r="H19" s="10">
        <v>225955</v>
      </c>
      <c r="I19" s="10">
        <v>241504</v>
      </c>
      <c r="J19" s="10">
        <v>234407</v>
      </c>
      <c r="K19" s="10">
        <v>285670</v>
      </c>
      <c r="L19" s="10">
        <v>245201</v>
      </c>
      <c r="M19" s="10">
        <v>255522</v>
      </c>
      <c r="N19" s="10">
        <v>275472</v>
      </c>
      <c r="O19" s="10">
        <v>265578</v>
      </c>
      <c r="P19" s="10">
        <v>291474</v>
      </c>
      <c r="Q19" s="6">
        <f t="shared" si="1"/>
        <v>2982191</v>
      </c>
      <c r="R19" s="15">
        <f t="shared" si="0"/>
        <v>-2.658855502050006E-2</v>
      </c>
    </row>
    <row r="20" spans="1:18">
      <c r="A20" s="1" t="s">
        <v>137</v>
      </c>
      <c r="B20" s="3" t="s">
        <v>212</v>
      </c>
      <c r="C20" s="3" t="s">
        <v>213</v>
      </c>
      <c r="D20" s="6">
        <f>'2012 pax'!Q20</f>
        <v>32177594</v>
      </c>
      <c r="E20" s="10">
        <v>3072331</v>
      </c>
      <c r="F20" s="10">
        <v>2515918</v>
      </c>
      <c r="G20" s="10">
        <v>2872062</v>
      </c>
      <c r="H20" s="10">
        <v>2732626</v>
      </c>
      <c r="I20" s="10">
        <v>2874254</v>
      </c>
      <c r="J20" s="10">
        <v>2858630</v>
      </c>
      <c r="K20" s="10">
        <v>3305376</v>
      </c>
      <c r="L20" s="10">
        <v>2992297</v>
      </c>
      <c r="M20" s="10">
        <v>3018780</v>
      </c>
      <c r="N20" s="10">
        <v>3212818</v>
      </c>
      <c r="O20" s="10">
        <v>3116260</v>
      </c>
      <c r="P20" s="10">
        <v>3390776</v>
      </c>
      <c r="Q20" s="6">
        <f t="shared" si="1"/>
        <v>35962128</v>
      </c>
      <c r="R20" s="15">
        <f t="shared" si="0"/>
        <v>0.11761395211835923</v>
      </c>
    </row>
    <row r="21" spans="1:18">
      <c r="A21" s="1" t="s">
        <v>137</v>
      </c>
      <c r="B21" s="1" t="s">
        <v>140</v>
      </c>
      <c r="C21" s="1" t="s">
        <v>141</v>
      </c>
      <c r="D21" s="6">
        <f>'2012 pax'!Q21</f>
        <v>532130</v>
      </c>
      <c r="E21" s="10">
        <v>47134</v>
      </c>
      <c r="F21" s="10">
        <v>36196</v>
      </c>
      <c r="G21" s="10">
        <v>39344</v>
      </c>
      <c r="H21" s="10">
        <v>38668</v>
      </c>
      <c r="I21" s="10">
        <v>39361</v>
      </c>
      <c r="J21" s="10">
        <v>38814</v>
      </c>
      <c r="K21" s="10">
        <v>46002</v>
      </c>
      <c r="L21" s="10">
        <v>38230</v>
      </c>
      <c r="M21" s="10">
        <v>41494</v>
      </c>
      <c r="N21" s="10">
        <v>43679</v>
      </c>
      <c r="O21" s="10">
        <v>39844</v>
      </c>
      <c r="P21" s="10">
        <v>53624</v>
      </c>
      <c r="Q21" s="6">
        <f t="shared" si="1"/>
        <v>502390</v>
      </c>
      <c r="R21" s="15">
        <f t="shared" si="0"/>
        <v>-5.5888598650705612E-2</v>
      </c>
    </row>
    <row r="22" spans="1:18">
      <c r="A22" s="1" t="s">
        <v>137</v>
      </c>
      <c r="B22" s="1" t="s">
        <v>174</v>
      </c>
      <c r="C22" s="1" t="s">
        <v>175</v>
      </c>
      <c r="D22" s="6">
        <f>'2012 pax'!Q22</f>
        <v>323940</v>
      </c>
      <c r="E22" s="10">
        <v>20119</v>
      </c>
      <c r="F22" s="10">
        <v>17230</v>
      </c>
      <c r="G22" s="10">
        <v>24709</v>
      </c>
      <c r="H22" s="10">
        <v>26801</v>
      </c>
      <c r="I22" s="10">
        <v>38333</v>
      </c>
      <c r="J22" s="10">
        <v>32914</v>
      </c>
      <c r="K22" s="10">
        <v>36058</v>
      </c>
      <c r="L22" s="10">
        <v>31227</v>
      </c>
      <c r="M22" s="10">
        <v>29997</v>
      </c>
      <c r="N22" s="10">
        <v>22079</v>
      </c>
      <c r="O22" s="10">
        <v>29430</v>
      </c>
      <c r="P22" s="10">
        <v>29386</v>
      </c>
      <c r="Q22" s="6">
        <f t="shared" si="1"/>
        <v>338283</v>
      </c>
      <c r="R22" s="15">
        <f t="shared" si="0"/>
        <v>4.4276717910724184E-2</v>
      </c>
    </row>
    <row r="23" spans="1:18">
      <c r="A23" s="1" t="s">
        <v>137</v>
      </c>
      <c r="B23" s="7" t="s">
        <v>196</v>
      </c>
      <c r="C23" s="7" t="s">
        <v>197</v>
      </c>
      <c r="D23" s="6">
        <f>'2012 pax'!Q23</f>
        <v>154703</v>
      </c>
      <c r="E23" s="10">
        <v>12615</v>
      </c>
      <c r="F23" s="10">
        <v>11217</v>
      </c>
      <c r="G23" s="10">
        <v>12013</v>
      </c>
      <c r="H23" s="10">
        <v>13785</v>
      </c>
      <c r="I23" s="10">
        <v>13353</v>
      </c>
      <c r="J23" s="10">
        <v>12732</v>
      </c>
      <c r="K23" s="10">
        <v>11986</v>
      </c>
      <c r="L23" s="10">
        <v>12378</v>
      </c>
      <c r="M23" s="10">
        <v>10774</v>
      </c>
      <c r="N23" s="10">
        <v>11449</v>
      </c>
      <c r="O23" s="10">
        <v>10506</v>
      </c>
      <c r="P23" s="10">
        <v>12347</v>
      </c>
      <c r="Q23" s="6">
        <f t="shared" si="1"/>
        <v>145155</v>
      </c>
      <c r="R23" s="15">
        <f t="shared" si="0"/>
        <v>-6.1718260150094073E-2</v>
      </c>
    </row>
    <row r="24" spans="1:18">
      <c r="A24" s="1" t="s">
        <v>137</v>
      </c>
      <c r="B24" s="1" t="s">
        <v>158</v>
      </c>
      <c r="C24" s="1" t="s">
        <v>159</v>
      </c>
      <c r="D24" s="6">
        <f>'2012 pax'!Q24</f>
        <v>1252359</v>
      </c>
      <c r="E24" s="10">
        <v>125353</v>
      </c>
      <c r="F24" s="10">
        <v>91751</v>
      </c>
      <c r="G24" s="10">
        <v>93860</v>
      </c>
      <c r="H24" s="10">
        <v>94190</v>
      </c>
      <c r="I24" s="10">
        <v>99664</v>
      </c>
      <c r="J24" s="10">
        <v>98016</v>
      </c>
      <c r="K24" s="10">
        <v>118489</v>
      </c>
      <c r="L24" s="10">
        <v>96858</v>
      </c>
      <c r="M24" s="10">
        <v>84556</v>
      </c>
      <c r="N24" s="10">
        <v>98744</v>
      </c>
      <c r="O24" s="10">
        <v>97960</v>
      </c>
      <c r="P24" s="10">
        <v>111429</v>
      </c>
      <c r="Q24" s="6">
        <f t="shared" si="1"/>
        <v>1210870</v>
      </c>
      <c r="R24" s="15">
        <f t="shared" si="0"/>
        <v>-3.3128679555942009E-2</v>
      </c>
    </row>
    <row r="25" spans="1:18">
      <c r="A25" s="1" t="s">
        <v>137</v>
      </c>
      <c r="B25" s="3" t="s">
        <v>228</v>
      </c>
      <c r="C25" s="3" t="s">
        <v>229</v>
      </c>
      <c r="D25" s="6">
        <f>'2012 pax'!Q25</f>
        <v>423114</v>
      </c>
      <c r="E25" s="10">
        <v>29200</v>
      </c>
      <c r="F25" s="10">
        <v>26080</v>
      </c>
      <c r="G25" s="10">
        <v>24774</v>
      </c>
      <c r="H25" s="10">
        <v>29831</v>
      </c>
      <c r="I25" s="10">
        <v>30600</v>
      </c>
      <c r="J25" s="10">
        <v>28141</v>
      </c>
      <c r="K25" s="10">
        <v>31402</v>
      </c>
      <c r="L25" s="10">
        <v>33351</v>
      </c>
      <c r="M25" s="10">
        <v>36823</v>
      </c>
      <c r="N25" s="10">
        <v>43938</v>
      </c>
      <c r="O25" s="10">
        <v>0</v>
      </c>
      <c r="P25" s="10">
        <v>43065</v>
      </c>
      <c r="Q25" s="6">
        <f t="shared" si="1"/>
        <v>357205</v>
      </c>
      <c r="R25" s="15">
        <f t="shared" si="0"/>
        <v>-0.15577125786431079</v>
      </c>
    </row>
    <row r="26" spans="1:18">
      <c r="A26" s="1" t="s">
        <v>137</v>
      </c>
      <c r="B26" s="1" t="s">
        <v>160</v>
      </c>
      <c r="C26" s="1" t="s">
        <v>161</v>
      </c>
      <c r="D26" s="6">
        <f>'2012 pax'!Q26</f>
        <v>451087</v>
      </c>
      <c r="E26" s="10">
        <v>40632</v>
      </c>
      <c r="F26" s="10">
        <v>25645</v>
      </c>
      <c r="G26" s="10">
        <v>25685</v>
      </c>
      <c r="H26" s="10">
        <v>26125</v>
      </c>
      <c r="I26" s="10">
        <v>29511</v>
      </c>
      <c r="J26" s="10">
        <v>31248</v>
      </c>
      <c r="K26" s="10">
        <v>38683</v>
      </c>
      <c r="L26" s="10">
        <v>32354</v>
      </c>
      <c r="M26" s="10">
        <v>31537</v>
      </c>
      <c r="N26" s="10">
        <v>33832</v>
      </c>
      <c r="O26" s="10">
        <v>34776</v>
      </c>
      <c r="P26" s="10">
        <v>37962</v>
      </c>
      <c r="Q26" s="6">
        <f t="shared" si="1"/>
        <v>387990</v>
      </c>
      <c r="R26" s="15">
        <f t="shared" si="0"/>
        <v>-0.1398776732648026</v>
      </c>
    </row>
    <row r="27" spans="1:18">
      <c r="A27" s="1" t="s">
        <v>137</v>
      </c>
      <c r="B27" s="3" t="s">
        <v>230</v>
      </c>
      <c r="C27" s="3" t="s">
        <v>231</v>
      </c>
      <c r="D27" s="6">
        <f>'2012 pax'!Q27</f>
        <v>1098768</v>
      </c>
      <c r="E27" s="10">
        <v>87675</v>
      </c>
      <c r="F27" s="10">
        <v>69333</v>
      </c>
      <c r="G27" s="10">
        <v>84989</v>
      </c>
      <c r="H27" s="10">
        <v>81291</v>
      </c>
      <c r="I27" s="10">
        <v>82766</v>
      </c>
      <c r="J27" s="10">
        <v>84776</v>
      </c>
      <c r="K27" s="10">
        <v>93239</v>
      </c>
      <c r="L27" s="10">
        <v>82918</v>
      </c>
      <c r="M27" s="10">
        <v>88011</v>
      </c>
      <c r="N27" s="10">
        <v>96726</v>
      </c>
      <c r="O27" s="10">
        <v>96484</v>
      </c>
      <c r="P27" s="10">
        <v>103003</v>
      </c>
      <c r="Q27" s="6">
        <f t="shared" si="1"/>
        <v>1051211</v>
      </c>
      <c r="R27" s="15">
        <f t="shared" si="0"/>
        <v>-4.3282112329445344E-2</v>
      </c>
    </row>
    <row r="28" spans="1:18">
      <c r="A28" s="1" t="s">
        <v>137</v>
      </c>
      <c r="B28" s="1" t="s">
        <v>198</v>
      </c>
      <c r="C28" s="1" t="s">
        <v>199</v>
      </c>
      <c r="D28" s="6">
        <f>'2012 pax'!Q28</f>
        <v>431899</v>
      </c>
      <c r="E28" s="10">
        <v>34075</v>
      </c>
      <c r="F28" s="10">
        <v>32970</v>
      </c>
      <c r="G28" s="10">
        <v>36832</v>
      </c>
      <c r="H28" s="10">
        <v>31775</v>
      </c>
      <c r="I28" s="10">
        <v>43099</v>
      </c>
      <c r="J28" s="10">
        <v>37801</v>
      </c>
      <c r="K28" s="10">
        <v>34875</v>
      </c>
      <c r="L28" s="10">
        <v>38530</v>
      </c>
      <c r="M28" s="10">
        <v>36799</v>
      </c>
      <c r="N28" s="10">
        <v>37437</v>
      </c>
      <c r="O28" s="10">
        <v>33404</v>
      </c>
      <c r="P28" s="10">
        <v>35702</v>
      </c>
      <c r="Q28" s="6">
        <f t="shared" si="1"/>
        <v>433299</v>
      </c>
      <c r="R28" s="15">
        <f t="shared" si="0"/>
        <v>3.2414985911057848E-3</v>
      </c>
    </row>
    <row r="29" spans="1:18">
      <c r="A29" s="1" t="s">
        <v>137</v>
      </c>
      <c r="B29" s="1" t="s">
        <v>178</v>
      </c>
      <c r="C29" s="1" t="s">
        <v>179</v>
      </c>
      <c r="D29" s="6">
        <f>'2012 pax'!Q29</f>
        <v>573560</v>
      </c>
      <c r="E29" s="10">
        <v>42710</v>
      </c>
      <c r="F29" s="10">
        <v>28888</v>
      </c>
      <c r="G29" s="10">
        <v>44388</v>
      </c>
      <c r="H29" s="10">
        <v>49199</v>
      </c>
      <c r="I29" s="10">
        <v>68942</v>
      </c>
      <c r="J29" s="10">
        <v>51400</v>
      </c>
      <c r="K29" s="10">
        <v>68511</v>
      </c>
      <c r="L29" s="10">
        <v>54649</v>
      </c>
      <c r="M29" s="10">
        <v>47857</v>
      </c>
      <c r="N29" s="10">
        <v>44008</v>
      </c>
      <c r="O29" s="10">
        <v>56607</v>
      </c>
      <c r="P29" s="10">
        <v>67557</v>
      </c>
      <c r="Q29" s="6">
        <f t="shared" si="1"/>
        <v>624716</v>
      </c>
      <c r="R29" s="15">
        <f t="shared" si="0"/>
        <v>8.9190320106004695E-2</v>
      </c>
    </row>
    <row r="30" spans="1:18">
      <c r="A30" s="1" t="s">
        <v>137</v>
      </c>
      <c r="B30" s="1" t="s">
        <v>142</v>
      </c>
      <c r="C30" s="1" t="s">
        <v>143</v>
      </c>
      <c r="D30" s="6">
        <f>'2012 pax'!Q30</f>
        <v>1711868</v>
      </c>
      <c r="E30" s="10">
        <v>187842</v>
      </c>
      <c r="F30" s="10">
        <v>142471</v>
      </c>
      <c r="G30" s="10">
        <v>161989</v>
      </c>
      <c r="H30" s="10">
        <v>138572</v>
      </c>
      <c r="I30" s="10">
        <v>195922</v>
      </c>
      <c r="J30" s="10">
        <v>139537</v>
      </c>
      <c r="K30" s="10">
        <v>145283</v>
      </c>
      <c r="L30" s="10">
        <v>143961</v>
      </c>
      <c r="M30" s="10">
        <v>133343</v>
      </c>
      <c r="N30" s="10">
        <v>165995</v>
      </c>
      <c r="O30" s="10">
        <v>155428</v>
      </c>
      <c r="P30" s="10">
        <v>183145</v>
      </c>
      <c r="Q30" s="6">
        <f t="shared" si="1"/>
        <v>1893488</v>
      </c>
      <c r="R30" s="15">
        <f t="shared" si="0"/>
        <v>0.10609462879147213</v>
      </c>
    </row>
    <row r="31" spans="1:18">
      <c r="A31" s="1" t="s">
        <v>137</v>
      </c>
      <c r="B31" s="1" t="s">
        <v>188</v>
      </c>
      <c r="C31" s="1" t="s">
        <v>189</v>
      </c>
      <c r="D31" s="6">
        <f>'2012 pax'!Q31</f>
        <v>3126179</v>
      </c>
      <c r="E31" s="10">
        <v>287225</v>
      </c>
      <c r="F31" s="10">
        <v>230435</v>
      </c>
      <c r="G31" s="10">
        <v>174106</v>
      </c>
      <c r="H31" s="10">
        <v>304289</v>
      </c>
      <c r="I31" s="10">
        <v>242870</v>
      </c>
      <c r="J31" s="10">
        <v>246167</v>
      </c>
      <c r="K31" s="10">
        <v>289086</v>
      </c>
      <c r="L31" s="10">
        <v>260262</v>
      </c>
      <c r="M31" s="10">
        <v>221639</v>
      </c>
      <c r="N31" s="10">
        <v>269203</v>
      </c>
      <c r="O31" s="10">
        <v>257565</v>
      </c>
      <c r="P31" s="10">
        <v>294230</v>
      </c>
      <c r="Q31" s="6">
        <f t="shared" si="1"/>
        <v>3077077</v>
      </c>
      <c r="R31" s="15">
        <f t="shared" si="0"/>
        <v>-1.5706714170877656E-2</v>
      </c>
    </row>
    <row r="32" spans="1:18">
      <c r="A32" s="1" t="s">
        <v>137</v>
      </c>
      <c r="B32" s="1" t="s">
        <v>176</v>
      </c>
      <c r="C32" s="1" t="s">
        <v>177</v>
      </c>
      <c r="D32" s="6">
        <f>'2012 pax'!Q32</f>
        <v>380439</v>
      </c>
      <c r="E32" s="10">
        <v>31074</v>
      </c>
      <c r="F32" s="10">
        <v>28763</v>
      </c>
      <c r="G32" s="10">
        <v>33369</v>
      </c>
      <c r="H32" s="10">
        <v>39236</v>
      </c>
      <c r="I32" s="10">
        <v>59442</v>
      </c>
      <c r="J32" s="10">
        <v>40146</v>
      </c>
      <c r="K32" s="10">
        <v>43054</v>
      </c>
      <c r="L32" s="10">
        <v>33522</v>
      </c>
      <c r="M32" s="10">
        <v>31185</v>
      </c>
      <c r="N32" s="10">
        <v>37195</v>
      </c>
      <c r="O32" s="10">
        <v>37701</v>
      </c>
      <c r="P32" s="10">
        <v>43419</v>
      </c>
      <c r="Q32" s="6">
        <f t="shared" si="1"/>
        <v>458106</v>
      </c>
      <c r="R32" s="15">
        <f t="shared" si="0"/>
        <v>0.20415099398326664</v>
      </c>
    </row>
    <row r="33" spans="1:18">
      <c r="A33" s="1" t="s">
        <v>137</v>
      </c>
      <c r="B33" s="3" t="s">
        <v>206</v>
      </c>
      <c r="C33" s="3" t="s">
        <v>207</v>
      </c>
      <c r="D33" s="6">
        <f>'2012 pax'!Q33</f>
        <v>322176</v>
      </c>
      <c r="E33" s="10">
        <v>25767</v>
      </c>
      <c r="F33" s="10">
        <v>22027</v>
      </c>
      <c r="G33" s="10">
        <v>25196</v>
      </c>
      <c r="H33" s="10">
        <v>26443</v>
      </c>
      <c r="I33" s="10">
        <v>26971</v>
      </c>
      <c r="J33" s="10">
        <v>25431</v>
      </c>
      <c r="K33" s="10">
        <v>27214</v>
      </c>
      <c r="L33" s="10">
        <v>26772</v>
      </c>
      <c r="M33" s="10">
        <v>28936</v>
      </c>
      <c r="N33" s="10">
        <v>30571</v>
      </c>
      <c r="O33" s="10">
        <v>30495</v>
      </c>
      <c r="P33" s="10">
        <v>30879</v>
      </c>
      <c r="Q33" s="6">
        <f t="shared" si="1"/>
        <v>326702</v>
      </c>
      <c r="R33" s="15">
        <f t="shared" si="0"/>
        <v>1.4048222089789508E-2</v>
      </c>
    </row>
    <row r="34" spans="1:18">
      <c r="A34" s="1" t="s">
        <v>137</v>
      </c>
      <c r="B34" s="1" t="s">
        <v>164</v>
      </c>
      <c r="C34" s="1" t="s">
        <v>165</v>
      </c>
      <c r="D34" s="6">
        <f>'2012 pax'!Q34</f>
        <v>2660864</v>
      </c>
      <c r="E34" s="10">
        <v>270650</v>
      </c>
      <c r="F34" s="10">
        <v>191727</v>
      </c>
      <c r="G34" s="10">
        <v>198058</v>
      </c>
      <c r="H34" s="10">
        <v>184446</v>
      </c>
      <c r="I34" s="10">
        <v>190928</v>
      </c>
      <c r="J34" s="10">
        <v>181374</v>
      </c>
      <c r="K34" s="10">
        <v>209904</v>
      </c>
      <c r="L34" s="10">
        <v>186433</v>
      </c>
      <c r="M34" s="10">
        <v>164358</v>
      </c>
      <c r="N34" s="10">
        <v>205302</v>
      </c>
      <c r="O34" s="10">
        <v>200310</v>
      </c>
      <c r="P34" s="10">
        <v>192281</v>
      </c>
      <c r="Q34" s="6">
        <f t="shared" si="1"/>
        <v>2375771</v>
      </c>
      <c r="R34" s="15">
        <f t="shared" si="0"/>
        <v>-0.10714301820761973</v>
      </c>
    </row>
    <row r="35" spans="1:18">
      <c r="A35" s="1" t="s">
        <v>137</v>
      </c>
      <c r="B35" s="3" t="s">
        <v>232</v>
      </c>
      <c r="C35" s="3" t="s">
        <v>233</v>
      </c>
      <c r="D35" s="6">
        <f>'2012 pax'!Q35</f>
        <v>1279533</v>
      </c>
      <c r="E35" s="10">
        <v>115926</v>
      </c>
      <c r="F35" s="10">
        <v>90034</v>
      </c>
      <c r="G35" s="10">
        <v>96444</v>
      </c>
      <c r="H35" s="10">
        <v>99602</v>
      </c>
      <c r="I35" s="10">
        <v>99276</v>
      </c>
      <c r="J35" s="10">
        <v>84182</v>
      </c>
      <c r="K35" s="10">
        <v>102287</v>
      </c>
      <c r="L35" s="10">
        <v>90368</v>
      </c>
      <c r="M35" s="10">
        <v>91137</v>
      </c>
      <c r="N35" s="10">
        <v>112598</v>
      </c>
      <c r="O35" s="10">
        <v>108074</v>
      </c>
      <c r="P35" s="10">
        <v>112697</v>
      </c>
      <c r="Q35" s="6">
        <f t="shared" si="1"/>
        <v>1202625</v>
      </c>
      <c r="R35" s="15">
        <f t="shared" si="0"/>
        <v>-6.0106304409499378E-2</v>
      </c>
    </row>
    <row r="36" spans="1:18">
      <c r="A36" s="1" t="s">
        <v>137</v>
      </c>
      <c r="B36" s="1" t="s">
        <v>154</v>
      </c>
      <c r="C36" s="1" t="s">
        <v>155</v>
      </c>
      <c r="D36" s="6">
        <f>'2012 pax'!Q36</f>
        <v>579395</v>
      </c>
      <c r="E36" s="10">
        <v>41784</v>
      </c>
      <c r="F36" s="10">
        <v>34497</v>
      </c>
      <c r="G36" s="10">
        <v>44773</v>
      </c>
      <c r="H36" s="10">
        <v>46765</v>
      </c>
      <c r="I36" s="10">
        <v>54910</v>
      </c>
      <c r="J36" s="10">
        <v>52029</v>
      </c>
      <c r="K36" s="10">
        <v>59502</v>
      </c>
      <c r="L36" s="10">
        <v>47548</v>
      </c>
      <c r="M36" s="10">
        <v>41527</v>
      </c>
      <c r="N36" s="10">
        <v>40633</v>
      </c>
      <c r="O36" s="10">
        <v>47405</v>
      </c>
      <c r="P36" s="10">
        <v>52115</v>
      </c>
      <c r="Q36" s="6">
        <f t="shared" si="1"/>
        <v>563488</v>
      </c>
      <c r="R36" s="15">
        <f t="shared" si="0"/>
        <v>-2.7454499952536682E-2</v>
      </c>
    </row>
    <row r="37" spans="1:18">
      <c r="A37" s="1" t="s">
        <v>137</v>
      </c>
      <c r="B37" s="7" t="s">
        <v>202</v>
      </c>
      <c r="C37" s="7" t="s">
        <v>203</v>
      </c>
      <c r="D37" s="6">
        <f>'2012 pax'!Q37</f>
        <v>769581</v>
      </c>
      <c r="E37" s="10">
        <v>72949</v>
      </c>
      <c r="F37" s="10">
        <v>69862</v>
      </c>
      <c r="G37" s="10">
        <v>84399</v>
      </c>
      <c r="H37" s="10">
        <v>87271</v>
      </c>
      <c r="I37" s="10">
        <v>88419</v>
      </c>
      <c r="J37" s="10">
        <v>84462</v>
      </c>
      <c r="K37" s="10">
        <v>90548</v>
      </c>
      <c r="L37" s="10">
        <v>89408</v>
      </c>
      <c r="M37" s="10">
        <v>81409</v>
      </c>
      <c r="N37" s="10">
        <v>84777</v>
      </c>
      <c r="O37" s="10">
        <v>80405</v>
      </c>
      <c r="P37" s="10">
        <v>75423</v>
      </c>
      <c r="Q37" s="6">
        <f t="shared" si="1"/>
        <v>989332</v>
      </c>
      <c r="R37" s="15">
        <f t="shared" si="0"/>
        <v>0.28554629077381066</v>
      </c>
    </row>
    <row r="38" spans="1:18">
      <c r="A38" s="1" t="s">
        <v>137</v>
      </c>
      <c r="B38" s="1" t="s">
        <v>166</v>
      </c>
      <c r="C38" s="1" t="s">
        <v>167</v>
      </c>
      <c r="D38" s="6">
        <f>'2012 pax'!Q38</f>
        <v>458588</v>
      </c>
      <c r="E38" s="10">
        <v>40589</v>
      </c>
      <c r="F38" s="10">
        <v>32540</v>
      </c>
      <c r="G38" s="10">
        <v>38552</v>
      </c>
      <c r="H38" s="10">
        <v>39526</v>
      </c>
      <c r="I38" s="10">
        <v>41936</v>
      </c>
      <c r="J38" s="10">
        <v>41716</v>
      </c>
      <c r="K38" s="10">
        <v>42364</v>
      </c>
      <c r="L38" s="10">
        <v>38033</v>
      </c>
      <c r="M38" s="10">
        <v>37035</v>
      </c>
      <c r="N38" s="10">
        <v>40105</v>
      </c>
      <c r="O38" s="10">
        <v>38379</v>
      </c>
      <c r="P38" s="10">
        <v>42707</v>
      </c>
      <c r="Q38" s="6">
        <f t="shared" si="1"/>
        <v>473482</v>
      </c>
      <c r="R38" s="15">
        <f t="shared" si="0"/>
        <v>3.2477954067703374E-2</v>
      </c>
    </row>
    <row r="39" spans="1:18">
      <c r="A39" s="1" t="s">
        <v>137</v>
      </c>
      <c r="B39" s="3" t="s">
        <v>234</v>
      </c>
      <c r="C39" s="3" t="s">
        <v>235</v>
      </c>
      <c r="D39" s="6">
        <f>'2012 pax'!Q39</f>
        <v>8261355</v>
      </c>
      <c r="E39" s="10">
        <v>673028</v>
      </c>
      <c r="F39" s="10">
        <v>573691</v>
      </c>
      <c r="G39" s="10">
        <v>518346</v>
      </c>
      <c r="H39" s="10">
        <v>746352</v>
      </c>
      <c r="I39" s="10">
        <v>639790</v>
      </c>
      <c r="J39" s="10">
        <v>627601</v>
      </c>
      <c r="K39" s="10">
        <v>715611</v>
      </c>
      <c r="L39" s="10">
        <v>672938</v>
      </c>
      <c r="M39" s="10">
        <v>669005</v>
      </c>
      <c r="N39" s="10">
        <v>704101</v>
      </c>
      <c r="O39" s="10">
        <v>721241</v>
      </c>
      <c r="P39" s="10">
        <v>731460</v>
      </c>
      <c r="Q39" s="6">
        <f t="shared" si="1"/>
        <v>7993164</v>
      </c>
      <c r="R39" s="15">
        <f t="shared" si="0"/>
        <v>-3.2463318668668806E-2</v>
      </c>
    </row>
    <row r="40" spans="1:18">
      <c r="A40" s="1" t="s">
        <v>137</v>
      </c>
      <c r="B40" s="1" t="s">
        <v>190</v>
      </c>
      <c r="C40" s="1" t="s">
        <v>191</v>
      </c>
      <c r="D40" s="6">
        <f>'2012 pax'!Q40</f>
        <v>1050682</v>
      </c>
      <c r="E40" s="10">
        <v>94851</v>
      </c>
      <c r="F40" s="10">
        <v>73210</v>
      </c>
      <c r="G40" s="10">
        <v>51723</v>
      </c>
      <c r="H40" s="10">
        <v>69545</v>
      </c>
      <c r="I40" s="10">
        <v>76469</v>
      </c>
      <c r="J40" s="10">
        <v>77972</v>
      </c>
      <c r="K40" s="10">
        <v>85934</v>
      </c>
      <c r="L40" s="10">
        <v>73660</v>
      </c>
      <c r="M40" s="10">
        <v>68706</v>
      </c>
      <c r="N40" s="10">
        <v>75069</v>
      </c>
      <c r="O40" s="10">
        <v>72517</v>
      </c>
      <c r="P40" s="10">
        <v>85447</v>
      </c>
      <c r="Q40" s="6">
        <f t="shared" si="1"/>
        <v>905103</v>
      </c>
      <c r="R40" s="15">
        <f t="shared" si="0"/>
        <v>-0.13855667081000722</v>
      </c>
    </row>
    <row r="41" spans="1:18">
      <c r="A41" s="1" t="s">
        <v>137</v>
      </c>
      <c r="B41" s="1" t="s">
        <v>168</v>
      </c>
      <c r="C41" s="1" t="s">
        <v>169</v>
      </c>
      <c r="D41" s="6">
        <f>'2012 pax'!Q41</f>
        <v>6403416</v>
      </c>
      <c r="E41" s="10">
        <v>579702</v>
      </c>
      <c r="F41" s="10">
        <v>475827</v>
      </c>
      <c r="G41" s="10">
        <v>527803</v>
      </c>
      <c r="H41" s="10">
        <v>516876</v>
      </c>
      <c r="I41" s="10">
        <v>589336</v>
      </c>
      <c r="J41" s="10">
        <v>574234</v>
      </c>
      <c r="K41" s="10">
        <v>644112</v>
      </c>
      <c r="L41" s="10">
        <v>576834</v>
      </c>
      <c r="M41" s="10">
        <v>569675</v>
      </c>
      <c r="N41" s="10">
        <v>600406</v>
      </c>
      <c r="O41" s="10">
        <v>577422</v>
      </c>
      <c r="P41" s="10">
        <v>585563</v>
      </c>
      <c r="Q41" s="6">
        <f t="shared" si="1"/>
        <v>6817790</v>
      </c>
      <c r="R41" s="15">
        <f t="shared" si="0"/>
        <v>6.4711397791428871E-2</v>
      </c>
    </row>
    <row r="42" spans="1:18">
      <c r="A42" s="1" t="s">
        <v>137</v>
      </c>
      <c r="B42" s="1" t="s">
        <v>192</v>
      </c>
      <c r="C42" s="1" t="s">
        <v>193</v>
      </c>
      <c r="D42" s="6">
        <f>'2012 pax'!Q42</f>
        <v>382469</v>
      </c>
      <c r="E42" s="10">
        <v>20912</v>
      </c>
      <c r="F42" s="10">
        <v>25562</v>
      </c>
      <c r="G42" s="10">
        <v>25936</v>
      </c>
      <c r="H42" s="10">
        <v>29574</v>
      </c>
      <c r="I42" s="10">
        <v>49833</v>
      </c>
      <c r="J42" s="10">
        <v>32893</v>
      </c>
      <c r="K42" s="10">
        <v>34316</v>
      </c>
      <c r="L42" s="10">
        <v>31223</v>
      </c>
      <c r="M42" s="10">
        <v>30431</v>
      </c>
      <c r="N42" s="10">
        <v>29629</v>
      </c>
      <c r="O42" s="10">
        <v>32511</v>
      </c>
      <c r="P42" s="10">
        <v>35310</v>
      </c>
      <c r="Q42" s="6">
        <f t="shared" si="1"/>
        <v>378130</v>
      </c>
      <c r="R42" s="15">
        <f t="shared" si="0"/>
        <v>-1.1344710290245752E-2</v>
      </c>
    </row>
    <row r="43" spans="1:18">
      <c r="A43" s="1" t="s">
        <v>137</v>
      </c>
      <c r="B43" s="1" t="s">
        <v>144</v>
      </c>
      <c r="C43" s="1" t="s">
        <v>145</v>
      </c>
      <c r="D43" s="6">
        <f>'2012 pax'!Q43</f>
        <v>8528837</v>
      </c>
      <c r="E43" s="10">
        <v>796763</v>
      </c>
      <c r="F43" s="10">
        <v>643540</v>
      </c>
      <c r="G43" s="10">
        <v>644758</v>
      </c>
      <c r="H43" s="10">
        <v>619745</v>
      </c>
      <c r="I43" s="10">
        <v>836302</v>
      </c>
      <c r="J43" s="10">
        <v>672684</v>
      </c>
      <c r="K43" s="10">
        <v>748873</v>
      </c>
      <c r="L43" s="10">
        <v>677836</v>
      </c>
      <c r="M43" s="10">
        <v>670301</v>
      </c>
      <c r="N43" s="10">
        <v>660634</v>
      </c>
      <c r="O43" s="10">
        <v>711953</v>
      </c>
      <c r="P43" s="10">
        <v>792254</v>
      </c>
      <c r="Q43" s="6">
        <f t="shared" si="1"/>
        <v>8475643</v>
      </c>
      <c r="R43" s="15">
        <f t="shared" si="0"/>
        <v>-6.2369582159912396E-3</v>
      </c>
    </row>
    <row r="44" spans="1:18">
      <c r="A44" s="1" t="s">
        <v>137</v>
      </c>
      <c r="B44" s="1" t="s">
        <v>182</v>
      </c>
      <c r="C44" s="1" t="s">
        <v>183</v>
      </c>
      <c r="D44" s="6">
        <f>'2012 pax'!Q44</f>
        <v>487585</v>
      </c>
      <c r="E44" s="10">
        <v>34067</v>
      </c>
      <c r="F44" s="10">
        <v>27903</v>
      </c>
      <c r="G44" s="10">
        <v>30870</v>
      </c>
      <c r="H44" s="10">
        <v>30921</v>
      </c>
      <c r="I44" s="10">
        <v>54843</v>
      </c>
      <c r="J44" s="10">
        <v>40207</v>
      </c>
      <c r="K44" s="10">
        <v>49556</v>
      </c>
      <c r="L44" s="10">
        <v>44793</v>
      </c>
      <c r="M44" s="10">
        <v>45776</v>
      </c>
      <c r="N44" s="10">
        <v>47144</v>
      </c>
      <c r="O44" s="10">
        <v>40601</v>
      </c>
      <c r="P44" s="10">
        <v>52907</v>
      </c>
      <c r="Q44" s="6">
        <f t="shared" si="1"/>
        <v>499588</v>
      </c>
      <c r="R44" s="15">
        <f t="shared" si="0"/>
        <v>2.461724622373529E-2</v>
      </c>
    </row>
    <row r="45" spans="1:18">
      <c r="A45" s="1" t="s">
        <v>137</v>
      </c>
      <c r="B45" s="7" t="s">
        <v>200</v>
      </c>
      <c r="C45" s="7" t="s">
        <v>201</v>
      </c>
      <c r="D45" s="6">
        <f>'2012 pax'!Q45</f>
        <v>8960345</v>
      </c>
      <c r="E45" s="10">
        <v>730218</v>
      </c>
      <c r="F45" s="10">
        <v>620127</v>
      </c>
      <c r="G45" s="10">
        <v>741161</v>
      </c>
      <c r="H45" s="10">
        <v>793070</v>
      </c>
      <c r="I45" s="10">
        <v>799686</v>
      </c>
      <c r="J45" s="10">
        <v>695851</v>
      </c>
      <c r="K45" s="10">
        <v>780392</v>
      </c>
      <c r="L45" s="10">
        <v>759836</v>
      </c>
      <c r="M45" s="10">
        <v>776637</v>
      </c>
      <c r="N45" s="10">
        <v>785877</v>
      </c>
      <c r="O45" s="10">
        <v>819689</v>
      </c>
      <c r="P45" s="10">
        <v>799643</v>
      </c>
      <c r="Q45" s="6">
        <f t="shared" si="1"/>
        <v>9102187</v>
      </c>
      <c r="R45" s="15">
        <f t="shared" si="0"/>
        <v>1.5829970832596185E-2</v>
      </c>
    </row>
    <row r="46" spans="1:18">
      <c r="A46" s="1" t="s">
        <v>137</v>
      </c>
      <c r="B46" s="3" t="s">
        <v>218</v>
      </c>
      <c r="C46" s="3" t="s">
        <v>219</v>
      </c>
      <c r="D46" s="6">
        <f>'2012 pax'!Q46</f>
        <v>212536</v>
      </c>
      <c r="E46" s="10">
        <v>18414</v>
      </c>
      <c r="F46" s="10">
        <v>15916</v>
      </c>
      <c r="G46" s="10">
        <v>14677</v>
      </c>
      <c r="H46" s="10">
        <v>16802</v>
      </c>
      <c r="I46" s="10">
        <v>17454</v>
      </c>
      <c r="J46" s="10">
        <v>12792</v>
      </c>
      <c r="K46" s="10">
        <v>13582</v>
      </c>
      <c r="L46" s="10">
        <v>12323</v>
      </c>
      <c r="M46" s="10">
        <v>11382</v>
      </c>
      <c r="N46" s="10">
        <v>8894</v>
      </c>
      <c r="O46" s="10">
        <v>8722</v>
      </c>
      <c r="P46" s="10">
        <v>0</v>
      </c>
      <c r="Q46" s="6">
        <f t="shared" si="1"/>
        <v>150958</v>
      </c>
      <c r="R46" s="15">
        <f t="shared" si="0"/>
        <v>-0.28972973990288708</v>
      </c>
    </row>
    <row r="47" spans="1:18">
      <c r="A47" s="1" t="s">
        <v>137</v>
      </c>
      <c r="B47" s="1" t="s">
        <v>180</v>
      </c>
      <c r="C47" s="1" t="s">
        <v>181</v>
      </c>
      <c r="D47" s="6">
        <f>'2012 pax'!Q47</f>
        <v>1991099</v>
      </c>
      <c r="E47" s="10">
        <v>172628</v>
      </c>
      <c r="F47" s="10">
        <v>127842</v>
      </c>
      <c r="G47" s="10">
        <v>129437</v>
      </c>
      <c r="H47" s="10">
        <v>129867</v>
      </c>
      <c r="I47" s="10">
        <v>142831</v>
      </c>
      <c r="J47" s="10">
        <v>154670</v>
      </c>
      <c r="K47" s="10">
        <v>179567</v>
      </c>
      <c r="L47" s="10">
        <v>151481</v>
      </c>
      <c r="M47" s="10">
        <v>144042</v>
      </c>
      <c r="N47" s="10">
        <v>143435</v>
      </c>
      <c r="O47" s="10">
        <v>115717</v>
      </c>
      <c r="P47" s="10">
        <v>149139</v>
      </c>
      <c r="Q47" s="6">
        <f t="shared" si="1"/>
        <v>1740656</v>
      </c>
      <c r="R47" s="15">
        <f t="shared" si="0"/>
        <v>-0.12578128962949608</v>
      </c>
    </row>
    <row r="48" spans="1:18">
      <c r="A48" s="1" t="s">
        <v>137</v>
      </c>
      <c r="B48" s="1" t="s">
        <v>170</v>
      </c>
      <c r="C48" s="1" t="s">
        <v>171</v>
      </c>
      <c r="D48" s="6">
        <f>'2012 pax'!Q48</f>
        <v>1044861</v>
      </c>
      <c r="E48" s="10">
        <v>88437</v>
      </c>
      <c r="F48" s="10">
        <v>66907</v>
      </c>
      <c r="G48" s="10">
        <v>77759</v>
      </c>
      <c r="H48" s="10">
        <v>80950</v>
      </c>
      <c r="I48" s="10">
        <v>92260</v>
      </c>
      <c r="J48" s="10">
        <v>94928</v>
      </c>
      <c r="K48" s="10">
        <v>108912</v>
      </c>
      <c r="L48" s="10">
        <v>101882</v>
      </c>
      <c r="M48" s="10">
        <v>90184</v>
      </c>
      <c r="N48" s="10">
        <v>91347</v>
      </c>
      <c r="O48" s="10">
        <v>91623</v>
      </c>
      <c r="P48" s="10">
        <v>105984</v>
      </c>
      <c r="Q48" s="6">
        <f t="shared" si="1"/>
        <v>1091173</v>
      </c>
      <c r="R48" s="15">
        <f t="shared" si="0"/>
        <v>4.4323599024176374E-2</v>
      </c>
    </row>
    <row r="49" spans="1:21">
      <c r="A49" s="1" t="s">
        <v>137</v>
      </c>
      <c r="B49" s="1" t="s">
        <v>490</v>
      </c>
      <c r="C49" s="1" t="s">
        <v>491</v>
      </c>
      <c r="D49" s="6">
        <f>'2012 pax'!Q49</f>
        <v>177985</v>
      </c>
      <c r="E49" s="10">
        <v>11725</v>
      </c>
      <c r="F49" s="10">
        <v>11102</v>
      </c>
      <c r="G49" s="10">
        <v>12497</v>
      </c>
      <c r="H49" s="10">
        <v>13779</v>
      </c>
      <c r="I49" s="10">
        <v>14850</v>
      </c>
      <c r="J49" s="10">
        <v>11092</v>
      </c>
      <c r="K49" s="10">
        <v>11565</v>
      </c>
      <c r="L49" s="10">
        <v>13953</v>
      </c>
      <c r="M49" s="10">
        <v>11050</v>
      </c>
      <c r="N49" s="10">
        <v>11670</v>
      </c>
      <c r="O49" s="10">
        <v>11905</v>
      </c>
      <c r="P49" s="10">
        <v>12232</v>
      </c>
      <c r="Q49" s="6">
        <f t="shared" si="1"/>
        <v>147420</v>
      </c>
      <c r="R49" s="15">
        <f t="shared" si="0"/>
        <v>-0.17172795460291601</v>
      </c>
    </row>
    <row r="50" spans="1:21">
      <c r="A50" s="1" t="s">
        <v>137</v>
      </c>
      <c r="B50" s="3" t="s">
        <v>208</v>
      </c>
      <c r="C50" s="3" t="s">
        <v>209</v>
      </c>
      <c r="D50" s="6">
        <f>'2012 pax'!Q50</f>
        <v>1011073</v>
      </c>
      <c r="E50" s="10">
        <v>82191</v>
      </c>
      <c r="F50" s="10">
        <v>72517</v>
      </c>
      <c r="G50" s="10">
        <v>87648</v>
      </c>
      <c r="H50" s="10">
        <v>93150</v>
      </c>
      <c r="I50" s="10">
        <v>168799</v>
      </c>
      <c r="J50" s="10">
        <v>92745</v>
      </c>
      <c r="K50" s="10">
        <v>99587</v>
      </c>
      <c r="L50" s="10">
        <v>98901</v>
      </c>
      <c r="M50" s="10">
        <v>100226</v>
      </c>
      <c r="N50" s="10">
        <v>107845</v>
      </c>
      <c r="O50" s="10">
        <v>100748</v>
      </c>
      <c r="P50" s="10">
        <v>101330</v>
      </c>
      <c r="Q50" s="6">
        <f t="shared" si="1"/>
        <v>1205687</v>
      </c>
      <c r="R50" s="15">
        <f t="shared" si="0"/>
        <v>0.1924826397302668</v>
      </c>
    </row>
    <row r="51" spans="1:21">
      <c r="A51" s="1" t="s">
        <v>137</v>
      </c>
      <c r="B51" s="3" t="s">
        <v>210</v>
      </c>
      <c r="C51" s="3" t="s">
        <v>211</v>
      </c>
      <c r="D51" s="6">
        <f>'2012 pax'!Q51</f>
        <v>3642842</v>
      </c>
      <c r="E51" s="10">
        <v>321607</v>
      </c>
      <c r="F51" s="10">
        <v>262203</v>
      </c>
      <c r="G51" s="10">
        <v>280242</v>
      </c>
      <c r="H51" s="10">
        <v>278665</v>
      </c>
      <c r="I51" s="10">
        <v>284545</v>
      </c>
      <c r="J51" s="10">
        <v>272136</v>
      </c>
      <c r="K51" s="10">
        <v>292286</v>
      </c>
      <c r="L51" s="10">
        <v>243656</v>
      </c>
      <c r="M51" s="10">
        <v>283370</v>
      </c>
      <c r="N51" s="10">
        <v>306092</v>
      </c>
      <c r="O51" s="10">
        <v>304145</v>
      </c>
      <c r="P51" s="10">
        <v>321748</v>
      </c>
      <c r="Q51" s="6">
        <f t="shared" si="1"/>
        <v>3450695</v>
      </c>
      <c r="R51" s="15">
        <f t="shared" si="0"/>
        <v>-5.2746454553889488E-2</v>
      </c>
    </row>
    <row r="52" spans="1:21" ht="15.75">
      <c r="A52" s="1" t="s">
        <v>66</v>
      </c>
      <c r="B52" s="1" t="s">
        <v>362</v>
      </c>
      <c r="C52" s="7" t="s">
        <v>72</v>
      </c>
      <c r="D52" s="6">
        <f>'2012 pax'!Q52</f>
        <v>13654899</v>
      </c>
      <c r="E52" s="10">
        <v>1092384</v>
      </c>
      <c r="F52" s="10">
        <v>1053784</v>
      </c>
      <c r="G52" s="10">
        <v>1193078</v>
      </c>
      <c r="H52" s="10">
        <v>1144194</v>
      </c>
      <c r="I52" s="10">
        <v>1151024</v>
      </c>
      <c r="J52" s="10">
        <v>1160841</v>
      </c>
      <c r="K52" s="10">
        <v>1359310</v>
      </c>
      <c r="L52" s="10">
        <v>1438713</v>
      </c>
      <c r="M52" s="10">
        <v>1191818</v>
      </c>
      <c r="N52" s="10">
        <v>1206943</v>
      </c>
      <c r="O52" s="10">
        <v>1114268</v>
      </c>
      <c r="P52" s="10">
        <v>1211142</v>
      </c>
      <c r="Q52" s="6">
        <f t="shared" si="1"/>
        <v>14317499</v>
      </c>
      <c r="R52" s="15">
        <f t="shared" si="0"/>
        <v>4.8524708970751007E-2</v>
      </c>
    </row>
    <row r="53" spans="1:21">
      <c r="A53" s="1" t="s">
        <v>66</v>
      </c>
      <c r="B53" s="1" t="s">
        <v>73</v>
      </c>
      <c r="C53" s="7" t="s">
        <v>74</v>
      </c>
      <c r="D53" s="6">
        <f>'2012 pax'!Q53</f>
        <v>6676857</v>
      </c>
      <c r="E53" s="10">
        <v>551651</v>
      </c>
      <c r="F53" s="10">
        <v>541616</v>
      </c>
      <c r="G53" s="10">
        <v>594879</v>
      </c>
      <c r="H53" s="10">
        <v>572370</v>
      </c>
      <c r="I53" s="10">
        <v>573654</v>
      </c>
      <c r="J53" s="10">
        <v>557077</v>
      </c>
      <c r="K53" s="10">
        <v>629584</v>
      </c>
      <c r="L53" s="10">
        <v>663170</v>
      </c>
      <c r="M53" s="10">
        <v>557556</v>
      </c>
      <c r="N53" s="10">
        <v>568289</v>
      </c>
      <c r="O53" s="10">
        <v>558963</v>
      </c>
      <c r="P53" s="10">
        <v>614412</v>
      </c>
      <c r="Q53" s="6">
        <f t="shared" si="1"/>
        <v>6983221</v>
      </c>
      <c r="R53" s="15">
        <f t="shared" si="0"/>
        <v>4.5884463303617284E-2</v>
      </c>
      <c r="S53" s="10"/>
      <c r="T53" s="14"/>
      <c r="U53" s="10"/>
    </row>
    <row r="54" spans="1:21">
      <c r="A54" s="1" t="s">
        <v>66</v>
      </c>
      <c r="B54" s="1" t="s">
        <v>79</v>
      </c>
      <c r="C54" s="7" t="s">
        <v>80</v>
      </c>
      <c r="D54" s="6">
        <f>'2012 pax'!Q54</f>
        <v>3605701</v>
      </c>
      <c r="E54" s="10">
        <v>226999</v>
      </c>
      <c r="F54" s="10">
        <v>232961</v>
      </c>
      <c r="G54" s="10">
        <v>328082</v>
      </c>
      <c r="H54" s="10">
        <v>332421</v>
      </c>
      <c r="I54" s="10">
        <v>303804</v>
      </c>
      <c r="J54" s="10">
        <v>295946</v>
      </c>
      <c r="K54" s="10">
        <v>354930</v>
      </c>
      <c r="L54" s="10">
        <v>383117</v>
      </c>
      <c r="M54" s="10">
        <v>304861</v>
      </c>
      <c r="N54" s="10">
        <v>308110</v>
      </c>
      <c r="O54" s="10">
        <v>244363</v>
      </c>
      <c r="P54" s="10">
        <v>270270</v>
      </c>
      <c r="Q54" s="6">
        <f t="shared" si="1"/>
        <v>3585864</v>
      </c>
      <c r="R54" s="15">
        <f t="shared" si="0"/>
        <v>-5.5015654376222578E-3</v>
      </c>
    </row>
    <row r="55" spans="1:21">
      <c r="A55" s="1" t="s">
        <v>66</v>
      </c>
      <c r="B55" s="1" t="s">
        <v>83</v>
      </c>
      <c r="C55" s="7" t="s">
        <v>84</v>
      </c>
      <c r="D55" s="6">
        <f>'2012 pax'!Q55</f>
        <v>1440952</v>
      </c>
      <c r="E55" s="10">
        <v>127799</v>
      </c>
      <c r="F55" s="10">
        <v>125439</v>
      </c>
      <c r="G55" s="10">
        <v>133511</v>
      </c>
      <c r="H55" s="10">
        <v>111346</v>
      </c>
      <c r="I55" s="10">
        <v>113976</v>
      </c>
      <c r="J55" s="10">
        <v>117104</v>
      </c>
      <c r="K55" s="10">
        <v>133792</v>
      </c>
      <c r="L55" s="10">
        <v>143555</v>
      </c>
      <c r="M55" s="10">
        <v>120114</v>
      </c>
      <c r="N55" s="10">
        <v>123356</v>
      </c>
      <c r="O55" s="10">
        <v>117151</v>
      </c>
      <c r="P55" s="10">
        <v>136145</v>
      </c>
      <c r="Q55" s="6">
        <f t="shared" si="1"/>
        <v>1503288</v>
      </c>
      <c r="R55" s="15">
        <f t="shared" si="0"/>
        <v>4.3260289031140431E-2</v>
      </c>
    </row>
    <row r="56" spans="1:21" ht="15.75">
      <c r="A56" s="1" t="s">
        <v>66</v>
      </c>
      <c r="B56" s="1" t="s">
        <v>363</v>
      </c>
      <c r="C56" s="7" t="s">
        <v>71</v>
      </c>
      <c r="D56" s="6">
        <f>'2012 pax'!Q56</f>
        <v>13809820</v>
      </c>
      <c r="E56" s="10">
        <v>1134558</v>
      </c>
      <c r="F56" s="10">
        <v>1072426</v>
      </c>
      <c r="G56" s="10">
        <v>1284637</v>
      </c>
      <c r="H56" s="10">
        <v>1130416</v>
      </c>
      <c r="I56" s="10">
        <v>1107695</v>
      </c>
      <c r="J56" s="10">
        <v>1216275</v>
      </c>
      <c r="K56" s="10">
        <v>1360299</v>
      </c>
      <c r="L56" s="10">
        <v>1438727</v>
      </c>
      <c r="M56" s="10">
        <v>1170894</v>
      </c>
      <c r="N56" s="10">
        <v>1108480</v>
      </c>
      <c r="O56" s="10">
        <v>955976</v>
      </c>
      <c r="P56" s="10">
        <v>1111541</v>
      </c>
      <c r="Q56" s="6">
        <f t="shared" si="1"/>
        <v>14091924</v>
      </c>
      <c r="R56" s="15">
        <f t="shared" si="0"/>
        <v>2.0427782548939843E-2</v>
      </c>
      <c r="S56" s="10"/>
    </row>
    <row r="57" spans="1:21">
      <c r="A57" s="1" t="s">
        <v>66</v>
      </c>
      <c r="B57" s="1" t="s">
        <v>75</v>
      </c>
      <c r="C57" s="7" t="s">
        <v>76</v>
      </c>
      <c r="D57" s="6">
        <f>'2012 pax'!Q57</f>
        <v>4685956</v>
      </c>
      <c r="E57" s="10">
        <v>378182</v>
      </c>
      <c r="F57" s="10">
        <v>381086</v>
      </c>
      <c r="G57" s="10">
        <v>426602</v>
      </c>
      <c r="H57" s="10">
        <v>379741</v>
      </c>
      <c r="I57" s="10">
        <v>377094</v>
      </c>
      <c r="J57" s="10">
        <v>371482</v>
      </c>
      <c r="K57" s="10">
        <v>382084</v>
      </c>
      <c r="L57" s="10">
        <v>407946</v>
      </c>
      <c r="M57" s="10">
        <v>359663</v>
      </c>
      <c r="N57" s="10">
        <v>378636</v>
      </c>
      <c r="O57" s="10">
        <v>351049</v>
      </c>
      <c r="P57" s="10">
        <v>384666</v>
      </c>
      <c r="Q57" s="6">
        <f t="shared" si="1"/>
        <v>4578231</v>
      </c>
      <c r="R57" s="15">
        <f t="shared" si="0"/>
        <v>-2.2988905572310148E-2</v>
      </c>
    </row>
    <row r="58" spans="1:21">
      <c r="A58" s="1" t="s">
        <v>66</v>
      </c>
      <c r="B58" s="1" t="s">
        <v>533</v>
      </c>
      <c r="C58" s="7" t="s">
        <v>534</v>
      </c>
      <c r="D58" s="6">
        <v>1342840</v>
      </c>
      <c r="E58" s="10">
        <v>136075</v>
      </c>
      <c r="F58" s="10">
        <v>137285</v>
      </c>
      <c r="G58" s="10">
        <v>156705</v>
      </c>
      <c r="H58" s="10">
        <v>125528</v>
      </c>
      <c r="I58" s="10">
        <v>92633</v>
      </c>
      <c r="J58" s="10">
        <v>100164</v>
      </c>
      <c r="K58" s="10">
        <v>116509</v>
      </c>
      <c r="L58" s="10">
        <v>115176</v>
      </c>
      <c r="M58" s="10">
        <v>103147</v>
      </c>
      <c r="N58" s="10">
        <v>103028</v>
      </c>
      <c r="O58" s="10">
        <v>95886</v>
      </c>
      <c r="P58" s="10">
        <v>121330</v>
      </c>
      <c r="Q58" s="6">
        <f t="shared" si="1"/>
        <v>1403466</v>
      </c>
      <c r="R58" s="15">
        <f t="shared" si="0"/>
        <v>4.5147597628905967E-2</v>
      </c>
    </row>
    <row r="59" spans="1:21">
      <c r="A59" s="1" t="s">
        <v>66</v>
      </c>
      <c r="B59" s="1" t="s">
        <v>67</v>
      </c>
      <c r="C59" s="7" t="s">
        <v>68</v>
      </c>
      <c r="D59" s="6">
        <f>'2012 pax'!Q59</f>
        <v>34912029</v>
      </c>
      <c r="E59" s="10">
        <v>2781425</v>
      </c>
      <c r="F59" s="10">
        <v>2565532</v>
      </c>
      <c r="G59" s="10">
        <v>3074281</v>
      </c>
      <c r="H59" s="10">
        <v>2881764</v>
      </c>
      <c r="I59" s="10">
        <v>2996758</v>
      </c>
      <c r="J59" s="10">
        <v>3093949</v>
      </c>
      <c r="K59" s="10">
        <v>3425760</v>
      </c>
      <c r="L59" s="10">
        <v>3649751</v>
      </c>
      <c r="M59" s="10">
        <v>3011280</v>
      </c>
      <c r="N59" s="10">
        <v>2947118</v>
      </c>
      <c r="O59" s="10">
        <v>2610686</v>
      </c>
      <c r="P59" s="10">
        <v>2978981</v>
      </c>
      <c r="Q59" s="6">
        <f t="shared" si="1"/>
        <v>36017285</v>
      </c>
      <c r="R59" s="15">
        <f t="shared" si="0"/>
        <v>3.1658314674291699E-2</v>
      </c>
    </row>
    <row r="60" spans="1:21">
      <c r="A60" s="1" t="s">
        <v>66</v>
      </c>
      <c r="B60" s="1" t="s">
        <v>69</v>
      </c>
      <c r="C60" s="7" t="s">
        <v>70</v>
      </c>
      <c r="D60" s="6">
        <f>'2012 pax'!Q60</f>
        <v>17596901</v>
      </c>
      <c r="E60" s="10">
        <v>1349201</v>
      </c>
      <c r="F60" s="10">
        <v>1270257</v>
      </c>
      <c r="G60" s="10">
        <v>1429669</v>
      </c>
      <c r="H60" s="10">
        <v>1364586</v>
      </c>
      <c r="I60" s="10">
        <v>1481471</v>
      </c>
      <c r="J60" s="10">
        <v>1611297</v>
      </c>
      <c r="K60" s="10">
        <v>1807834</v>
      </c>
      <c r="L60" s="10">
        <v>1932707</v>
      </c>
      <c r="M60" s="10">
        <v>1545839</v>
      </c>
      <c r="N60" s="10">
        <v>1408173</v>
      </c>
      <c r="O60" s="10">
        <v>1277168</v>
      </c>
      <c r="P60" s="10">
        <v>1493225</v>
      </c>
      <c r="Q60" s="6">
        <f t="shared" si="1"/>
        <v>17971427</v>
      </c>
      <c r="R60" s="15">
        <f t="shared" si="0"/>
        <v>2.1283633976232563E-2</v>
      </c>
    </row>
    <row r="61" spans="1:21">
      <c r="A61" s="1" t="s">
        <v>66</v>
      </c>
      <c r="B61" s="1" t="s">
        <v>81</v>
      </c>
      <c r="C61" s="1" t="s">
        <v>82</v>
      </c>
      <c r="D61" s="6">
        <f>'2012 pax'!Q61</f>
        <v>1506578</v>
      </c>
      <c r="E61" s="10">
        <v>111371</v>
      </c>
      <c r="F61" s="10">
        <v>108851</v>
      </c>
      <c r="G61" s="10">
        <v>126818</v>
      </c>
      <c r="H61" s="10">
        <v>123197</v>
      </c>
      <c r="I61" s="10">
        <v>134280</v>
      </c>
      <c r="J61" s="10">
        <v>136726</v>
      </c>
      <c r="K61" s="10">
        <v>139790</v>
      </c>
      <c r="L61" s="10">
        <v>159545</v>
      </c>
      <c r="M61" s="10">
        <v>131002</v>
      </c>
      <c r="N61" s="10">
        <v>133603</v>
      </c>
      <c r="O61" s="10">
        <v>118347</v>
      </c>
      <c r="P61" s="10">
        <v>133430</v>
      </c>
      <c r="Q61" s="6">
        <f t="shared" si="1"/>
        <v>1556960</v>
      </c>
      <c r="R61" s="15">
        <f t="shared" si="0"/>
        <v>3.3441348539537952E-2</v>
      </c>
    </row>
    <row r="62" spans="1:21">
      <c r="A62" s="1" t="s">
        <v>66</v>
      </c>
      <c r="B62" s="1" t="s">
        <v>77</v>
      </c>
      <c r="C62" s="7" t="s">
        <v>78</v>
      </c>
      <c r="D62" s="6">
        <f>'2012 pax'!Q62</f>
        <v>3538175</v>
      </c>
      <c r="E62" s="10">
        <v>294372</v>
      </c>
      <c r="F62" s="10">
        <v>285455</v>
      </c>
      <c r="G62" s="10">
        <v>306771</v>
      </c>
      <c r="H62" s="10">
        <v>264316</v>
      </c>
      <c r="I62" s="10">
        <v>278834</v>
      </c>
      <c r="J62" s="10">
        <v>292264</v>
      </c>
      <c r="K62" s="10">
        <v>318170</v>
      </c>
      <c r="L62" s="10">
        <v>332837</v>
      </c>
      <c r="M62" s="10">
        <v>275748</v>
      </c>
      <c r="N62" s="10">
        <v>290223</v>
      </c>
      <c r="O62" s="10">
        <v>256493</v>
      </c>
      <c r="P62" s="10">
        <v>288415</v>
      </c>
      <c r="Q62" s="6">
        <f t="shared" si="1"/>
        <v>3483898</v>
      </c>
      <c r="R62" s="15">
        <f t="shared" si="0"/>
        <v>-1.5340394412373559E-2</v>
      </c>
    </row>
    <row r="63" spans="1:21">
      <c r="A63" s="1" t="s">
        <v>236</v>
      </c>
      <c r="B63" s="1" t="s">
        <v>457</v>
      </c>
      <c r="C63" s="1" t="s">
        <v>458</v>
      </c>
      <c r="D63" s="6">
        <f>'2012 pax'!Q63</f>
        <v>1577785</v>
      </c>
      <c r="E63" s="10">
        <f>1375+80480+78211</f>
        <v>160066</v>
      </c>
      <c r="F63" s="10">
        <f>1603+72324+73763</f>
        <v>147690</v>
      </c>
      <c r="G63" s="10">
        <v>136809</v>
      </c>
      <c r="H63" s="10">
        <v>139528</v>
      </c>
      <c r="I63" s="10">
        <v>143361</v>
      </c>
      <c r="J63" s="10">
        <v>146451</v>
      </c>
      <c r="K63" s="10">
        <v>174229</v>
      </c>
      <c r="L63" s="10">
        <v>155616</v>
      </c>
      <c r="M63" s="10">
        <v>151969</v>
      </c>
      <c r="N63" s="10">
        <v>170302</v>
      </c>
      <c r="O63" s="10">
        <v>171663</v>
      </c>
      <c r="P63" s="10">
        <v>166223</v>
      </c>
      <c r="Q63" s="6">
        <f t="shared" si="1"/>
        <v>1863907</v>
      </c>
      <c r="R63" s="15">
        <f t="shared" si="0"/>
        <v>0.18134409948123476</v>
      </c>
    </row>
    <row r="64" spans="1:21">
      <c r="A64" s="1" t="s">
        <v>236</v>
      </c>
      <c r="B64" s="1" t="s">
        <v>459</v>
      </c>
      <c r="C64" s="1" t="s">
        <v>460</v>
      </c>
      <c r="D64" s="6">
        <f>'2012 pax'!Q64</f>
        <v>494757</v>
      </c>
      <c r="E64" s="10">
        <f>1981+27353+25919</f>
        <v>55253</v>
      </c>
      <c r="F64" s="10">
        <f>2358+26894+25375</f>
        <v>54627</v>
      </c>
      <c r="G64" s="10">
        <v>43717</v>
      </c>
      <c r="H64" s="10">
        <v>40138</v>
      </c>
      <c r="I64" s="10">
        <v>41365</v>
      </c>
      <c r="J64" s="10">
        <v>39489</v>
      </c>
      <c r="K64" s="10">
        <v>53258</v>
      </c>
      <c r="L64" s="10">
        <v>45461</v>
      </c>
      <c r="M64" s="10">
        <v>44880</v>
      </c>
      <c r="N64" s="10">
        <v>50045</v>
      </c>
      <c r="O64" s="10">
        <v>47774</v>
      </c>
      <c r="P64" s="10">
        <v>49197</v>
      </c>
      <c r="Q64" s="6">
        <f t="shared" si="1"/>
        <v>565204</v>
      </c>
      <c r="R64" s="15">
        <f t="shared" si="0"/>
        <v>0.14238707082466751</v>
      </c>
    </row>
    <row r="65" spans="1:18">
      <c r="A65" s="1" t="s">
        <v>236</v>
      </c>
      <c r="B65" s="1" t="s">
        <v>461</v>
      </c>
      <c r="C65" s="1" t="s">
        <v>462</v>
      </c>
      <c r="D65" s="6">
        <f>'2012 pax'!Q65</f>
        <v>354460</v>
      </c>
      <c r="E65" s="10">
        <f>20608+21131</f>
        <v>41739</v>
      </c>
      <c r="F65" s="10">
        <f>20966+22158</f>
        <v>43124</v>
      </c>
      <c r="G65" s="10">
        <v>34653</v>
      </c>
      <c r="H65" s="10">
        <v>30043</v>
      </c>
      <c r="I65" s="10">
        <v>28559</v>
      </c>
      <c r="J65" s="10">
        <v>24453</v>
      </c>
      <c r="K65" s="10">
        <v>36255</v>
      </c>
      <c r="L65" s="10">
        <v>29866</v>
      </c>
      <c r="M65" s="10">
        <v>32854</v>
      </c>
      <c r="N65" s="10">
        <v>33368</v>
      </c>
      <c r="O65" s="10">
        <v>33928</v>
      </c>
      <c r="P65" s="10">
        <v>37314</v>
      </c>
      <c r="Q65" s="6">
        <f t="shared" si="1"/>
        <v>406156</v>
      </c>
      <c r="R65" s="15">
        <f t="shared" si="0"/>
        <v>0.14584438300513458</v>
      </c>
    </row>
    <row r="66" spans="1:18">
      <c r="A66" s="1" t="s">
        <v>236</v>
      </c>
      <c r="B66" s="1" t="s">
        <v>463</v>
      </c>
      <c r="C66" s="1" t="s">
        <v>464</v>
      </c>
      <c r="D66" s="6">
        <f>'2012 pax'!Q66</f>
        <v>1069614</v>
      </c>
      <c r="E66" s="10">
        <f>58925+61747</f>
        <v>120672</v>
      </c>
      <c r="F66" s="10">
        <f>55942+55771</f>
        <v>111713</v>
      </c>
      <c r="G66" s="10">
        <v>120537</v>
      </c>
      <c r="H66" s="10">
        <v>120366</v>
      </c>
      <c r="I66" s="10">
        <v>121143</v>
      </c>
      <c r="J66" s="10">
        <v>113438</v>
      </c>
      <c r="K66" s="10">
        <v>138064</v>
      </c>
      <c r="L66" s="10">
        <v>122972</v>
      </c>
      <c r="M66" s="10">
        <v>119543</v>
      </c>
      <c r="N66" s="10">
        <v>125275</v>
      </c>
      <c r="O66" s="10">
        <v>117210</v>
      </c>
      <c r="P66" s="10">
        <v>110723</v>
      </c>
      <c r="Q66" s="6">
        <f t="shared" si="1"/>
        <v>1441656</v>
      </c>
      <c r="R66" s="15">
        <f t="shared" si="0"/>
        <v>0.34782828197835847</v>
      </c>
    </row>
    <row r="67" spans="1:18">
      <c r="A67" s="1" t="s">
        <v>236</v>
      </c>
      <c r="B67" s="1" t="s">
        <v>465</v>
      </c>
      <c r="C67" s="1" t="s">
        <v>466</v>
      </c>
      <c r="D67" s="6">
        <f>'2012 pax'!Q67</f>
        <v>854213</v>
      </c>
      <c r="E67" s="10">
        <f>35390+34059</f>
        <v>69449</v>
      </c>
      <c r="F67" s="10">
        <f>28224+28126</f>
        <v>56350</v>
      </c>
      <c r="G67" s="10">
        <v>70776</v>
      </c>
      <c r="H67" s="10">
        <v>75354</v>
      </c>
      <c r="I67" s="10">
        <v>75547</v>
      </c>
      <c r="J67" s="10">
        <v>72264</v>
      </c>
      <c r="K67" s="10">
        <v>82436</v>
      </c>
      <c r="L67" s="10">
        <v>81538</v>
      </c>
      <c r="M67" s="10">
        <v>78299</v>
      </c>
      <c r="N67" s="10">
        <v>92973</v>
      </c>
      <c r="O67" s="10">
        <v>95058</v>
      </c>
      <c r="P67" s="10">
        <v>88232</v>
      </c>
      <c r="Q67" s="6">
        <f t="shared" si="1"/>
        <v>938276</v>
      </c>
      <c r="R67" s="15">
        <f t="shared" ref="R67:R77" si="2">Q67/D67-1</f>
        <v>9.8409881376190667E-2</v>
      </c>
    </row>
    <row r="68" spans="1:18">
      <c r="A68" s="1" t="s">
        <v>236</v>
      </c>
      <c r="B68" s="1" t="s">
        <v>467</v>
      </c>
      <c r="C68" s="1" t="s">
        <v>468</v>
      </c>
      <c r="D68" s="6">
        <f>'2012 pax'!Q68</f>
        <v>514098</v>
      </c>
      <c r="E68" s="10">
        <f>24488+26921</f>
        <v>51409</v>
      </c>
      <c r="F68" s="10">
        <f>23446+26894</f>
        <v>50340</v>
      </c>
      <c r="G68" s="10">
        <v>49019</v>
      </c>
      <c r="H68" s="10">
        <v>48776</v>
      </c>
      <c r="I68" s="10">
        <v>51135</v>
      </c>
      <c r="J68" s="10">
        <v>46307</v>
      </c>
      <c r="K68" s="10">
        <v>52288</v>
      </c>
      <c r="L68" s="10">
        <v>49004</v>
      </c>
      <c r="M68" s="10">
        <v>45488</v>
      </c>
      <c r="N68" s="10">
        <v>54272</v>
      </c>
      <c r="O68" s="10">
        <v>53045</v>
      </c>
      <c r="P68" s="10">
        <v>49869</v>
      </c>
      <c r="Q68" s="6">
        <f t="shared" ref="Q68:Q99" si="3">SUM(E68:P68)</f>
        <v>600952</v>
      </c>
      <c r="R68" s="15">
        <f t="shared" si="2"/>
        <v>0.16894444249929008</v>
      </c>
    </row>
    <row r="69" spans="1:18">
      <c r="A69" s="1" t="s">
        <v>236</v>
      </c>
      <c r="B69" s="1" t="s">
        <v>469</v>
      </c>
      <c r="C69" s="1" t="s">
        <v>470</v>
      </c>
      <c r="D69" s="6">
        <f>'2012 pax'!Q69</f>
        <v>1158418</v>
      </c>
      <c r="E69" s="10">
        <f>6998+57704+54467</f>
        <v>119169</v>
      </c>
      <c r="F69" s="10">
        <f>6779+59679+58915</f>
        <v>125373</v>
      </c>
      <c r="G69" s="10">
        <v>102095</v>
      </c>
      <c r="H69" s="10">
        <v>94035</v>
      </c>
      <c r="I69" s="10">
        <v>96209</v>
      </c>
      <c r="J69" s="10">
        <v>88568</v>
      </c>
      <c r="K69" s="10">
        <v>118310</v>
      </c>
      <c r="L69" s="10">
        <v>97623</v>
      </c>
      <c r="M69" s="10">
        <v>97865</v>
      </c>
      <c r="N69" s="10">
        <v>105047</v>
      </c>
      <c r="O69" s="10">
        <v>101897</v>
      </c>
      <c r="P69" s="10">
        <v>104124</v>
      </c>
      <c r="Q69" s="6">
        <f t="shared" si="3"/>
        <v>1250315</v>
      </c>
      <c r="R69" s="15">
        <f t="shared" si="2"/>
        <v>7.9329741077918348E-2</v>
      </c>
    </row>
    <row r="70" spans="1:18">
      <c r="A70" s="1" t="s">
        <v>236</v>
      </c>
      <c r="B70" s="1" t="s">
        <v>471</v>
      </c>
      <c r="C70" s="1" t="s">
        <v>472</v>
      </c>
      <c r="D70" s="6">
        <f>'2012 pax'!Q70</f>
        <v>171019</v>
      </c>
      <c r="E70" s="10">
        <f>2613+7581+6762</f>
        <v>16956</v>
      </c>
      <c r="F70" s="10">
        <f>8225+8648</f>
        <v>16873</v>
      </c>
      <c r="G70" s="10">
        <v>13043</v>
      </c>
      <c r="H70" s="10">
        <v>11506</v>
      </c>
      <c r="I70" s="10">
        <v>10478</v>
      </c>
      <c r="J70" s="10">
        <v>9221</v>
      </c>
      <c r="K70" s="10">
        <v>12974</v>
      </c>
      <c r="L70" s="10">
        <v>13264</v>
      </c>
      <c r="M70" s="10">
        <v>13675</v>
      </c>
      <c r="N70" s="10">
        <v>13921</v>
      </c>
      <c r="O70" s="10">
        <v>14659</v>
      </c>
      <c r="P70" s="10">
        <v>14537</v>
      </c>
      <c r="Q70" s="6">
        <f t="shared" si="3"/>
        <v>161107</v>
      </c>
      <c r="R70" s="15">
        <f t="shared" si="2"/>
        <v>-5.795847245042951E-2</v>
      </c>
    </row>
    <row r="71" spans="1:18">
      <c r="A71" s="1" t="s">
        <v>236</v>
      </c>
      <c r="B71" s="1" t="s">
        <v>473</v>
      </c>
      <c r="C71" s="1" t="s">
        <v>474</v>
      </c>
      <c r="D71" s="6">
        <f>'2012 pax'!Q71</f>
        <v>605810</v>
      </c>
      <c r="E71" s="10">
        <f>31864+32316</f>
        <v>64180</v>
      </c>
      <c r="F71" s="10">
        <f>2236+31752+30379</f>
        <v>64367</v>
      </c>
      <c r="G71" s="10">
        <v>52772</v>
      </c>
      <c r="H71" s="10">
        <v>49992</v>
      </c>
      <c r="I71" s="10">
        <v>51063</v>
      </c>
      <c r="J71" s="10">
        <v>47341</v>
      </c>
      <c r="K71" s="10">
        <v>55527</v>
      </c>
      <c r="L71" s="10">
        <v>52369</v>
      </c>
      <c r="M71" s="10">
        <v>52752</v>
      </c>
      <c r="N71" s="10">
        <v>58251</v>
      </c>
      <c r="O71" s="10">
        <v>58280</v>
      </c>
      <c r="P71" s="10">
        <v>58341</v>
      </c>
      <c r="Q71" s="6">
        <f t="shared" si="3"/>
        <v>665235</v>
      </c>
      <c r="R71" s="15">
        <f t="shared" si="2"/>
        <v>9.809181096383357E-2</v>
      </c>
    </row>
    <row r="72" spans="1:18">
      <c r="A72" s="1" t="s">
        <v>236</v>
      </c>
      <c r="B72" s="1" t="s">
        <v>475</v>
      </c>
      <c r="C72" s="1" t="s">
        <v>476</v>
      </c>
      <c r="D72" s="6">
        <f>'2012 pax'!Q72</f>
        <v>106341</v>
      </c>
      <c r="E72" s="10">
        <f>3069+3258</f>
        <v>6327</v>
      </c>
      <c r="F72" s="10">
        <f>4036+3728</f>
        <v>7764</v>
      </c>
      <c r="G72" s="10">
        <f>5723+5363</f>
        <v>11086</v>
      </c>
      <c r="H72" s="10">
        <f>3398+3494</f>
        <v>6892</v>
      </c>
      <c r="I72" s="10">
        <f>3565+3837</f>
        <v>7402</v>
      </c>
      <c r="J72" s="10">
        <f>4634+4995</f>
        <v>9629</v>
      </c>
      <c r="K72" s="10">
        <v>8092</v>
      </c>
      <c r="L72" s="10">
        <v>7300</v>
      </c>
      <c r="M72" s="10">
        <v>6772</v>
      </c>
      <c r="N72" s="10">
        <v>6453</v>
      </c>
      <c r="O72" s="10">
        <v>5734</v>
      </c>
      <c r="P72" s="10">
        <v>5583</v>
      </c>
      <c r="Q72" s="6">
        <f t="shared" si="3"/>
        <v>89034</v>
      </c>
      <c r="R72" s="15">
        <f t="shared" si="2"/>
        <v>-0.16275002115834913</v>
      </c>
    </row>
    <row r="73" spans="1:18">
      <c r="A73" s="1" t="s">
        <v>236</v>
      </c>
      <c r="B73" s="1" t="s">
        <v>477</v>
      </c>
      <c r="C73" s="1" t="s">
        <v>478</v>
      </c>
      <c r="D73" s="6">
        <f>'2012 pax'!Q73</f>
        <v>1115916</v>
      </c>
      <c r="E73" s="10">
        <f>63028+69740</f>
        <v>132768</v>
      </c>
      <c r="F73" s="10">
        <f>68452+72811</f>
        <v>141263</v>
      </c>
      <c r="G73" s="10">
        <v>104571</v>
      </c>
      <c r="H73" s="10">
        <v>86048</v>
      </c>
      <c r="I73" s="10">
        <v>82251</v>
      </c>
      <c r="J73" s="10">
        <v>71746</v>
      </c>
      <c r="K73" s="10">
        <v>95586</v>
      </c>
      <c r="L73" s="10">
        <v>86358</v>
      </c>
      <c r="M73" s="10">
        <v>90756</v>
      </c>
      <c r="N73" s="10">
        <v>104128</v>
      </c>
      <c r="O73" s="10">
        <v>112983</v>
      </c>
      <c r="P73" s="10">
        <v>116356</v>
      </c>
      <c r="Q73" s="6">
        <f t="shared" si="3"/>
        <v>1224814</v>
      </c>
      <c r="R73" s="15">
        <f t="shared" si="2"/>
        <v>9.758619824431225E-2</v>
      </c>
    </row>
    <row r="74" spans="1:18">
      <c r="A74" s="1" t="s">
        <v>236</v>
      </c>
      <c r="B74" s="1" t="s">
        <v>479</v>
      </c>
      <c r="C74" s="1" t="s">
        <v>480</v>
      </c>
      <c r="D74" s="6">
        <f>'2012 pax'!Q74</f>
        <v>673883</v>
      </c>
      <c r="E74" s="10">
        <f>391+43050+48439</f>
        <v>91880</v>
      </c>
      <c r="F74" s="10">
        <f>271+45844+50738</f>
        <v>96853</v>
      </c>
      <c r="G74" s="10">
        <v>67358</v>
      </c>
      <c r="H74" s="10">
        <v>49310</v>
      </c>
      <c r="I74" s="10">
        <v>41082</v>
      </c>
      <c r="J74" s="10">
        <v>35443</v>
      </c>
      <c r="K74" s="10">
        <v>55288</v>
      </c>
      <c r="L74" s="10">
        <v>43504</v>
      </c>
      <c r="M74" s="10">
        <v>50977</v>
      </c>
      <c r="N74" s="10">
        <v>59176</v>
      </c>
      <c r="O74" s="10">
        <v>69336</v>
      </c>
      <c r="P74" s="10">
        <v>80494</v>
      </c>
      <c r="Q74" s="6">
        <f t="shared" si="3"/>
        <v>740701</v>
      </c>
      <c r="R74" s="15">
        <f t="shared" si="2"/>
        <v>9.9153710658971939E-2</v>
      </c>
    </row>
    <row r="75" spans="1:18">
      <c r="A75" s="1" t="s">
        <v>236</v>
      </c>
      <c r="B75" s="1" t="s">
        <v>481</v>
      </c>
      <c r="C75" s="1" t="s">
        <v>237</v>
      </c>
      <c r="D75" s="6">
        <f>'2012 pax'!Q75</f>
        <v>14694617</v>
      </c>
      <c r="E75" s="10">
        <f>670676+384057+399360</f>
        <v>1454093</v>
      </c>
      <c r="F75" s="10">
        <f>644647+372862+376599</f>
        <v>1394108</v>
      </c>
      <c r="G75" s="10">
        <v>1298659</v>
      </c>
      <c r="H75" s="10">
        <v>1186446</v>
      </c>
      <c r="I75" s="10">
        <v>1166419</v>
      </c>
      <c r="J75" s="10">
        <v>1119521</v>
      </c>
      <c r="K75" s="10">
        <v>1339573</v>
      </c>
      <c r="L75" s="10">
        <v>1220759</v>
      </c>
      <c r="M75" s="10">
        <v>1207837</v>
      </c>
      <c r="N75" s="10">
        <v>1310663</v>
      </c>
      <c r="O75" s="10">
        <v>1300078</v>
      </c>
      <c r="P75" s="10">
        <v>1313332</v>
      </c>
      <c r="Q75" s="6">
        <f t="shared" si="3"/>
        <v>15311488</v>
      </c>
      <c r="R75" s="15">
        <f t="shared" si="2"/>
        <v>4.1979386056812507E-2</v>
      </c>
    </row>
    <row r="76" spans="1:18">
      <c r="A76" s="1" t="s">
        <v>236</v>
      </c>
      <c r="B76" s="1" t="s">
        <v>482</v>
      </c>
      <c r="C76" s="1" t="s">
        <v>483</v>
      </c>
      <c r="D76" s="6">
        <f>'2012 pax'!Q76</f>
        <v>428599</v>
      </c>
      <c r="E76" s="10">
        <f>23786+24981</f>
        <v>48767</v>
      </c>
      <c r="F76" s="10">
        <f>21017+21842</f>
        <v>42859</v>
      </c>
      <c r="G76" s="10">
        <v>39713</v>
      </c>
      <c r="H76" s="10">
        <v>34927</v>
      </c>
      <c r="I76" s="10">
        <v>35987</v>
      </c>
      <c r="J76" s="10">
        <v>29575</v>
      </c>
      <c r="K76" s="10">
        <v>35373</v>
      </c>
      <c r="L76" s="10">
        <v>35792</v>
      </c>
      <c r="M76" s="10">
        <v>35958</v>
      </c>
      <c r="N76" s="10">
        <v>41824</v>
      </c>
      <c r="O76" s="10">
        <v>43600</v>
      </c>
      <c r="P76" s="10">
        <v>41305</v>
      </c>
      <c r="Q76" s="6">
        <f t="shared" si="3"/>
        <v>465680</v>
      </c>
      <c r="R76" s="15">
        <f t="shared" si="2"/>
        <v>8.6516767421295881E-2</v>
      </c>
    </row>
    <row r="77" spans="1:18">
      <c r="A77" s="1" t="s">
        <v>236</v>
      </c>
      <c r="B77" s="1" t="s">
        <v>484</v>
      </c>
      <c r="C77" s="1" t="s">
        <v>485</v>
      </c>
      <c r="D77" s="6">
        <f>'2012 pax'!Q77</f>
        <v>151205</v>
      </c>
      <c r="E77" s="10">
        <f>4252+4211</f>
        <v>8463</v>
      </c>
      <c r="F77" s="10">
        <f>3054+3201</f>
        <v>6255</v>
      </c>
      <c r="G77" s="10">
        <f>1744+1674</f>
        <v>3418</v>
      </c>
      <c r="H77" s="10">
        <f>5253+5027</f>
        <v>10280</v>
      </c>
      <c r="I77" s="10">
        <f>6569+6283</f>
        <v>12852</v>
      </c>
      <c r="J77" s="10">
        <f>4513+4425</f>
        <v>8938</v>
      </c>
      <c r="K77" s="10">
        <v>10602</v>
      </c>
      <c r="L77" s="10">
        <v>10264</v>
      </c>
      <c r="M77" s="10">
        <v>10564</v>
      </c>
      <c r="N77" s="10">
        <v>13082</v>
      </c>
      <c r="O77" s="10">
        <v>12413</v>
      </c>
      <c r="P77" s="10">
        <v>13373</v>
      </c>
      <c r="Q77" s="6">
        <f t="shared" si="3"/>
        <v>120504</v>
      </c>
      <c r="R77" s="15">
        <f t="shared" si="2"/>
        <v>-0.20304222743956879</v>
      </c>
    </row>
    <row r="78" spans="1:18">
      <c r="A78" s="1" t="s">
        <v>238</v>
      </c>
      <c r="B78" s="7" t="s">
        <v>264</v>
      </c>
      <c r="C78" s="7" t="s">
        <v>265</v>
      </c>
      <c r="D78" s="6">
        <f>'2012 pax'!Q78</f>
        <v>324151</v>
      </c>
      <c r="E78" s="10">
        <v>26015</v>
      </c>
      <c r="F78" s="10">
        <v>22965</v>
      </c>
      <c r="G78" s="10">
        <v>25148</v>
      </c>
      <c r="H78" s="10">
        <v>23785</v>
      </c>
      <c r="I78" s="10">
        <v>25323</v>
      </c>
      <c r="J78" s="10">
        <v>26056</v>
      </c>
      <c r="K78" s="10"/>
      <c r="L78" s="10">
        <v>26947</v>
      </c>
      <c r="M78" s="10">
        <v>25798</v>
      </c>
      <c r="N78" s="10">
        <v>27987</v>
      </c>
      <c r="O78" s="10">
        <v>27488</v>
      </c>
      <c r="P78" s="10">
        <v>27819</v>
      </c>
      <c r="Q78" s="6">
        <f t="shared" si="3"/>
        <v>285331</v>
      </c>
    </row>
    <row r="79" spans="1:18">
      <c r="A79" s="1" t="s">
        <v>238</v>
      </c>
      <c r="B79" s="7" t="s">
        <v>290</v>
      </c>
      <c r="C79" s="7" t="s">
        <v>291</v>
      </c>
      <c r="D79" s="6">
        <f>'2012 pax'!Q79</f>
        <v>203062</v>
      </c>
      <c r="E79" s="10">
        <v>15215</v>
      </c>
      <c r="F79" s="10">
        <v>16500</v>
      </c>
      <c r="G79" s="10">
        <v>16296</v>
      </c>
      <c r="H79" s="10">
        <v>18031</v>
      </c>
      <c r="I79" s="10">
        <v>17816</v>
      </c>
      <c r="J79" s="10">
        <v>17237</v>
      </c>
      <c r="K79" s="10"/>
      <c r="L79" s="10">
        <v>15763</v>
      </c>
      <c r="M79" s="10">
        <v>14363</v>
      </c>
      <c r="N79" s="10">
        <v>16679</v>
      </c>
      <c r="O79" s="10">
        <v>16906</v>
      </c>
      <c r="P79" s="10">
        <v>17998</v>
      </c>
      <c r="Q79" s="6">
        <f t="shared" si="3"/>
        <v>182804</v>
      </c>
    </row>
    <row r="80" spans="1:18">
      <c r="A80" s="1" t="s">
        <v>238</v>
      </c>
      <c r="B80" s="7" t="s">
        <v>260</v>
      </c>
      <c r="C80" s="7" t="s">
        <v>261</v>
      </c>
      <c r="D80" s="6">
        <f>'2012 pax'!Q80</f>
        <v>1918406</v>
      </c>
      <c r="E80" s="10">
        <v>189294</v>
      </c>
      <c r="F80" s="10">
        <v>157369</v>
      </c>
      <c r="G80" s="10">
        <v>170095</v>
      </c>
      <c r="H80" s="10">
        <v>159097</v>
      </c>
      <c r="I80" s="10">
        <v>172719</v>
      </c>
      <c r="J80" s="10">
        <v>190125</v>
      </c>
      <c r="K80" s="10"/>
      <c r="L80" s="10">
        <v>184414</v>
      </c>
      <c r="M80" s="10">
        <v>183065</v>
      </c>
      <c r="N80" s="10">
        <v>197565</v>
      </c>
      <c r="O80" s="10">
        <v>193734</v>
      </c>
      <c r="P80" s="10">
        <v>199806</v>
      </c>
      <c r="Q80" s="6">
        <f t="shared" si="3"/>
        <v>1997283</v>
      </c>
    </row>
    <row r="81" spans="1:17">
      <c r="A81" s="1" t="s">
        <v>238</v>
      </c>
      <c r="B81" s="3" t="s">
        <v>239</v>
      </c>
      <c r="C81" s="3" t="s">
        <v>240</v>
      </c>
      <c r="D81" s="6">
        <f>'2012 pax'!Q81</f>
        <v>20850750</v>
      </c>
      <c r="E81" s="10">
        <v>2061335</v>
      </c>
      <c r="F81" s="10">
        <v>1754623</v>
      </c>
      <c r="G81" s="10">
        <v>1984446</v>
      </c>
      <c r="H81" s="10">
        <v>1909866</v>
      </c>
      <c r="I81" s="10">
        <v>2053276</v>
      </c>
      <c r="J81" s="10">
        <v>2138674</v>
      </c>
      <c r="K81" s="10"/>
      <c r="L81" s="10">
        <v>2240033</v>
      </c>
      <c r="M81" s="10">
        <v>2065679</v>
      </c>
      <c r="N81" s="10">
        <v>2155420</v>
      </c>
      <c r="O81" s="10">
        <v>2174290</v>
      </c>
      <c r="P81" s="10">
        <v>2240151</v>
      </c>
      <c r="Q81" s="6">
        <f t="shared" si="3"/>
        <v>22777793</v>
      </c>
    </row>
    <row r="82" spans="1:17">
      <c r="A82" s="1" t="s">
        <v>238</v>
      </c>
      <c r="B82" s="7" t="s">
        <v>298</v>
      </c>
      <c r="C82" s="7" t="s">
        <v>299</v>
      </c>
      <c r="D82" s="6">
        <f>'2012 pax'!Q82</f>
        <v>1370660</v>
      </c>
      <c r="E82" s="10">
        <v>115993</v>
      </c>
      <c r="F82" s="10">
        <v>105256</v>
      </c>
      <c r="G82" s="10">
        <v>121762</v>
      </c>
      <c r="H82" s="10">
        <v>120596</v>
      </c>
      <c r="I82" s="10">
        <v>132373</v>
      </c>
      <c r="J82" s="10">
        <v>121119</v>
      </c>
      <c r="K82" s="10"/>
      <c r="L82" s="10">
        <v>125419</v>
      </c>
      <c r="M82" s="30">
        <v>106716</v>
      </c>
      <c r="N82" s="30">
        <v>115741</v>
      </c>
      <c r="O82" s="30">
        <v>120550</v>
      </c>
      <c r="P82" s="30">
        <v>133847</v>
      </c>
      <c r="Q82" s="6">
        <f t="shared" si="3"/>
        <v>1319372</v>
      </c>
    </row>
    <row r="83" spans="1:17">
      <c r="A83" s="1" t="s">
        <v>238</v>
      </c>
      <c r="B83" s="7" t="s">
        <v>272</v>
      </c>
      <c r="C83" s="7" t="s">
        <v>273</v>
      </c>
      <c r="D83" s="6">
        <f>'2012 pax'!Q83</f>
        <v>3643625</v>
      </c>
      <c r="E83" s="10">
        <v>354750</v>
      </c>
      <c r="F83" s="10">
        <v>294504</v>
      </c>
      <c r="G83" s="10">
        <v>339896</v>
      </c>
      <c r="H83" s="10">
        <v>337212</v>
      </c>
      <c r="I83" s="10">
        <v>368473</v>
      </c>
      <c r="J83" s="10">
        <v>373445</v>
      </c>
      <c r="K83" s="10"/>
      <c r="L83" s="10">
        <v>406675</v>
      </c>
      <c r="M83" s="10">
        <v>359402</v>
      </c>
      <c r="N83" s="10">
        <v>374171</v>
      </c>
      <c r="O83" s="10">
        <v>366564</v>
      </c>
      <c r="P83" s="10">
        <v>395452</v>
      </c>
      <c r="Q83" s="6">
        <f t="shared" si="3"/>
        <v>3970544</v>
      </c>
    </row>
    <row r="84" spans="1:17">
      <c r="A84" s="1" t="s">
        <v>238</v>
      </c>
      <c r="B84" s="7" t="s">
        <v>254</v>
      </c>
      <c r="C84" s="7" t="s">
        <v>255</v>
      </c>
      <c r="D84" s="6">
        <f>'2012 pax'!Q84</f>
        <v>176645</v>
      </c>
      <c r="E84" s="10">
        <v>14707</v>
      </c>
      <c r="F84" s="10">
        <v>15172</v>
      </c>
      <c r="G84" s="10">
        <v>15959</v>
      </c>
      <c r="H84" s="10">
        <v>18016</v>
      </c>
      <c r="I84" s="10">
        <v>19222</v>
      </c>
      <c r="J84" s="10">
        <v>18040</v>
      </c>
      <c r="K84" s="10"/>
      <c r="L84" s="10">
        <v>17712</v>
      </c>
      <c r="M84" s="10">
        <v>17692</v>
      </c>
      <c r="N84" s="10">
        <v>18735</v>
      </c>
      <c r="O84" s="10">
        <v>18238</v>
      </c>
      <c r="P84" s="10">
        <v>18375</v>
      </c>
      <c r="Q84" s="6">
        <f t="shared" si="3"/>
        <v>191868</v>
      </c>
    </row>
    <row r="85" spans="1:17">
      <c r="A85" s="1" t="s">
        <v>238</v>
      </c>
      <c r="B85" s="7" t="s">
        <v>262</v>
      </c>
      <c r="C85" s="7" t="s">
        <v>263</v>
      </c>
      <c r="D85" s="6">
        <f>'2012 pax'!Q85</f>
        <v>2807603</v>
      </c>
      <c r="E85" s="10">
        <v>325323</v>
      </c>
      <c r="F85" s="10">
        <v>252433</v>
      </c>
      <c r="G85" s="10">
        <v>273221</v>
      </c>
      <c r="H85" s="10">
        <v>238075</v>
      </c>
      <c r="I85" s="10">
        <v>262951</v>
      </c>
      <c r="J85" s="10">
        <v>285809</v>
      </c>
      <c r="K85" s="10"/>
      <c r="L85" s="10">
        <v>293808</v>
      </c>
      <c r="M85" s="10">
        <v>258467</v>
      </c>
      <c r="N85" s="10">
        <v>276131</v>
      </c>
      <c r="O85" s="10">
        <v>275093</v>
      </c>
      <c r="P85" s="10">
        <v>304196</v>
      </c>
      <c r="Q85" s="6">
        <f t="shared" si="3"/>
        <v>3045507</v>
      </c>
    </row>
    <row r="86" spans="1:17">
      <c r="A86" s="1" t="s">
        <v>238</v>
      </c>
      <c r="B86" s="7" t="s">
        <v>282</v>
      </c>
      <c r="C86" s="7" t="s">
        <v>283</v>
      </c>
      <c r="D86" s="6">
        <f>'2012 pax'!Q86</f>
        <v>896769</v>
      </c>
      <c r="E86" s="10">
        <v>80356</v>
      </c>
      <c r="F86" s="10">
        <v>64619</v>
      </c>
      <c r="G86" s="10">
        <v>70708</v>
      </c>
      <c r="H86" s="10">
        <v>66818</v>
      </c>
      <c r="I86" s="10">
        <v>73117</v>
      </c>
      <c r="J86" s="10">
        <v>74082</v>
      </c>
      <c r="K86" s="10"/>
      <c r="L86" s="10">
        <v>75523</v>
      </c>
      <c r="M86" s="10">
        <v>66660</v>
      </c>
      <c r="N86" s="10">
        <v>70164</v>
      </c>
      <c r="O86" s="10">
        <v>71917</v>
      </c>
      <c r="P86" s="10">
        <v>78432</v>
      </c>
      <c r="Q86" s="6">
        <f t="shared" si="3"/>
        <v>792396</v>
      </c>
    </row>
    <row r="87" spans="1:17">
      <c r="A87" s="1" t="s">
        <v>238</v>
      </c>
      <c r="B87" s="7" t="s">
        <v>296</v>
      </c>
      <c r="C87" s="7" t="s">
        <v>297</v>
      </c>
      <c r="D87" s="6">
        <f>'2012 pax'!Q87</f>
        <v>405017</v>
      </c>
      <c r="E87" s="10">
        <v>32857</v>
      </c>
      <c r="F87" s="10">
        <v>34642</v>
      </c>
      <c r="G87" s="10">
        <v>34503</v>
      </c>
      <c r="H87" s="10">
        <v>37161</v>
      </c>
      <c r="I87" s="10">
        <v>38149</v>
      </c>
      <c r="J87" s="10">
        <v>35861</v>
      </c>
      <c r="K87" s="10"/>
      <c r="L87" s="10">
        <v>37906</v>
      </c>
      <c r="M87" s="10">
        <v>39306</v>
      </c>
      <c r="N87" s="10">
        <v>37762</v>
      </c>
      <c r="O87" s="10">
        <v>40303</v>
      </c>
      <c r="P87" s="10">
        <v>38241</v>
      </c>
      <c r="Q87" s="6">
        <f t="shared" si="3"/>
        <v>406691</v>
      </c>
    </row>
    <row r="88" spans="1:17">
      <c r="A88" s="1" t="s">
        <v>238</v>
      </c>
      <c r="B88" s="7" t="s">
        <v>292</v>
      </c>
      <c r="C88" s="7" t="s">
        <v>293</v>
      </c>
      <c r="D88" s="6">
        <f>'2012 pax'!Q88</f>
        <v>155521</v>
      </c>
      <c r="E88" s="10">
        <v>10996</v>
      </c>
      <c r="F88" s="10">
        <v>11935</v>
      </c>
      <c r="G88" s="10">
        <v>12470</v>
      </c>
      <c r="H88" s="10">
        <v>12764</v>
      </c>
      <c r="I88" s="10">
        <v>12557</v>
      </c>
      <c r="J88" s="10">
        <v>11579</v>
      </c>
      <c r="K88" s="10"/>
      <c r="L88" s="10">
        <v>14033</v>
      </c>
      <c r="M88" s="10">
        <v>12177</v>
      </c>
      <c r="N88" s="10">
        <v>12872</v>
      </c>
      <c r="O88" s="10">
        <v>11960</v>
      </c>
      <c r="P88" s="10">
        <v>12447</v>
      </c>
      <c r="Q88" s="6">
        <f t="shared" si="3"/>
        <v>135790</v>
      </c>
    </row>
    <row r="89" spans="1:17">
      <c r="A89" s="1" t="s">
        <v>238</v>
      </c>
      <c r="B89" s="7" t="s">
        <v>270</v>
      </c>
      <c r="C89" s="7" t="s">
        <v>271</v>
      </c>
      <c r="D89" s="6">
        <f>'2012 pax'!Q89</f>
        <v>159267</v>
      </c>
      <c r="E89" s="10">
        <v>14276</v>
      </c>
      <c r="F89" s="10">
        <v>10343</v>
      </c>
      <c r="G89" s="10">
        <v>12447</v>
      </c>
      <c r="H89" s="10">
        <v>11431</v>
      </c>
      <c r="I89" s="10">
        <v>13569</v>
      </c>
      <c r="J89" s="10">
        <v>18644</v>
      </c>
      <c r="K89" s="10"/>
      <c r="L89" s="10">
        <v>18664</v>
      </c>
      <c r="M89" s="10">
        <v>17851</v>
      </c>
      <c r="N89" s="10">
        <v>20231</v>
      </c>
      <c r="O89" s="10">
        <v>19243</v>
      </c>
      <c r="P89" s="10">
        <v>19175</v>
      </c>
      <c r="Q89" s="6">
        <f t="shared" si="3"/>
        <v>175874</v>
      </c>
    </row>
    <row r="90" spans="1:17">
      <c r="A90" s="1" t="s">
        <v>238</v>
      </c>
      <c r="B90" s="7" t="s">
        <v>294</v>
      </c>
      <c r="C90" s="7" t="s">
        <v>295</v>
      </c>
      <c r="D90" s="6">
        <f>'2012 pax'!Q90</f>
        <v>214802</v>
      </c>
      <c r="E90" s="10">
        <v>18271</v>
      </c>
      <c r="F90" s="10">
        <v>14883</v>
      </c>
      <c r="G90" s="10">
        <v>18207</v>
      </c>
      <c r="H90" s="10">
        <v>18230</v>
      </c>
      <c r="I90" s="10">
        <v>16961</v>
      </c>
      <c r="J90" s="10">
        <v>13567</v>
      </c>
      <c r="K90" s="10"/>
      <c r="L90" s="10">
        <v>14911</v>
      </c>
      <c r="M90" s="10">
        <v>12207</v>
      </c>
      <c r="N90" s="10">
        <v>13813</v>
      </c>
      <c r="O90" s="10">
        <v>12729</v>
      </c>
      <c r="P90" s="10">
        <v>14311</v>
      </c>
      <c r="Q90" s="6">
        <f t="shared" si="3"/>
        <v>168090</v>
      </c>
    </row>
    <row r="91" spans="1:17">
      <c r="A91" s="1" t="s">
        <v>238</v>
      </c>
      <c r="B91" s="7" t="s">
        <v>256</v>
      </c>
      <c r="C91" s="7" t="s">
        <v>257</v>
      </c>
      <c r="D91" s="6">
        <f>'2012 pax'!Q91</f>
        <v>922612</v>
      </c>
      <c r="E91" s="10">
        <v>78127</v>
      </c>
      <c r="F91" s="10">
        <v>68585</v>
      </c>
      <c r="G91" s="10">
        <v>74943</v>
      </c>
      <c r="H91" s="10">
        <v>77113</v>
      </c>
      <c r="I91" s="10">
        <v>79806</v>
      </c>
      <c r="J91" s="10">
        <v>82142</v>
      </c>
      <c r="K91" s="10"/>
      <c r="L91" s="10">
        <v>86076</v>
      </c>
      <c r="M91" s="10">
        <v>80179</v>
      </c>
      <c r="N91" s="10">
        <v>84208</v>
      </c>
      <c r="O91" s="10">
        <v>80444</v>
      </c>
      <c r="P91" s="10">
        <v>86455</v>
      </c>
      <c r="Q91" s="6">
        <f t="shared" si="3"/>
        <v>878078</v>
      </c>
    </row>
    <row r="92" spans="1:17">
      <c r="A92" s="1" t="s">
        <v>238</v>
      </c>
      <c r="B92" s="7" t="s">
        <v>288</v>
      </c>
      <c r="C92" s="7" t="s">
        <v>289</v>
      </c>
      <c r="D92" s="6">
        <f>'2012 pax'!Q92</f>
        <v>564575</v>
      </c>
      <c r="E92" s="10">
        <v>51736</v>
      </c>
      <c r="F92" s="10">
        <v>45965</v>
      </c>
      <c r="G92" s="10">
        <v>53326</v>
      </c>
      <c r="H92" s="10">
        <v>51272</v>
      </c>
      <c r="I92" s="10">
        <v>56391</v>
      </c>
      <c r="J92" s="10">
        <v>67951</v>
      </c>
      <c r="K92" s="10"/>
      <c r="L92" s="10">
        <v>65130</v>
      </c>
      <c r="M92" s="10">
        <v>59252</v>
      </c>
      <c r="N92" s="10">
        <v>61278</v>
      </c>
      <c r="O92" s="10">
        <v>64121</v>
      </c>
      <c r="P92" s="10">
        <v>69267</v>
      </c>
      <c r="Q92" s="6">
        <f t="shared" si="3"/>
        <v>645689</v>
      </c>
    </row>
    <row r="93" spans="1:17">
      <c r="A93" s="1" t="s">
        <v>238</v>
      </c>
      <c r="B93" s="7" t="s">
        <v>274</v>
      </c>
      <c r="C93" s="7" t="s">
        <v>275</v>
      </c>
      <c r="D93" s="6">
        <f>'2012 pax'!Q93</f>
        <v>306409</v>
      </c>
      <c r="E93" s="10">
        <v>24071</v>
      </c>
      <c r="F93" s="10">
        <v>24689</v>
      </c>
      <c r="G93" s="10">
        <v>25668</v>
      </c>
      <c r="H93" s="10">
        <v>26821</v>
      </c>
      <c r="I93" s="10">
        <v>27927</v>
      </c>
      <c r="J93" s="10">
        <v>26254</v>
      </c>
      <c r="K93" s="10"/>
      <c r="L93" s="10">
        <v>29566</v>
      </c>
      <c r="M93" s="10">
        <v>26671</v>
      </c>
      <c r="N93" s="10">
        <v>29614</v>
      </c>
      <c r="O93" s="10">
        <v>28992</v>
      </c>
      <c r="P93" s="10">
        <v>28446</v>
      </c>
      <c r="Q93" s="6">
        <f t="shared" si="3"/>
        <v>298719</v>
      </c>
    </row>
    <row r="94" spans="1:17">
      <c r="A94" s="1" t="s">
        <v>238</v>
      </c>
      <c r="B94" s="7" t="s">
        <v>524</v>
      </c>
      <c r="C94" s="7" t="s">
        <v>267</v>
      </c>
      <c r="D94" s="6">
        <f>'2012 pax'!Q94</f>
        <v>987893</v>
      </c>
      <c r="E94" s="10">
        <v>97182</v>
      </c>
      <c r="F94" s="10">
        <v>87722</v>
      </c>
      <c r="G94" s="10">
        <v>95466</v>
      </c>
      <c r="H94" s="10">
        <v>91338</v>
      </c>
      <c r="I94" s="10">
        <v>100833</v>
      </c>
      <c r="J94" s="10">
        <v>98609</v>
      </c>
      <c r="K94" s="10"/>
      <c r="L94" s="10">
        <v>108736</v>
      </c>
      <c r="M94" s="10">
        <v>98155</v>
      </c>
      <c r="N94" s="10">
        <v>100390</v>
      </c>
      <c r="O94" s="10">
        <v>102914</v>
      </c>
      <c r="P94" s="10">
        <v>104404</v>
      </c>
      <c r="Q94" s="6">
        <f t="shared" si="3"/>
        <v>1085749</v>
      </c>
    </row>
    <row r="95" spans="1:17">
      <c r="A95" s="1" t="s">
        <v>238</v>
      </c>
      <c r="B95" s="7" t="s">
        <v>280</v>
      </c>
      <c r="C95" s="7" t="s">
        <v>281</v>
      </c>
      <c r="D95" s="6">
        <f>'2012 pax'!Q95</f>
        <v>230338</v>
      </c>
      <c r="E95" s="10">
        <v>19280</v>
      </c>
      <c r="F95" s="10">
        <v>17524</v>
      </c>
      <c r="G95" s="10">
        <v>20361</v>
      </c>
      <c r="H95" s="10">
        <v>18860</v>
      </c>
      <c r="I95" s="10">
        <v>18089</v>
      </c>
      <c r="J95" s="10">
        <v>19648</v>
      </c>
      <c r="K95" s="10"/>
      <c r="L95" s="10">
        <v>19728</v>
      </c>
      <c r="M95" s="10">
        <v>18784</v>
      </c>
      <c r="N95" s="10">
        <v>20464</v>
      </c>
      <c r="O95" s="10">
        <v>19667</v>
      </c>
      <c r="P95" s="10">
        <v>19311</v>
      </c>
      <c r="Q95" s="6">
        <f t="shared" si="3"/>
        <v>211716</v>
      </c>
    </row>
    <row r="96" spans="1:17">
      <c r="A96" s="1" t="s">
        <v>238</v>
      </c>
      <c r="B96" s="7" t="s">
        <v>286</v>
      </c>
      <c r="C96" s="7" t="s">
        <v>287</v>
      </c>
      <c r="D96" s="6">
        <f>'2012 pax'!Q96</f>
        <v>302760</v>
      </c>
      <c r="E96" s="10">
        <v>30703</v>
      </c>
      <c r="F96" s="10">
        <v>24708</v>
      </c>
      <c r="G96" s="10">
        <v>29019</v>
      </c>
      <c r="H96" s="10">
        <v>27343</v>
      </c>
      <c r="I96" s="10">
        <v>29071</v>
      </c>
      <c r="J96" s="10">
        <v>31815</v>
      </c>
      <c r="K96" s="10"/>
      <c r="L96" s="10">
        <v>29990</v>
      </c>
      <c r="M96" s="10">
        <v>27840</v>
      </c>
      <c r="N96" s="10">
        <v>31388</v>
      </c>
      <c r="O96" s="10">
        <v>29862</v>
      </c>
      <c r="P96" s="10">
        <v>34092</v>
      </c>
      <c r="Q96" s="6">
        <f t="shared" si="3"/>
        <v>325831</v>
      </c>
    </row>
    <row r="97" spans="1:20">
      <c r="A97" s="1" t="s">
        <v>238</v>
      </c>
      <c r="B97" s="7" t="s">
        <v>525</v>
      </c>
      <c r="C97" s="7" t="s">
        <v>259</v>
      </c>
      <c r="D97" s="6">
        <f>'2012 pax'!Q97</f>
        <v>4986451</v>
      </c>
      <c r="E97" s="10">
        <v>568235</v>
      </c>
      <c r="F97" s="10">
        <v>457098</v>
      </c>
      <c r="G97" s="10">
        <v>510025</v>
      </c>
      <c r="H97" s="10">
        <v>490242</v>
      </c>
      <c r="I97" s="10">
        <v>516283</v>
      </c>
      <c r="J97" s="10">
        <v>572426</v>
      </c>
      <c r="K97" s="10"/>
      <c r="L97" s="10">
        <v>587217</v>
      </c>
      <c r="M97" s="10">
        <v>515495</v>
      </c>
      <c r="N97" s="10">
        <v>563667</v>
      </c>
      <c r="O97" s="10">
        <v>558932</v>
      </c>
      <c r="P97" s="10">
        <v>614048</v>
      </c>
      <c r="Q97" s="6">
        <f t="shared" si="3"/>
        <v>5953668</v>
      </c>
    </row>
    <row r="98" spans="1:20">
      <c r="A98" s="1" t="s">
        <v>238</v>
      </c>
      <c r="B98" s="7" t="s">
        <v>268</v>
      </c>
      <c r="C98" s="7" t="s">
        <v>269</v>
      </c>
      <c r="D98" s="6">
        <f>'2012 pax'!Q98</f>
        <v>1276843</v>
      </c>
      <c r="E98" s="10">
        <v>132232</v>
      </c>
      <c r="F98" s="10">
        <v>101998</v>
      </c>
      <c r="G98" s="10">
        <v>102952</v>
      </c>
      <c r="H98" s="10">
        <v>89418</v>
      </c>
      <c r="I98" s="10">
        <v>102122</v>
      </c>
      <c r="J98" s="10">
        <v>129699</v>
      </c>
      <c r="K98" s="10"/>
      <c r="L98" s="10">
        <v>136291</v>
      </c>
      <c r="M98" s="10">
        <v>132232</v>
      </c>
      <c r="N98" s="10">
        <v>131374</v>
      </c>
      <c r="O98" s="10">
        <v>134725</v>
      </c>
      <c r="P98" s="10">
        <v>135817</v>
      </c>
      <c r="Q98" s="6">
        <f t="shared" si="3"/>
        <v>1328860</v>
      </c>
    </row>
    <row r="99" spans="1:20">
      <c r="A99" s="1" t="s">
        <v>238</v>
      </c>
      <c r="B99" s="7" t="s">
        <v>276</v>
      </c>
      <c r="C99" s="7" t="s">
        <v>277</v>
      </c>
      <c r="D99" s="6">
        <f>'2012 pax'!Q99</f>
        <v>1011812</v>
      </c>
      <c r="E99" s="10">
        <v>117510</v>
      </c>
      <c r="F99" s="10">
        <v>89605</v>
      </c>
      <c r="G99" s="10">
        <v>102270</v>
      </c>
      <c r="H99" s="10">
        <v>93820</v>
      </c>
      <c r="I99" s="10">
        <v>104137</v>
      </c>
      <c r="J99" s="10">
        <v>115676</v>
      </c>
      <c r="K99" s="10"/>
      <c r="L99" s="10">
        <v>110359</v>
      </c>
      <c r="M99" s="10">
        <v>100786</v>
      </c>
      <c r="N99" s="10">
        <v>104161</v>
      </c>
      <c r="O99" s="10">
        <v>104997</v>
      </c>
      <c r="P99" s="10">
        <v>107053</v>
      </c>
      <c r="Q99" s="6">
        <f t="shared" si="3"/>
        <v>1150374</v>
      </c>
    </row>
    <row r="100" spans="1:20">
      <c r="A100" s="1" t="s">
        <v>238</v>
      </c>
      <c r="B100" s="7" t="s">
        <v>284</v>
      </c>
      <c r="C100" s="7" t="s">
        <v>285</v>
      </c>
      <c r="D100" s="6">
        <f>'2012 pax'!Q100</f>
        <v>299914</v>
      </c>
      <c r="E100" s="10">
        <v>25022</v>
      </c>
      <c r="F100" s="10">
        <v>23082</v>
      </c>
      <c r="G100" s="10">
        <v>24811</v>
      </c>
      <c r="H100" s="10">
        <v>29525</v>
      </c>
      <c r="I100" s="10">
        <v>29273</v>
      </c>
      <c r="J100" s="10">
        <v>25421</v>
      </c>
      <c r="K100" s="10"/>
      <c r="L100" s="10">
        <v>25622</v>
      </c>
      <c r="M100" s="10">
        <v>23859</v>
      </c>
      <c r="N100" s="10">
        <v>27469</v>
      </c>
      <c r="O100" s="10">
        <v>26560</v>
      </c>
      <c r="P100" s="10">
        <v>25673</v>
      </c>
      <c r="Q100" s="6">
        <f t="shared" ref="Q100:Q131" si="4">SUM(E100:P100)</f>
        <v>286317</v>
      </c>
    </row>
    <row r="101" spans="1:20">
      <c r="A101" s="1" t="s">
        <v>238</v>
      </c>
      <c r="B101" s="7" t="s">
        <v>278</v>
      </c>
      <c r="C101" s="7" t="s">
        <v>279</v>
      </c>
      <c r="D101" s="6">
        <f>'2012 pax'!Q101</f>
        <v>130849</v>
      </c>
      <c r="E101" s="10">
        <v>11464</v>
      </c>
      <c r="F101" s="10">
        <v>11745</v>
      </c>
      <c r="G101" s="10">
        <v>11798</v>
      </c>
      <c r="H101" s="10">
        <v>12151</v>
      </c>
      <c r="I101" s="10">
        <v>13342</v>
      </c>
      <c r="J101" s="10">
        <v>15766</v>
      </c>
      <c r="K101" s="10"/>
      <c r="L101" s="10">
        <v>15624</v>
      </c>
      <c r="M101" s="10">
        <v>13905</v>
      </c>
      <c r="N101" s="10">
        <v>15565</v>
      </c>
      <c r="O101" s="10">
        <v>15384</v>
      </c>
      <c r="P101" s="10">
        <v>15866</v>
      </c>
      <c r="Q101" s="6">
        <f t="shared" si="4"/>
        <v>152610</v>
      </c>
    </row>
    <row r="102" spans="1:20">
      <c r="A102" s="1" t="s">
        <v>241</v>
      </c>
      <c r="B102" s="3" t="s">
        <v>529</v>
      </c>
      <c r="C102" s="3" t="s">
        <v>250</v>
      </c>
      <c r="D102" s="6">
        <f>'2012 pax'!Q102</f>
        <v>139492</v>
      </c>
      <c r="E102" s="10">
        <v>16759</v>
      </c>
      <c r="F102" s="10">
        <v>19210</v>
      </c>
      <c r="G102" s="10">
        <v>18606</v>
      </c>
      <c r="H102" s="10">
        <v>11614</v>
      </c>
      <c r="I102" s="10">
        <v>9800</v>
      </c>
      <c r="J102" s="10">
        <v>11305</v>
      </c>
      <c r="K102" s="10">
        <v>12262</v>
      </c>
      <c r="L102" s="10">
        <v>12548</v>
      </c>
      <c r="M102" s="10">
        <v>8619</v>
      </c>
      <c r="N102" s="10">
        <v>8650</v>
      </c>
      <c r="O102" s="10">
        <v>10650</v>
      </c>
      <c r="P102" s="10">
        <v>11859</v>
      </c>
      <c r="Q102" s="6">
        <f t="shared" si="4"/>
        <v>151882</v>
      </c>
      <c r="R102" s="15">
        <f>Q102/D102-1</f>
        <v>8.8822298052934956E-2</v>
      </c>
    </row>
    <row r="103" spans="1:20">
      <c r="A103" s="1" t="s">
        <v>241</v>
      </c>
      <c r="B103" s="3" t="s">
        <v>245</v>
      </c>
      <c r="C103" s="3" t="s">
        <v>246</v>
      </c>
      <c r="D103" s="6">
        <f>'2012 pax'!Q103</f>
        <v>426986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6">
        <f t="shared" si="4"/>
        <v>0</v>
      </c>
    </row>
    <row r="104" spans="1:20">
      <c r="A104" s="1" t="s">
        <v>241</v>
      </c>
      <c r="B104" s="3" t="s">
        <v>530</v>
      </c>
      <c r="C104" s="3" t="s">
        <v>247</v>
      </c>
      <c r="D104" s="6">
        <f>'2012 pax'!Q104</f>
        <v>3141333</v>
      </c>
      <c r="E104" s="10">
        <v>280978</v>
      </c>
      <c r="F104" s="10">
        <v>224840</v>
      </c>
      <c r="G104" s="10">
        <v>278319</v>
      </c>
      <c r="H104" s="10">
        <v>244830</v>
      </c>
      <c r="I104" s="10">
        <v>244192</v>
      </c>
      <c r="J104" s="10">
        <v>262319</v>
      </c>
      <c r="K104" s="10">
        <v>309576</v>
      </c>
      <c r="L104" s="10">
        <v>299413</v>
      </c>
      <c r="M104" s="10">
        <v>223567</v>
      </c>
      <c r="N104" s="10">
        <v>228061</v>
      </c>
      <c r="O104" s="10">
        <v>233623</v>
      </c>
      <c r="P104" s="10">
        <v>287740</v>
      </c>
      <c r="Q104" s="6">
        <f t="shared" si="4"/>
        <v>3117458</v>
      </c>
      <c r="R104" s="15">
        <f>Q104/D104-1</f>
        <v>-7.6002766978222613E-3</v>
      </c>
    </row>
    <row r="105" spans="1:20">
      <c r="A105" s="1" t="s">
        <v>241</v>
      </c>
      <c r="B105" s="3" t="s">
        <v>248</v>
      </c>
      <c r="C105" s="3" t="s">
        <v>249</v>
      </c>
      <c r="D105" s="6">
        <f>'2012 pax'!Q105</f>
        <v>76571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6">
        <f t="shared" si="4"/>
        <v>0</v>
      </c>
    </row>
    <row r="106" spans="1:20">
      <c r="A106" s="1" t="s">
        <v>241</v>
      </c>
      <c r="B106" s="3" t="s">
        <v>531</v>
      </c>
      <c r="C106" s="3" t="s">
        <v>242</v>
      </c>
      <c r="D106" s="6">
        <f>'2012 pax'!Q106</f>
        <v>770130</v>
      </c>
      <c r="E106" s="10">
        <v>97288</v>
      </c>
      <c r="F106" s="10">
        <v>95259</v>
      </c>
      <c r="G106" s="10">
        <v>107973</v>
      </c>
      <c r="H106" s="10">
        <v>82384</v>
      </c>
      <c r="I106" s="10">
        <v>48087</v>
      </c>
      <c r="J106" s="10">
        <v>48556</v>
      </c>
      <c r="K106" s="10">
        <v>52208</v>
      </c>
      <c r="L106" s="10">
        <v>47028</v>
      </c>
      <c r="M106" s="10">
        <v>37941</v>
      </c>
      <c r="N106" s="10">
        <v>37635</v>
      </c>
      <c r="O106" s="10">
        <v>46542</v>
      </c>
      <c r="P106" s="10">
        <v>68601</v>
      </c>
      <c r="Q106" s="6">
        <f t="shared" si="4"/>
        <v>769502</v>
      </c>
      <c r="R106" s="15">
        <f>Q106/D106-1</f>
        <v>-8.1544674275768614E-4</v>
      </c>
    </row>
    <row r="107" spans="1:20">
      <c r="A107" s="1" t="s">
        <v>241</v>
      </c>
      <c r="B107" s="3" t="s">
        <v>243</v>
      </c>
      <c r="C107" s="3" t="s">
        <v>244</v>
      </c>
      <c r="D107" s="6">
        <f>'2012 pax'!Q107</f>
        <v>1797795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6">
        <f t="shared" si="4"/>
        <v>0</v>
      </c>
    </row>
    <row r="108" spans="1:20">
      <c r="A108" s="3" t="s">
        <v>341</v>
      </c>
      <c r="B108" s="3" t="s">
        <v>342</v>
      </c>
      <c r="C108" s="3" t="s">
        <v>343</v>
      </c>
      <c r="D108" s="6">
        <f>'2012 pax'!Q108</f>
        <v>2871772</v>
      </c>
      <c r="E108" s="10"/>
      <c r="F108" s="10"/>
      <c r="G108" s="10"/>
      <c r="H108" s="10"/>
      <c r="I108" s="25"/>
      <c r="J108" s="25"/>
      <c r="K108" s="10"/>
      <c r="L108" s="10"/>
      <c r="M108" s="10"/>
      <c r="N108" s="10"/>
      <c r="O108" s="10"/>
      <c r="P108" s="10"/>
      <c r="Q108" s="6">
        <f t="shared" si="4"/>
        <v>0</v>
      </c>
      <c r="S108" s="20"/>
    </row>
    <row r="109" spans="1:20">
      <c r="A109" s="1" t="s">
        <v>251</v>
      </c>
      <c r="B109" s="3" t="s">
        <v>361</v>
      </c>
      <c r="C109" s="3" t="s">
        <v>252</v>
      </c>
      <c r="D109" s="6">
        <f>'2012 pax'!Q109</f>
        <v>2111740</v>
      </c>
      <c r="E109" s="10">
        <v>187331</v>
      </c>
      <c r="F109" s="10">
        <v>142953</v>
      </c>
      <c r="G109" s="10">
        <v>202891</v>
      </c>
      <c r="H109" s="10">
        <v>187268</v>
      </c>
      <c r="I109" s="10">
        <v>177547</v>
      </c>
      <c r="J109" s="10">
        <v>196307</v>
      </c>
      <c r="K109" s="10">
        <v>233225</v>
      </c>
      <c r="L109" s="10">
        <v>230592</v>
      </c>
      <c r="M109" s="10">
        <v>175130</v>
      </c>
      <c r="N109" s="10">
        <v>183175</v>
      </c>
      <c r="O109" s="10">
        <v>215604</v>
      </c>
      <c r="P109" s="10">
        <v>222978</v>
      </c>
      <c r="Q109" s="6">
        <f t="shared" si="4"/>
        <v>2355001</v>
      </c>
      <c r="R109" s="15">
        <f t="shared" ref="R109:R149" si="5">Q109/D109-1</f>
        <v>0.11519457887808149</v>
      </c>
    </row>
    <row r="110" spans="1:20">
      <c r="A110" s="1" t="s">
        <v>334</v>
      </c>
      <c r="B110" s="7" t="s">
        <v>335</v>
      </c>
      <c r="C110" s="7" t="s">
        <v>336</v>
      </c>
      <c r="D110" s="6">
        <f>'2012 pax'!Q110</f>
        <v>1944659</v>
      </c>
      <c r="E110" s="10">
        <v>175999</v>
      </c>
      <c r="F110" s="10">
        <v>176442</v>
      </c>
      <c r="G110" s="10">
        <v>191056</v>
      </c>
      <c r="H110" s="10">
        <v>169628</v>
      </c>
      <c r="I110" s="10">
        <v>144866</v>
      </c>
      <c r="J110" s="10">
        <v>138625</v>
      </c>
      <c r="K110" s="10">
        <v>198885</v>
      </c>
      <c r="L110" s="10">
        <v>216037</v>
      </c>
      <c r="M110" s="22">
        <v>111364</v>
      </c>
      <c r="N110" s="10">
        <v>125728</v>
      </c>
      <c r="O110" s="10">
        <v>141566</v>
      </c>
      <c r="P110" s="10">
        <v>185705</v>
      </c>
      <c r="Q110" s="6">
        <f t="shared" si="4"/>
        <v>1975901</v>
      </c>
      <c r="R110" s="15">
        <f t="shared" si="5"/>
        <v>1.6065541567956032E-2</v>
      </c>
      <c r="S110" s="10"/>
    </row>
    <row r="111" spans="1:20">
      <c r="A111" s="1" t="s">
        <v>331</v>
      </c>
      <c r="B111" s="7" t="s">
        <v>332</v>
      </c>
      <c r="C111" s="7" t="s">
        <v>333</v>
      </c>
      <c r="D111" s="6">
        <f>'2012 pax'!Q111</f>
        <v>1638424</v>
      </c>
      <c r="E111" s="10">
        <v>154805</v>
      </c>
      <c r="F111" s="10">
        <v>153412</v>
      </c>
      <c r="G111" s="33">
        <v>160304</v>
      </c>
      <c r="H111" s="33">
        <v>145041</v>
      </c>
      <c r="I111" s="10">
        <v>127785</v>
      </c>
      <c r="J111" s="22">
        <v>112515</v>
      </c>
      <c r="K111" s="22">
        <v>166145</v>
      </c>
      <c r="L111" s="22">
        <v>186798</v>
      </c>
      <c r="M111" s="22">
        <v>95957</v>
      </c>
      <c r="N111" s="22">
        <v>111489</v>
      </c>
      <c r="O111" s="10">
        <v>118849</v>
      </c>
      <c r="P111" s="10">
        <v>155734</v>
      </c>
      <c r="Q111" s="6">
        <f t="shared" si="4"/>
        <v>1688834</v>
      </c>
      <c r="R111" s="15">
        <f t="shared" si="5"/>
        <v>3.0767371571705393E-2</v>
      </c>
      <c r="S111" s="10"/>
      <c r="T111" s="23"/>
    </row>
    <row r="112" spans="1:20" ht="15.75">
      <c r="A112" s="1" t="s">
        <v>85</v>
      </c>
      <c r="B112" s="1" t="s">
        <v>364</v>
      </c>
      <c r="C112" s="1" t="s">
        <v>126</v>
      </c>
      <c r="D112" s="6">
        <f>'2012 pax'!Q112</f>
        <v>546951</v>
      </c>
      <c r="E112" s="10">
        <v>55210</v>
      </c>
      <c r="F112" s="10">
        <v>46938</v>
      </c>
      <c r="G112" s="10">
        <v>60321</v>
      </c>
      <c r="H112" s="10">
        <v>50123</v>
      </c>
      <c r="I112" s="10">
        <v>42971</v>
      </c>
      <c r="J112" s="10">
        <v>44139</v>
      </c>
      <c r="K112" s="10">
        <v>61663</v>
      </c>
      <c r="L112" s="10">
        <v>51868</v>
      </c>
      <c r="M112" s="10">
        <v>52066</v>
      </c>
      <c r="N112" s="10">
        <v>45838</v>
      </c>
      <c r="O112" s="10">
        <v>50701</v>
      </c>
      <c r="P112" s="10">
        <v>55241</v>
      </c>
      <c r="Q112" s="6">
        <f t="shared" si="4"/>
        <v>617079</v>
      </c>
      <c r="R112" s="15">
        <f t="shared" si="5"/>
        <v>0.12821623874899224</v>
      </c>
    </row>
    <row r="113" spans="1:18">
      <c r="A113" s="1" t="s">
        <v>85</v>
      </c>
      <c r="B113" s="1" t="s">
        <v>377</v>
      </c>
      <c r="C113" s="1" t="s">
        <v>121</v>
      </c>
      <c r="D113" s="6">
        <f>'2012 pax'!Q113</f>
        <v>399900</v>
      </c>
      <c r="E113" s="10">
        <v>32300</v>
      </c>
      <c r="F113" s="10">
        <v>27800</v>
      </c>
      <c r="G113" s="10">
        <v>31700</v>
      </c>
      <c r="H113" s="10">
        <v>37800</v>
      </c>
      <c r="I113" s="10">
        <v>40200</v>
      </c>
      <c r="J113" s="10">
        <v>36000</v>
      </c>
      <c r="K113" s="10">
        <v>46700</v>
      </c>
      <c r="L113" s="10">
        <v>43500</v>
      </c>
      <c r="M113" s="10">
        <v>38600</v>
      </c>
      <c r="N113" s="10">
        <v>39400</v>
      </c>
      <c r="O113" s="10">
        <v>40900</v>
      </c>
      <c r="P113" s="10">
        <v>41700</v>
      </c>
      <c r="Q113" s="6">
        <f t="shared" si="4"/>
        <v>456600</v>
      </c>
      <c r="R113" s="15">
        <f t="shared" si="5"/>
        <v>0.14178544636159041</v>
      </c>
    </row>
    <row r="114" spans="1:18">
      <c r="A114" s="1" t="s">
        <v>85</v>
      </c>
      <c r="B114" s="1" t="s">
        <v>88</v>
      </c>
      <c r="C114" s="1" t="s">
        <v>89</v>
      </c>
      <c r="D114" s="6">
        <v>14463435</v>
      </c>
      <c r="E114" s="10">
        <v>1371725</v>
      </c>
      <c r="F114" s="10">
        <v>1285609</v>
      </c>
      <c r="G114" s="10">
        <v>1593332</v>
      </c>
      <c r="H114" s="10">
        <v>1368884</v>
      </c>
      <c r="I114" s="10">
        <v>1265461</v>
      </c>
      <c r="J114" s="10">
        <v>1334129</v>
      </c>
      <c r="K114" s="10">
        <v>1607262</v>
      </c>
      <c r="L114" s="10">
        <v>1429779</v>
      </c>
      <c r="M114" s="10">
        <v>963468</v>
      </c>
      <c r="N114" s="10">
        <v>1024720</v>
      </c>
      <c r="O114" s="10">
        <v>1224005</v>
      </c>
      <c r="P114" s="10">
        <v>1457987</v>
      </c>
      <c r="Q114" s="6">
        <f t="shared" si="4"/>
        <v>15926361</v>
      </c>
      <c r="R114" s="15">
        <f t="shared" si="5"/>
        <v>0.10114651187632817</v>
      </c>
    </row>
    <row r="115" spans="1:18" ht="15.75">
      <c r="A115" s="1" t="s">
        <v>85</v>
      </c>
      <c r="B115" s="1" t="s">
        <v>365</v>
      </c>
      <c r="C115" s="1" t="s">
        <v>129</v>
      </c>
      <c r="D115" s="6">
        <f>'2012 pax'!Q115</f>
        <v>892482</v>
      </c>
      <c r="E115" s="10">
        <v>63423</v>
      </c>
      <c r="F115" s="10">
        <v>58726</v>
      </c>
      <c r="G115" s="10">
        <v>69128</v>
      </c>
      <c r="H115" s="10">
        <v>70906</v>
      </c>
      <c r="I115" s="10">
        <v>71232</v>
      </c>
      <c r="J115" s="10">
        <v>74761</v>
      </c>
      <c r="K115" s="10">
        <v>93133</v>
      </c>
      <c r="L115" s="10">
        <v>84695</v>
      </c>
      <c r="M115" s="10">
        <v>74782</v>
      </c>
      <c r="N115" s="10">
        <v>78961</v>
      </c>
      <c r="O115" s="10">
        <v>72855</v>
      </c>
      <c r="P115" s="10">
        <v>73057</v>
      </c>
      <c r="Q115" s="6">
        <f t="shared" si="4"/>
        <v>885659</v>
      </c>
      <c r="R115" s="15">
        <f t="shared" si="5"/>
        <v>-7.6449721114824065E-3</v>
      </c>
    </row>
    <row r="116" spans="1:18" ht="15.75">
      <c r="A116" s="1" t="s">
        <v>85</v>
      </c>
      <c r="B116" s="1" t="s">
        <v>366</v>
      </c>
      <c r="C116" s="1" t="s">
        <v>127</v>
      </c>
      <c r="D116" s="6">
        <f>'2012 pax'!Q116</f>
        <v>699394</v>
      </c>
      <c r="E116" s="10">
        <v>51558</v>
      </c>
      <c r="F116" s="10">
        <v>44553</v>
      </c>
      <c r="G116" s="10">
        <v>55056</v>
      </c>
      <c r="H116" s="10">
        <v>50782</v>
      </c>
      <c r="I116" s="10">
        <v>54515</v>
      </c>
      <c r="J116" s="10">
        <v>61249</v>
      </c>
      <c r="K116" s="10">
        <v>76651</v>
      </c>
      <c r="L116" s="10">
        <v>66753</v>
      </c>
      <c r="M116" s="10">
        <v>56747</v>
      </c>
      <c r="N116" s="10">
        <v>58497</v>
      </c>
      <c r="O116" s="10">
        <v>59531</v>
      </c>
      <c r="P116" s="10">
        <v>67012</v>
      </c>
      <c r="Q116" s="6">
        <f t="shared" si="4"/>
        <v>702904</v>
      </c>
      <c r="R116" s="15">
        <f t="shared" si="5"/>
        <v>5.0186304143300386E-3</v>
      </c>
    </row>
    <row r="117" spans="1:18">
      <c r="A117" s="1" t="s">
        <v>85</v>
      </c>
      <c r="B117" s="1" t="s">
        <v>97</v>
      </c>
      <c r="C117" s="1" t="s">
        <v>98</v>
      </c>
      <c r="D117" s="6">
        <f>'2012 pax'!Q117</f>
        <v>457269</v>
      </c>
      <c r="E117" s="10">
        <v>39439</v>
      </c>
      <c r="F117" s="10">
        <v>44092</v>
      </c>
      <c r="G117" s="10">
        <v>66584</v>
      </c>
      <c r="H117" s="10">
        <v>41510</v>
      </c>
      <c r="I117" s="10">
        <v>32824</v>
      </c>
      <c r="J117" s="10">
        <v>43002</v>
      </c>
      <c r="K117" s="10">
        <v>45260</v>
      </c>
      <c r="L117" s="10">
        <v>28242</v>
      </c>
      <c r="M117" s="10">
        <v>14496</v>
      </c>
      <c r="N117" s="10">
        <v>17526</v>
      </c>
      <c r="O117" s="10">
        <v>30573</v>
      </c>
      <c r="P117" s="10">
        <v>45086</v>
      </c>
      <c r="Q117" s="6">
        <f t="shared" si="4"/>
        <v>448634</v>
      </c>
      <c r="R117" s="15">
        <f t="shared" si="5"/>
        <v>-1.8883851737161228E-2</v>
      </c>
    </row>
    <row r="118" spans="1:18" ht="15.75">
      <c r="A118" s="1" t="s">
        <v>85</v>
      </c>
      <c r="B118" s="1" t="s">
        <v>367</v>
      </c>
      <c r="C118" s="1" t="s">
        <v>125</v>
      </c>
      <c r="D118" s="6">
        <f>'2012 pax'!Q118</f>
        <v>1168380</v>
      </c>
      <c r="E118" s="10">
        <v>92725</v>
      </c>
      <c r="F118" s="10">
        <v>84059</v>
      </c>
      <c r="G118" s="10">
        <v>102984</v>
      </c>
      <c r="H118" s="10">
        <v>101528</v>
      </c>
      <c r="I118" s="10">
        <v>99841</v>
      </c>
      <c r="J118" s="10">
        <v>94279</v>
      </c>
      <c r="K118" s="10">
        <v>115769</v>
      </c>
      <c r="L118" s="10">
        <v>107161</v>
      </c>
      <c r="M118" s="10">
        <v>91250</v>
      </c>
      <c r="N118" s="10">
        <v>112448</v>
      </c>
      <c r="O118" s="10">
        <v>122018</v>
      </c>
      <c r="P118" s="10">
        <v>128173</v>
      </c>
      <c r="Q118" s="6">
        <f t="shared" si="4"/>
        <v>1252235</v>
      </c>
      <c r="R118" s="15">
        <f t="shared" si="5"/>
        <v>7.1770314452489714E-2</v>
      </c>
    </row>
    <row r="119" spans="1:18" ht="15.75">
      <c r="A119" s="1" t="s">
        <v>85</v>
      </c>
      <c r="B119" s="1" t="s">
        <v>368</v>
      </c>
      <c r="C119" s="1" t="s">
        <v>136</v>
      </c>
      <c r="D119" s="6">
        <f>'2012 pax'!Q119</f>
        <v>241946</v>
      </c>
      <c r="E119" s="10">
        <v>18189</v>
      </c>
      <c r="F119" s="10">
        <v>16188</v>
      </c>
      <c r="G119" s="10">
        <v>18107</v>
      </c>
      <c r="H119" s="10">
        <v>17907</v>
      </c>
      <c r="I119" s="10">
        <v>19513</v>
      </c>
      <c r="J119" s="10">
        <v>20279</v>
      </c>
      <c r="K119" s="10">
        <v>22986</v>
      </c>
      <c r="L119" s="10">
        <v>20126</v>
      </c>
      <c r="M119" s="10">
        <v>18601</v>
      </c>
      <c r="N119" s="10">
        <v>22527</v>
      </c>
      <c r="O119" s="10">
        <v>20504</v>
      </c>
      <c r="P119" s="10">
        <v>21025</v>
      </c>
      <c r="Q119" s="6">
        <f t="shared" si="4"/>
        <v>235952</v>
      </c>
      <c r="R119" s="15">
        <f t="shared" si="5"/>
        <v>-2.4774123151447003E-2</v>
      </c>
    </row>
    <row r="120" spans="1:18">
      <c r="A120" s="1" t="s">
        <v>85</v>
      </c>
      <c r="B120" s="1" t="s">
        <v>105</v>
      </c>
      <c r="C120" s="1" t="s">
        <v>106</v>
      </c>
      <c r="D120" s="6">
        <f>'2012 pax'!Q120</f>
        <v>7430100</v>
      </c>
      <c r="E120" s="10">
        <v>647700</v>
      </c>
      <c r="F120" s="10">
        <v>552100</v>
      </c>
      <c r="G120" s="10">
        <v>648100</v>
      </c>
      <c r="H120" s="10">
        <v>614100</v>
      </c>
      <c r="I120" s="10">
        <v>654200</v>
      </c>
      <c r="J120" s="10">
        <v>659000</v>
      </c>
      <c r="K120" s="10">
        <v>805400</v>
      </c>
      <c r="L120" s="10">
        <v>767700</v>
      </c>
      <c r="M120" s="10">
        <v>617500</v>
      </c>
      <c r="N120" s="10">
        <v>686700</v>
      </c>
      <c r="O120" s="10">
        <v>698000</v>
      </c>
      <c r="P120" s="10">
        <v>797200</v>
      </c>
      <c r="Q120" s="6">
        <f t="shared" si="4"/>
        <v>8147700</v>
      </c>
      <c r="R120" s="15">
        <f t="shared" si="5"/>
        <v>9.6580126781604658E-2</v>
      </c>
    </row>
    <row r="121" spans="1:18">
      <c r="A121" s="1" t="s">
        <v>85</v>
      </c>
      <c r="B121" s="1" t="s">
        <v>113</v>
      </c>
      <c r="C121" s="1" t="s">
        <v>114</v>
      </c>
      <c r="D121" s="6">
        <f>'2012 pax'!Q121</f>
        <v>1288400</v>
      </c>
      <c r="E121" s="10">
        <v>102400</v>
      </c>
      <c r="F121" s="10">
        <v>90800</v>
      </c>
      <c r="G121" s="10">
        <v>107300</v>
      </c>
      <c r="H121" s="10">
        <v>107200</v>
      </c>
      <c r="I121" s="10">
        <v>111700</v>
      </c>
      <c r="J121" s="10">
        <v>110000</v>
      </c>
      <c r="K121" s="10">
        <v>124300</v>
      </c>
      <c r="L121" s="10">
        <v>112600</v>
      </c>
      <c r="M121" s="10">
        <v>108400</v>
      </c>
      <c r="N121" s="10">
        <v>118700</v>
      </c>
      <c r="O121" s="10">
        <v>115700</v>
      </c>
      <c r="P121" s="10">
        <v>120600</v>
      </c>
      <c r="Q121" s="6">
        <f t="shared" si="4"/>
        <v>1329700</v>
      </c>
      <c r="R121" s="15">
        <f t="shared" si="5"/>
        <v>3.2055262340887847E-2</v>
      </c>
    </row>
    <row r="122" spans="1:18">
      <c r="A122" s="1" t="s">
        <v>85</v>
      </c>
      <c r="B122" s="1" t="s">
        <v>99</v>
      </c>
      <c r="C122" s="1" t="s">
        <v>100</v>
      </c>
      <c r="D122" s="6">
        <f>'2012 pax'!Q122</f>
        <v>473262</v>
      </c>
      <c r="E122" s="22">
        <v>50255</v>
      </c>
      <c r="F122" s="10">
        <v>42938</v>
      </c>
      <c r="G122" s="10">
        <v>50697</v>
      </c>
      <c r="H122" s="10">
        <v>39168</v>
      </c>
      <c r="I122" s="10">
        <v>36820</v>
      </c>
      <c r="J122" s="10">
        <v>36507</v>
      </c>
      <c r="K122" s="10">
        <v>49234</v>
      </c>
      <c r="L122" s="10">
        <v>39804</v>
      </c>
      <c r="M122" s="10">
        <v>26397</v>
      </c>
      <c r="N122" s="10">
        <v>25327</v>
      </c>
      <c r="O122" s="10">
        <v>34933</v>
      </c>
      <c r="P122" s="10">
        <v>50213</v>
      </c>
      <c r="Q122" s="6">
        <f t="shared" si="4"/>
        <v>482293</v>
      </c>
      <c r="R122" s="15">
        <f t="shared" si="5"/>
        <v>1.9082453271126676E-2</v>
      </c>
    </row>
    <row r="123" spans="1:18">
      <c r="A123" s="1" t="s">
        <v>85</v>
      </c>
      <c r="B123" s="1" t="s">
        <v>381</v>
      </c>
      <c r="C123" s="1" t="s">
        <v>120</v>
      </c>
      <c r="D123" s="6">
        <f>'2012 pax'!Q123</f>
        <v>553300</v>
      </c>
      <c r="E123" s="10">
        <v>43400</v>
      </c>
      <c r="F123" s="10">
        <v>39800</v>
      </c>
      <c r="G123" s="10">
        <v>51800</v>
      </c>
      <c r="H123" s="10">
        <v>46500</v>
      </c>
      <c r="I123" s="10">
        <v>46500</v>
      </c>
      <c r="J123" s="10">
        <v>45600</v>
      </c>
      <c r="K123" s="10">
        <v>64100</v>
      </c>
      <c r="L123" s="10">
        <v>54700</v>
      </c>
      <c r="M123" s="10">
        <v>44100</v>
      </c>
      <c r="N123" s="10">
        <v>51300</v>
      </c>
      <c r="O123" s="10">
        <v>52700</v>
      </c>
      <c r="P123" s="10">
        <v>59800</v>
      </c>
      <c r="Q123" s="6">
        <f t="shared" si="4"/>
        <v>600300</v>
      </c>
      <c r="R123" s="15">
        <f t="shared" si="5"/>
        <v>8.4944876197361241E-2</v>
      </c>
    </row>
    <row r="124" spans="1:18">
      <c r="A124" s="1" t="s">
        <v>85</v>
      </c>
      <c r="B124" s="1" t="s">
        <v>380</v>
      </c>
      <c r="C124" s="1" t="s">
        <v>115</v>
      </c>
      <c r="D124" s="6">
        <f>'2012 pax'!Q124</f>
        <v>950200</v>
      </c>
      <c r="E124" s="10">
        <v>85200</v>
      </c>
      <c r="F124" s="10">
        <v>65400</v>
      </c>
      <c r="G124" s="10">
        <v>78300</v>
      </c>
      <c r="H124" s="10">
        <v>73600</v>
      </c>
      <c r="I124" s="10">
        <v>81800</v>
      </c>
      <c r="J124" s="10">
        <v>80800</v>
      </c>
      <c r="K124" s="10">
        <v>97000</v>
      </c>
      <c r="L124" s="10">
        <v>88700</v>
      </c>
      <c r="M124" s="10">
        <v>76200</v>
      </c>
      <c r="N124" s="10">
        <v>77200</v>
      </c>
      <c r="O124" s="10">
        <v>86600</v>
      </c>
      <c r="P124" s="10">
        <v>107300</v>
      </c>
      <c r="Q124" s="6">
        <f t="shared" si="4"/>
        <v>998100</v>
      </c>
      <c r="R124" s="15">
        <f t="shared" si="5"/>
        <v>5.0410439907387916E-2</v>
      </c>
    </row>
    <row r="125" spans="1:18">
      <c r="A125" s="1" t="s">
        <v>85</v>
      </c>
      <c r="B125" s="1" t="s">
        <v>379</v>
      </c>
      <c r="C125" s="1" t="s">
        <v>123</v>
      </c>
      <c r="D125" s="6">
        <f>'2012 pax'!Q125</f>
        <v>183400</v>
      </c>
      <c r="E125" s="10">
        <v>15400</v>
      </c>
      <c r="F125" s="10">
        <v>12700</v>
      </c>
      <c r="G125" s="10">
        <v>15900</v>
      </c>
      <c r="H125" s="10">
        <v>16200</v>
      </c>
      <c r="I125" s="10">
        <v>16700</v>
      </c>
      <c r="J125" s="10">
        <v>16200</v>
      </c>
      <c r="K125" s="10">
        <v>17600</v>
      </c>
      <c r="L125" s="10">
        <v>16400</v>
      </c>
      <c r="M125" s="10">
        <v>16000</v>
      </c>
      <c r="N125" s="10">
        <v>17000</v>
      </c>
      <c r="O125" s="10">
        <v>18600</v>
      </c>
      <c r="P125" s="10">
        <v>18200</v>
      </c>
      <c r="Q125" s="6">
        <f t="shared" si="4"/>
        <v>196900</v>
      </c>
      <c r="R125" s="15">
        <f t="shared" si="5"/>
        <v>7.3609596510359809E-2</v>
      </c>
    </row>
    <row r="126" spans="1:18">
      <c r="A126" s="1" t="s">
        <v>85</v>
      </c>
      <c r="B126" s="1" t="s">
        <v>378</v>
      </c>
      <c r="C126" s="1" t="s">
        <v>122</v>
      </c>
      <c r="D126" s="6">
        <f>'2012 pax'!Q126</f>
        <v>167800</v>
      </c>
      <c r="E126" s="10">
        <v>23600</v>
      </c>
      <c r="F126" s="10">
        <v>21600</v>
      </c>
      <c r="G126" s="10">
        <v>22200</v>
      </c>
      <c r="H126" s="10">
        <v>13100</v>
      </c>
      <c r="I126" s="10">
        <v>10400</v>
      </c>
      <c r="J126" s="10">
        <v>10200</v>
      </c>
      <c r="K126" s="10">
        <v>16200</v>
      </c>
      <c r="L126" s="10">
        <v>16000</v>
      </c>
      <c r="M126" s="10">
        <v>9700</v>
      </c>
      <c r="N126" s="10">
        <v>11200</v>
      </c>
      <c r="O126" s="10">
        <v>16500</v>
      </c>
      <c r="P126" s="10">
        <v>22700</v>
      </c>
      <c r="Q126" s="6">
        <f t="shared" si="4"/>
        <v>193400</v>
      </c>
      <c r="R126" s="15">
        <f t="shared" si="5"/>
        <v>0.15256257449344468</v>
      </c>
    </row>
    <row r="127" spans="1:18" ht="15.75">
      <c r="A127" s="1" t="s">
        <v>85</v>
      </c>
      <c r="B127" s="1" t="s">
        <v>369</v>
      </c>
      <c r="C127" s="1" t="s">
        <v>128</v>
      </c>
      <c r="D127" s="6">
        <f>'2012 pax'!Q127</f>
        <v>669407</v>
      </c>
      <c r="E127" s="10">
        <v>61331</v>
      </c>
      <c r="F127" s="10">
        <v>60122</v>
      </c>
      <c r="G127" s="10">
        <v>74827</v>
      </c>
      <c r="H127" s="10">
        <v>62918</v>
      </c>
      <c r="I127" s="10">
        <v>56401</v>
      </c>
      <c r="J127" s="10">
        <v>53715</v>
      </c>
      <c r="K127" s="10">
        <v>72647</v>
      </c>
      <c r="L127" s="10">
        <v>60678</v>
      </c>
      <c r="M127" s="10">
        <v>41499</v>
      </c>
      <c r="N127" s="10">
        <v>47270</v>
      </c>
      <c r="O127" s="10">
        <v>66045</v>
      </c>
      <c r="P127" s="10">
        <v>73844</v>
      </c>
      <c r="Q127" s="6">
        <f t="shared" si="4"/>
        <v>731297</v>
      </c>
      <c r="R127" s="15">
        <f t="shared" si="5"/>
        <v>9.2454963871008156E-2</v>
      </c>
    </row>
    <row r="128" spans="1:18">
      <c r="A128" s="1" t="s">
        <v>85</v>
      </c>
      <c r="B128" s="1" t="s">
        <v>488</v>
      </c>
      <c r="C128" s="1" t="s">
        <v>90</v>
      </c>
      <c r="D128" s="6">
        <f>'2012 pax'!Q128</f>
        <v>1233738</v>
      </c>
      <c r="E128" s="10">
        <v>112003</v>
      </c>
      <c r="F128" s="10">
        <v>94673</v>
      </c>
      <c r="G128" s="10">
        <v>102590</v>
      </c>
      <c r="H128" s="10">
        <v>102590</v>
      </c>
      <c r="I128" s="10">
        <v>102233</v>
      </c>
      <c r="J128" s="10">
        <v>107383</v>
      </c>
      <c r="K128" s="10">
        <v>122121</v>
      </c>
      <c r="L128" s="10">
        <v>111065</v>
      </c>
      <c r="M128" s="10">
        <v>103294</v>
      </c>
      <c r="N128" s="10">
        <v>115823</v>
      </c>
      <c r="O128" s="10">
        <v>123710</v>
      </c>
      <c r="P128" s="10">
        <v>125568</v>
      </c>
      <c r="Q128" s="6">
        <f t="shared" si="4"/>
        <v>1323053</v>
      </c>
      <c r="R128" s="15">
        <f t="shared" si="5"/>
        <v>7.2393814570030246E-2</v>
      </c>
    </row>
    <row r="129" spans="1:18">
      <c r="A129" s="1" t="s">
        <v>85</v>
      </c>
      <c r="B129" s="1" t="s">
        <v>116</v>
      </c>
      <c r="C129" s="1" t="s">
        <v>117</v>
      </c>
      <c r="D129" s="6">
        <f>'2012 pax'!Q129</f>
        <v>521600</v>
      </c>
      <c r="E129" s="10">
        <v>39200</v>
      </c>
      <c r="F129" s="10">
        <v>32200</v>
      </c>
      <c r="G129" s="10">
        <v>39900</v>
      </c>
      <c r="H129" s="10">
        <v>40500</v>
      </c>
      <c r="I129" s="10">
        <v>44400</v>
      </c>
      <c r="J129" s="10">
        <v>40300</v>
      </c>
      <c r="K129" s="10">
        <v>52300</v>
      </c>
      <c r="L129" s="10">
        <v>46600</v>
      </c>
      <c r="M129" s="10">
        <v>36800</v>
      </c>
      <c r="N129" s="10">
        <v>39700</v>
      </c>
      <c r="O129" s="10">
        <v>38700</v>
      </c>
      <c r="P129" s="10">
        <v>45300</v>
      </c>
      <c r="Q129" s="6">
        <f t="shared" si="4"/>
        <v>495900</v>
      </c>
      <c r="R129" s="15">
        <f t="shared" si="5"/>
        <v>-4.9271472392638072E-2</v>
      </c>
    </row>
    <row r="130" spans="1:18">
      <c r="A130" s="1" t="s">
        <v>85</v>
      </c>
      <c r="B130" s="1" t="s">
        <v>86</v>
      </c>
      <c r="C130" s="1" t="s">
        <v>87</v>
      </c>
      <c r="D130" s="6">
        <f>'2012 pax'!Q130</f>
        <v>29491553</v>
      </c>
      <c r="E130" s="10">
        <v>2472482</v>
      </c>
      <c r="F130" s="10">
        <v>2112706</v>
      </c>
      <c r="G130" s="10">
        <v>2493745</v>
      </c>
      <c r="H130" s="10">
        <v>2431636</v>
      </c>
      <c r="I130" s="10">
        <v>2550989</v>
      </c>
      <c r="J130" s="10">
        <v>2621785</v>
      </c>
      <c r="K130" s="10">
        <v>3107884</v>
      </c>
      <c r="L130" s="10">
        <v>2884472</v>
      </c>
      <c r="M130" s="10">
        <v>2510140</v>
      </c>
      <c r="N130" s="10">
        <v>2671506</v>
      </c>
      <c r="O130" s="10">
        <v>2727302</v>
      </c>
      <c r="P130" s="10">
        <v>2949991</v>
      </c>
      <c r="Q130" s="6">
        <f t="shared" si="4"/>
        <v>31534638</v>
      </c>
      <c r="R130" s="15">
        <f t="shared" si="5"/>
        <v>6.9276955337007839E-2</v>
      </c>
    </row>
    <row r="131" spans="1:18">
      <c r="A131" s="1" t="s">
        <v>85</v>
      </c>
      <c r="B131" s="1" t="s">
        <v>103</v>
      </c>
      <c r="C131" s="1" t="s">
        <v>104</v>
      </c>
      <c r="D131" s="6">
        <f>'2012 pax'!Q131</f>
        <v>133235</v>
      </c>
      <c r="E131" s="10">
        <v>10991</v>
      </c>
      <c r="F131" s="10">
        <v>10668</v>
      </c>
      <c r="G131" s="10">
        <v>11640</v>
      </c>
      <c r="H131" s="10">
        <v>12685</v>
      </c>
      <c r="I131" s="10">
        <v>13155</v>
      </c>
      <c r="J131" s="10">
        <v>12217</v>
      </c>
      <c r="K131" s="10">
        <v>15949</v>
      </c>
      <c r="L131" s="10">
        <v>17443</v>
      </c>
      <c r="M131" s="10">
        <v>16154</v>
      </c>
      <c r="N131" s="10">
        <v>18221</v>
      </c>
      <c r="O131" s="10">
        <v>17443</v>
      </c>
      <c r="P131" s="10">
        <v>18088</v>
      </c>
      <c r="Q131" s="6">
        <f t="shared" si="4"/>
        <v>174654</v>
      </c>
      <c r="R131" s="15">
        <f t="shared" si="5"/>
        <v>0.31087176792884752</v>
      </c>
    </row>
    <row r="132" spans="1:18" ht="15.75">
      <c r="A132" s="1" t="s">
        <v>85</v>
      </c>
      <c r="B132" s="1" t="s">
        <v>370</v>
      </c>
      <c r="C132" s="1" t="s">
        <v>124</v>
      </c>
      <c r="D132" s="6">
        <f>'2012 pax'!Q132</f>
        <v>6105910</v>
      </c>
      <c r="E132" s="10">
        <v>450600</v>
      </c>
      <c r="F132" s="10">
        <v>425697</v>
      </c>
      <c r="G132" s="10">
        <v>527825</v>
      </c>
      <c r="H132" s="10">
        <v>522985</v>
      </c>
      <c r="I132" s="10">
        <v>529160</v>
      </c>
      <c r="J132" s="10">
        <v>550720</v>
      </c>
      <c r="K132" s="10">
        <v>688514</v>
      </c>
      <c r="L132" s="10">
        <v>614640</v>
      </c>
      <c r="M132" s="10">
        <v>508906</v>
      </c>
      <c r="N132" s="10">
        <v>537411</v>
      </c>
      <c r="O132" s="10">
        <v>519902</v>
      </c>
      <c r="P132" s="10">
        <v>541395</v>
      </c>
      <c r="Q132" s="6">
        <f t="shared" ref="Q132:Q198" si="6">SUM(E132:P132)</f>
        <v>6417755</v>
      </c>
      <c r="R132" s="15">
        <f t="shared" si="5"/>
        <v>5.1072649285692107E-2</v>
      </c>
    </row>
    <row r="133" spans="1:18">
      <c r="A133" s="1" t="s">
        <v>85</v>
      </c>
      <c r="B133" s="1" t="s">
        <v>118</v>
      </c>
      <c r="C133" s="1" t="s">
        <v>119</v>
      </c>
      <c r="D133" s="6">
        <f>'2012 pax'!Q133</f>
        <v>409600</v>
      </c>
      <c r="E133" s="10">
        <v>38700</v>
      </c>
      <c r="F133" s="10">
        <v>29800</v>
      </c>
      <c r="G133" s="10">
        <v>35900</v>
      </c>
      <c r="H133" s="10">
        <v>30900</v>
      </c>
      <c r="I133" s="10">
        <v>32500</v>
      </c>
      <c r="J133" s="10">
        <v>33200</v>
      </c>
      <c r="K133" s="10">
        <v>45200</v>
      </c>
      <c r="L133" s="10">
        <v>40600</v>
      </c>
      <c r="M133" s="10">
        <v>30100</v>
      </c>
      <c r="N133" s="10">
        <v>29900</v>
      </c>
      <c r="O133" s="10">
        <v>32500</v>
      </c>
      <c r="P133" s="10">
        <v>45800</v>
      </c>
      <c r="Q133" s="6">
        <f t="shared" si="6"/>
        <v>425100</v>
      </c>
      <c r="R133" s="15">
        <f t="shared" si="5"/>
        <v>3.7841796875E-2</v>
      </c>
    </row>
    <row r="134" spans="1:18">
      <c r="A134" s="1" t="s">
        <v>85</v>
      </c>
      <c r="B134" s="1" t="s">
        <v>95</v>
      </c>
      <c r="C134" s="1" t="s">
        <v>96</v>
      </c>
      <c r="D134" s="6">
        <f>'2012 pax'!Q134</f>
        <v>473133</v>
      </c>
      <c r="E134" s="10">
        <v>40360</v>
      </c>
      <c r="F134" s="10">
        <v>42938</v>
      </c>
      <c r="G134" s="10">
        <v>40387</v>
      </c>
      <c r="H134" s="10">
        <v>38883</v>
      </c>
      <c r="I134" s="10">
        <v>39258</v>
      </c>
      <c r="J134" s="10">
        <v>42658</v>
      </c>
      <c r="K134" s="10">
        <v>50514</v>
      </c>
      <c r="L134" s="10">
        <v>46943</v>
      </c>
      <c r="M134" s="10">
        <v>38577</v>
      </c>
      <c r="N134" s="10">
        <v>42956</v>
      </c>
      <c r="O134" s="10">
        <v>45221</v>
      </c>
      <c r="P134" s="10">
        <v>50213</v>
      </c>
      <c r="Q134" s="6">
        <f t="shared" si="6"/>
        <v>518908</v>
      </c>
      <c r="R134" s="15">
        <f t="shared" si="5"/>
        <v>9.6748694341760144E-2</v>
      </c>
    </row>
    <row r="135" spans="1:18">
      <c r="A135" s="1" t="s">
        <v>85</v>
      </c>
      <c r="B135" s="1" t="s">
        <v>109</v>
      </c>
      <c r="C135" s="1" t="s">
        <v>110</v>
      </c>
      <c r="D135" s="6">
        <f>'2012 pax'!Q135</f>
        <v>2597200</v>
      </c>
      <c r="E135" s="10">
        <v>285000</v>
      </c>
      <c r="F135" s="10">
        <v>277700</v>
      </c>
      <c r="G135" s="10">
        <v>347100</v>
      </c>
      <c r="H135" s="10">
        <v>229700</v>
      </c>
      <c r="I135" s="10">
        <v>173600</v>
      </c>
      <c r="J135" s="10">
        <v>182400</v>
      </c>
      <c r="K135" s="10">
        <v>208300</v>
      </c>
      <c r="L135" s="10">
        <v>182700</v>
      </c>
      <c r="M135" s="10">
        <v>118600</v>
      </c>
      <c r="N135" s="10">
        <v>151700</v>
      </c>
      <c r="O135" s="10">
        <v>229300</v>
      </c>
      <c r="P135" s="10">
        <v>284600</v>
      </c>
      <c r="Q135" s="6">
        <f t="shared" si="6"/>
        <v>2670700</v>
      </c>
      <c r="R135" s="15">
        <f t="shared" si="5"/>
        <v>2.8299707377175354E-2</v>
      </c>
    </row>
    <row r="136" spans="1:18" ht="15.75">
      <c r="A136" s="1" t="s">
        <v>85</v>
      </c>
      <c r="B136" s="1" t="s">
        <v>371</v>
      </c>
      <c r="C136" s="1" t="s">
        <v>135</v>
      </c>
      <c r="D136" s="6">
        <f>'2012 pax'!Q136</f>
        <v>302934</v>
      </c>
      <c r="E136" s="10">
        <v>29034</v>
      </c>
      <c r="F136" s="10">
        <v>25739</v>
      </c>
      <c r="G136" s="10">
        <v>31279</v>
      </c>
      <c r="H136" s="10">
        <v>27650</v>
      </c>
      <c r="I136" s="10">
        <v>28874</v>
      </c>
      <c r="J136" s="10">
        <v>29661</v>
      </c>
      <c r="K136" s="10">
        <v>35181</v>
      </c>
      <c r="L136" s="10">
        <v>33688</v>
      </c>
      <c r="M136" s="10">
        <v>33502</v>
      </c>
      <c r="N136" s="10">
        <v>36336</v>
      </c>
      <c r="O136" s="10">
        <v>38803</v>
      </c>
      <c r="P136" s="10">
        <v>42459</v>
      </c>
      <c r="Q136" s="6">
        <f t="shared" si="6"/>
        <v>392206</v>
      </c>
      <c r="R136" s="15">
        <f t="shared" si="5"/>
        <v>0.29469125288016529</v>
      </c>
    </row>
    <row r="137" spans="1:18">
      <c r="A137" s="1" t="s">
        <v>85</v>
      </c>
      <c r="B137" s="1" t="s">
        <v>111</v>
      </c>
      <c r="C137" s="1" t="s">
        <v>112</v>
      </c>
      <c r="D137" s="6">
        <f>'2012 pax'!Q137</f>
        <v>3017600</v>
      </c>
      <c r="E137" s="10">
        <v>269300</v>
      </c>
      <c r="F137" s="10">
        <v>265600</v>
      </c>
      <c r="G137" s="10">
        <v>357900</v>
      </c>
      <c r="H137" s="10">
        <v>294100</v>
      </c>
      <c r="I137" s="10">
        <v>268200</v>
      </c>
      <c r="J137" s="10">
        <v>291400</v>
      </c>
      <c r="K137" s="10">
        <v>339300</v>
      </c>
      <c r="L137" s="10">
        <v>292200</v>
      </c>
      <c r="M137" s="10">
        <v>187900</v>
      </c>
      <c r="N137" s="10">
        <v>241400</v>
      </c>
      <c r="O137" s="10">
        <v>279800</v>
      </c>
      <c r="P137" s="10">
        <v>300500</v>
      </c>
      <c r="Q137" s="6">
        <f t="shared" si="6"/>
        <v>3387600</v>
      </c>
      <c r="R137" s="15">
        <f t="shared" si="5"/>
        <v>0.1226139978791092</v>
      </c>
    </row>
    <row r="138" spans="1:18" ht="15.75">
      <c r="A138" s="1" t="s">
        <v>85</v>
      </c>
      <c r="B138" s="1" t="s">
        <v>372</v>
      </c>
      <c r="C138" s="1" t="s">
        <v>134</v>
      </c>
      <c r="D138" s="6">
        <f>'2012 pax'!Q138</f>
        <v>271107</v>
      </c>
      <c r="E138" s="10">
        <v>19705</v>
      </c>
      <c r="F138" s="10">
        <v>18406</v>
      </c>
      <c r="G138" s="10">
        <v>20701</v>
      </c>
      <c r="H138" s="10">
        <v>21466</v>
      </c>
      <c r="I138" s="10">
        <v>20932</v>
      </c>
      <c r="J138" s="10">
        <v>21389</v>
      </c>
      <c r="K138" s="10">
        <v>25724</v>
      </c>
      <c r="L138" s="10">
        <v>22994</v>
      </c>
      <c r="M138" s="10">
        <v>20295</v>
      </c>
      <c r="N138" s="10">
        <v>22427</v>
      </c>
      <c r="O138" s="10">
        <v>22883</v>
      </c>
      <c r="P138" s="10">
        <v>24777</v>
      </c>
      <c r="Q138" s="6">
        <f t="shared" si="6"/>
        <v>261699</v>
      </c>
      <c r="R138" s="15">
        <f t="shared" si="5"/>
        <v>-3.4702165565625331E-2</v>
      </c>
    </row>
    <row r="139" spans="1:18" ht="15.75">
      <c r="A139" s="1" t="s">
        <v>85</v>
      </c>
      <c r="B139" s="1" t="s">
        <v>373</v>
      </c>
      <c r="C139" s="1" t="s">
        <v>131</v>
      </c>
      <c r="D139" s="6">
        <f>'2012 pax'!Q139</f>
        <v>594797</v>
      </c>
      <c r="E139" s="10">
        <v>45067</v>
      </c>
      <c r="F139" s="10">
        <v>42061</v>
      </c>
      <c r="G139" s="10">
        <v>48112</v>
      </c>
      <c r="H139" s="10">
        <v>47626</v>
      </c>
      <c r="I139" s="10">
        <v>49949</v>
      </c>
      <c r="J139" s="10">
        <v>51842</v>
      </c>
      <c r="K139" s="10">
        <v>59494</v>
      </c>
      <c r="L139" s="10">
        <v>53155</v>
      </c>
      <c r="M139" s="10">
        <v>50226</v>
      </c>
      <c r="N139" s="10">
        <v>52907</v>
      </c>
      <c r="O139" s="10">
        <v>53018</v>
      </c>
      <c r="P139" s="10">
        <v>55356</v>
      </c>
      <c r="Q139" s="6">
        <f t="shared" si="6"/>
        <v>608813</v>
      </c>
      <c r="R139" s="15">
        <f t="shared" si="5"/>
        <v>2.3564342120084625E-2</v>
      </c>
    </row>
    <row r="140" spans="1:18">
      <c r="A140" s="1" t="s">
        <v>85</v>
      </c>
      <c r="B140" s="1" t="s">
        <v>101</v>
      </c>
      <c r="C140" s="1" t="s">
        <v>102</v>
      </c>
      <c r="D140" s="6">
        <f>'2012 pax'!Q140</f>
        <v>216759</v>
      </c>
      <c r="E140" s="10">
        <v>15314</v>
      </c>
      <c r="F140" s="10">
        <v>11546</v>
      </c>
      <c r="G140" s="10">
        <v>12713</v>
      </c>
      <c r="H140" s="10">
        <v>12151</v>
      </c>
      <c r="I140" s="10">
        <v>12205</v>
      </c>
      <c r="J140" s="10">
        <v>11972</v>
      </c>
      <c r="K140" s="10">
        <v>12941</v>
      </c>
      <c r="L140" s="10">
        <v>12350</v>
      </c>
      <c r="M140" s="10">
        <v>12005</v>
      </c>
      <c r="N140" s="10">
        <v>13648</v>
      </c>
      <c r="O140" s="10">
        <v>15043</v>
      </c>
      <c r="P140" s="10">
        <v>16790</v>
      </c>
      <c r="Q140" s="6">
        <f t="shared" si="6"/>
        <v>158678</v>
      </c>
      <c r="R140" s="15">
        <f t="shared" si="5"/>
        <v>-0.26795196508564811</v>
      </c>
    </row>
    <row r="141" spans="1:18">
      <c r="A141" s="1" t="s">
        <v>85</v>
      </c>
      <c r="B141" s="1" t="s">
        <v>107</v>
      </c>
      <c r="C141" s="1" t="s">
        <v>108</v>
      </c>
      <c r="D141" s="6">
        <f>'2012 pax'!Q141</f>
        <v>3755400</v>
      </c>
      <c r="E141" s="10">
        <v>344300</v>
      </c>
      <c r="F141" s="10">
        <v>257400</v>
      </c>
      <c r="G141" s="10">
        <v>330900</v>
      </c>
      <c r="H141" s="10">
        <v>311400</v>
      </c>
      <c r="I141" s="10">
        <v>340800</v>
      </c>
      <c r="J141" s="10">
        <v>350300</v>
      </c>
      <c r="K141" s="10">
        <v>459200</v>
      </c>
      <c r="L141" s="10">
        <v>414800</v>
      </c>
      <c r="M141" s="10">
        <v>311700</v>
      </c>
      <c r="N141" s="10">
        <v>327400</v>
      </c>
      <c r="O141" s="10">
        <v>357100</v>
      </c>
      <c r="P141" s="10">
        <v>463400</v>
      </c>
      <c r="Q141" s="6">
        <f t="shared" si="6"/>
        <v>4268700</v>
      </c>
      <c r="R141" s="15">
        <f t="shared" si="5"/>
        <v>0.13668317622623416</v>
      </c>
    </row>
    <row r="142" spans="1:18" ht="15.75">
      <c r="A142" s="1" t="s">
        <v>85</v>
      </c>
      <c r="B142" s="1" t="s">
        <v>374</v>
      </c>
      <c r="C142" s="1" t="s">
        <v>132</v>
      </c>
      <c r="D142" s="6">
        <f>'2012 pax'!Q142</f>
        <v>415244</v>
      </c>
      <c r="E142" s="10">
        <v>33338</v>
      </c>
      <c r="F142" s="10">
        <v>30032</v>
      </c>
      <c r="G142" s="10">
        <v>33574</v>
      </c>
      <c r="H142" s="10">
        <v>34288</v>
      </c>
      <c r="I142" s="10">
        <v>35548</v>
      </c>
      <c r="J142" s="10">
        <v>36960</v>
      </c>
      <c r="K142" s="10">
        <v>46259</v>
      </c>
      <c r="L142" s="10">
        <v>42396</v>
      </c>
      <c r="M142" s="10">
        <v>40305</v>
      </c>
      <c r="N142" s="10">
        <v>44357</v>
      </c>
      <c r="O142" s="10">
        <v>44446</v>
      </c>
      <c r="P142" s="10">
        <v>45895</v>
      </c>
      <c r="Q142" s="6">
        <f t="shared" si="6"/>
        <v>467398</v>
      </c>
      <c r="R142" s="15">
        <f t="shared" si="5"/>
        <v>0.12559844332488845</v>
      </c>
    </row>
    <row r="143" spans="1:18">
      <c r="A143" s="1" t="s">
        <v>85</v>
      </c>
      <c r="B143" s="1" t="s">
        <v>91</v>
      </c>
      <c r="C143" s="1" t="s">
        <v>92</v>
      </c>
      <c r="D143" s="6">
        <f>'2012 pax'!Q143</f>
        <v>897496</v>
      </c>
      <c r="E143" s="10">
        <v>82294</v>
      </c>
      <c r="F143" s="10">
        <v>73972</v>
      </c>
      <c r="G143" s="10">
        <v>83025</v>
      </c>
      <c r="H143" s="10">
        <v>82650</v>
      </c>
      <c r="I143" s="10">
        <v>84948</v>
      </c>
      <c r="J143" s="10">
        <v>82124</v>
      </c>
      <c r="K143" s="10">
        <v>94010</v>
      </c>
      <c r="L143" s="10">
        <v>87749</v>
      </c>
      <c r="M143" s="10">
        <v>76412</v>
      </c>
      <c r="N143" s="10">
        <v>86438</v>
      </c>
      <c r="O143" s="10">
        <v>88646</v>
      </c>
      <c r="P143" s="10">
        <v>95348</v>
      </c>
      <c r="Q143" s="6">
        <f t="shared" si="6"/>
        <v>1017616</v>
      </c>
      <c r="R143" s="15">
        <f t="shared" si="5"/>
        <v>0.13383903660851981</v>
      </c>
    </row>
    <row r="144" spans="1:18">
      <c r="A144" s="1" t="s">
        <v>85</v>
      </c>
      <c r="B144" s="1" t="s">
        <v>93</v>
      </c>
      <c r="C144" s="1" t="s">
        <v>94</v>
      </c>
      <c r="D144" s="6">
        <f>'2012 pax'!Q144</f>
        <v>960094</v>
      </c>
      <c r="E144" s="10">
        <v>86908</v>
      </c>
      <c r="F144" s="10">
        <v>71455</v>
      </c>
      <c r="G144" s="10">
        <v>81483</v>
      </c>
      <c r="H144" s="10">
        <v>82462</v>
      </c>
      <c r="I144" s="10">
        <v>84628</v>
      </c>
      <c r="J144" s="10">
        <v>81791</v>
      </c>
      <c r="K144" s="10">
        <v>93336</v>
      </c>
      <c r="L144" s="10">
        <v>88090</v>
      </c>
      <c r="M144" s="10">
        <v>80710</v>
      </c>
      <c r="N144" s="10">
        <v>88318</v>
      </c>
      <c r="O144" s="10">
        <v>92241</v>
      </c>
      <c r="P144" s="10">
        <v>94200</v>
      </c>
      <c r="Q144" s="6">
        <f t="shared" si="6"/>
        <v>1025622</v>
      </c>
      <c r="R144" s="15">
        <f t="shared" si="5"/>
        <v>6.8251650359235638E-2</v>
      </c>
    </row>
    <row r="145" spans="1:18" ht="15.75">
      <c r="A145" s="1" t="s">
        <v>85</v>
      </c>
      <c r="B145" s="1" t="s">
        <v>375</v>
      </c>
      <c r="C145" s="1" t="s">
        <v>133</v>
      </c>
      <c r="D145" s="6">
        <f>'2012 pax'!Q145</f>
        <v>265264</v>
      </c>
      <c r="E145" s="10">
        <v>20522</v>
      </c>
      <c r="F145" s="10">
        <v>15455</v>
      </c>
      <c r="G145" s="10">
        <v>19807</v>
      </c>
      <c r="H145" s="10">
        <v>19575</v>
      </c>
      <c r="I145" s="10">
        <v>20077</v>
      </c>
      <c r="J145" s="10">
        <v>20110</v>
      </c>
      <c r="K145" s="10">
        <v>25857</v>
      </c>
      <c r="L145" s="10">
        <v>27140</v>
      </c>
      <c r="M145" s="10">
        <v>23779</v>
      </c>
      <c r="N145" s="10">
        <v>22622</v>
      </c>
      <c r="O145" s="10">
        <v>20965</v>
      </c>
      <c r="P145" s="10">
        <v>23768</v>
      </c>
      <c r="Q145" s="6">
        <f t="shared" si="6"/>
        <v>259677</v>
      </c>
      <c r="R145" s="15">
        <f t="shared" si="5"/>
        <v>-2.1062036310995791E-2</v>
      </c>
    </row>
    <row r="146" spans="1:18" ht="15.75">
      <c r="A146" s="1" t="s">
        <v>85</v>
      </c>
      <c r="B146" s="1" t="s">
        <v>376</v>
      </c>
      <c r="C146" s="1" t="s">
        <v>130</v>
      </c>
      <c r="D146" s="6">
        <f>'2012 pax'!Q146</f>
        <v>457906</v>
      </c>
      <c r="E146" s="10">
        <v>51858</v>
      </c>
      <c r="F146" s="10">
        <v>47855</v>
      </c>
      <c r="G146" s="10">
        <v>59278</v>
      </c>
      <c r="H146" s="10">
        <v>32635</v>
      </c>
      <c r="I146" s="10">
        <v>34905</v>
      </c>
      <c r="J146" s="10">
        <v>24701</v>
      </c>
      <c r="K146" s="10">
        <v>39481</v>
      </c>
      <c r="L146" s="10">
        <v>33838</v>
      </c>
      <c r="M146" s="10">
        <v>25195</v>
      </c>
      <c r="N146" s="10">
        <v>23965</v>
      </c>
      <c r="O146" s="10">
        <v>35690</v>
      </c>
      <c r="P146" s="10">
        <v>50398</v>
      </c>
      <c r="Q146" s="6">
        <f t="shared" si="6"/>
        <v>459799</v>
      </c>
      <c r="R146" s="15">
        <f t="shared" si="5"/>
        <v>4.1340362432464861E-3</v>
      </c>
    </row>
    <row r="147" spans="1:18">
      <c r="A147" s="1" t="s">
        <v>512</v>
      </c>
      <c r="B147" s="1" t="s">
        <v>513</v>
      </c>
      <c r="C147" s="1" t="s">
        <v>514</v>
      </c>
      <c r="D147" s="6">
        <f>'2012 pax'!Q147</f>
        <v>6962608</v>
      </c>
      <c r="E147" s="10">
        <v>695752</v>
      </c>
      <c r="F147" s="10">
        <v>609320</v>
      </c>
      <c r="G147" s="10">
        <v>643229</v>
      </c>
      <c r="H147" s="10">
        <v>588644</v>
      </c>
      <c r="I147" s="10">
        <v>609100</v>
      </c>
      <c r="J147" s="10">
        <v>620046</v>
      </c>
      <c r="K147" s="10">
        <v>688438</v>
      </c>
      <c r="L147" s="10">
        <v>676086</v>
      </c>
      <c r="M147" s="10">
        <v>619521</v>
      </c>
      <c r="N147" s="10">
        <v>639270</v>
      </c>
      <c r="O147" s="10">
        <v>661304</v>
      </c>
      <c r="P147" s="10">
        <v>733618</v>
      </c>
      <c r="Q147" s="6">
        <f t="shared" si="6"/>
        <v>7784328</v>
      </c>
      <c r="R147" s="15">
        <f t="shared" si="5"/>
        <v>0.11801899518111614</v>
      </c>
    </row>
    <row r="148" spans="1:18">
      <c r="A148" s="1" t="s">
        <v>414</v>
      </c>
      <c r="B148" s="1" t="s">
        <v>415</v>
      </c>
      <c r="C148" s="1" t="s">
        <v>416</v>
      </c>
      <c r="D148" s="6">
        <f>'2012 pax'!Q148</f>
        <v>868812</v>
      </c>
      <c r="E148" s="10">
        <v>80389</v>
      </c>
      <c r="F148" s="10">
        <v>66086</v>
      </c>
      <c r="G148" s="10">
        <v>72778</v>
      </c>
      <c r="H148" s="10">
        <v>63915</v>
      </c>
      <c r="I148" s="10">
        <v>67707</v>
      </c>
      <c r="J148" s="10">
        <v>62616</v>
      </c>
      <c r="K148" s="10">
        <v>77036</v>
      </c>
      <c r="L148" s="10">
        <v>66785</v>
      </c>
      <c r="M148" s="10">
        <v>66234</v>
      </c>
      <c r="N148" s="10">
        <v>65655</v>
      </c>
      <c r="O148" s="10">
        <v>68026</v>
      </c>
      <c r="P148" s="10">
        <v>78096</v>
      </c>
      <c r="Q148" s="6">
        <f t="shared" si="6"/>
        <v>835323</v>
      </c>
      <c r="R148" s="15">
        <f t="shared" si="5"/>
        <v>-3.8545738318531475E-2</v>
      </c>
    </row>
    <row r="149" spans="1:18">
      <c r="A149" s="1" t="s">
        <v>414</v>
      </c>
      <c r="B149" s="1" t="s">
        <v>508</v>
      </c>
      <c r="C149" s="1" t="s">
        <v>509</v>
      </c>
      <c r="D149" s="6">
        <f>'2012 pax'!Q149</f>
        <v>63279</v>
      </c>
      <c r="E149" s="10">
        <v>4165</v>
      </c>
      <c r="F149" s="10">
        <v>4384</v>
      </c>
      <c r="G149" s="10">
        <v>5034</v>
      </c>
      <c r="H149" s="10">
        <v>5539</v>
      </c>
      <c r="I149" s="10">
        <v>5424</v>
      </c>
      <c r="J149" s="10">
        <v>4828</v>
      </c>
      <c r="K149" s="10">
        <v>3721</v>
      </c>
      <c r="L149" s="10">
        <v>4946</v>
      </c>
      <c r="M149" s="10">
        <v>4745</v>
      </c>
      <c r="N149" s="10">
        <v>4534</v>
      </c>
      <c r="O149" s="10">
        <v>4741</v>
      </c>
      <c r="P149" s="10">
        <v>3440</v>
      </c>
      <c r="Q149" s="6">
        <f t="shared" si="6"/>
        <v>55501</v>
      </c>
      <c r="R149" s="15">
        <f t="shared" si="5"/>
        <v>-0.12291597528405951</v>
      </c>
    </row>
    <row r="150" spans="1:18">
      <c r="A150" s="1" t="s">
        <v>253</v>
      </c>
      <c r="B150" s="7" t="s">
        <v>304</v>
      </c>
      <c r="C150" s="7" t="s">
        <v>305</v>
      </c>
      <c r="D150" s="6">
        <f>'2012 pax'!Q150</f>
        <v>1114703</v>
      </c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6">
        <f t="shared" si="6"/>
        <v>0</v>
      </c>
    </row>
    <row r="151" spans="1:18">
      <c r="A151" s="1" t="s">
        <v>253</v>
      </c>
      <c r="B151" s="7" t="s">
        <v>324</v>
      </c>
      <c r="C151" s="7" t="s">
        <v>325</v>
      </c>
      <c r="D151" s="6">
        <f>'2012 pax'!Q151</f>
        <v>222262</v>
      </c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6">
        <f t="shared" si="6"/>
        <v>0</v>
      </c>
    </row>
    <row r="152" spans="1:18">
      <c r="A152" s="1" t="s">
        <v>253</v>
      </c>
      <c r="B152" s="7" t="s">
        <v>320</v>
      </c>
      <c r="C152" s="7" t="s">
        <v>321</v>
      </c>
      <c r="D152" s="6">
        <f>'2012 pax'!Q152</f>
        <v>364113</v>
      </c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6">
        <f t="shared" si="6"/>
        <v>0</v>
      </c>
    </row>
    <row r="153" spans="1:18">
      <c r="A153" s="1" t="s">
        <v>253</v>
      </c>
      <c r="B153" s="7" t="s">
        <v>302</v>
      </c>
      <c r="C153" s="1" t="s">
        <v>303</v>
      </c>
      <c r="D153" s="6">
        <f>'2012 pax'!Q153</f>
        <v>2457884</v>
      </c>
      <c r="E153" s="10">
        <v>161256</v>
      </c>
      <c r="F153" s="10">
        <v>156183</v>
      </c>
      <c r="G153" s="10">
        <v>174480</v>
      </c>
      <c r="H153" s="10">
        <v>170850</v>
      </c>
      <c r="I153" s="10">
        <v>200533</v>
      </c>
      <c r="J153" s="10">
        <v>188009</v>
      </c>
      <c r="K153" s="10">
        <v>220168</v>
      </c>
      <c r="L153" s="10">
        <v>233525</v>
      </c>
      <c r="M153" s="10">
        <v>202157</v>
      </c>
      <c r="N153" s="10">
        <v>227590</v>
      </c>
      <c r="O153" s="10">
        <v>184889</v>
      </c>
      <c r="P153" s="10">
        <v>175630</v>
      </c>
      <c r="Q153" s="6">
        <f t="shared" si="6"/>
        <v>2295270</v>
      </c>
      <c r="R153" s="15">
        <f>Q153/D153-1</f>
        <v>-6.6160160528324408E-2</v>
      </c>
    </row>
    <row r="154" spans="1:18">
      <c r="A154" s="1" t="s">
        <v>253</v>
      </c>
      <c r="B154" s="7" t="s">
        <v>306</v>
      </c>
      <c r="C154" s="7" t="s">
        <v>307</v>
      </c>
      <c r="D154" s="6">
        <f>'2012 pax'!Q154</f>
        <v>738992</v>
      </c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6">
        <f t="shared" si="6"/>
        <v>0</v>
      </c>
    </row>
    <row r="155" spans="1:18">
      <c r="A155" s="1" t="s">
        <v>253</v>
      </c>
      <c r="B155" s="7" t="s">
        <v>310</v>
      </c>
      <c r="C155" s="7" t="s">
        <v>311</v>
      </c>
      <c r="D155" s="6">
        <f>'2012 pax'!Q155</f>
        <v>318858</v>
      </c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6">
        <f t="shared" si="6"/>
        <v>0</v>
      </c>
    </row>
    <row r="156" spans="1:18">
      <c r="A156" s="1" t="s">
        <v>253</v>
      </c>
      <c r="B156" s="7" t="s">
        <v>300</v>
      </c>
      <c r="C156" s="7" t="s">
        <v>301</v>
      </c>
      <c r="D156" s="6">
        <f>'2012 pax'!Q156</f>
        <v>12950145</v>
      </c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6">
        <f t="shared" si="6"/>
        <v>0</v>
      </c>
    </row>
    <row r="157" spans="1:18">
      <c r="A157" s="1" t="s">
        <v>253</v>
      </c>
      <c r="B157" s="7" t="s">
        <v>312</v>
      </c>
      <c r="C157" s="7" t="s">
        <v>313</v>
      </c>
      <c r="D157" s="6">
        <f>'2012 pax'!Q157</f>
        <v>628033</v>
      </c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6">
        <f t="shared" si="6"/>
        <v>0</v>
      </c>
    </row>
    <row r="158" spans="1:18">
      <c r="A158" s="1" t="s">
        <v>253</v>
      </c>
      <c r="B158" s="7" t="s">
        <v>314</v>
      </c>
      <c r="C158" s="7" t="s">
        <v>315</v>
      </c>
      <c r="D158" s="6">
        <f>'2012 pax'!Q158</f>
        <v>340000</v>
      </c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6">
        <f t="shared" si="6"/>
        <v>0</v>
      </c>
    </row>
    <row r="159" spans="1:18">
      <c r="A159" s="1" t="s">
        <v>253</v>
      </c>
      <c r="B159" s="7" t="s">
        <v>308</v>
      </c>
      <c r="C159" s="7" t="s">
        <v>309</v>
      </c>
      <c r="D159" s="6">
        <f>'2012 pax'!Q159</f>
        <v>239427</v>
      </c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10"/>
      <c r="Q159" s="6">
        <f t="shared" si="6"/>
        <v>0</v>
      </c>
    </row>
    <row r="160" spans="1:18">
      <c r="A160" s="1" t="s">
        <v>253</v>
      </c>
      <c r="B160" s="7" t="s">
        <v>322</v>
      </c>
      <c r="C160" s="7" t="s">
        <v>323</v>
      </c>
      <c r="D160" s="6">
        <f>'2012 pax'!Q160</f>
        <v>280215</v>
      </c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10"/>
      <c r="Q160" s="6">
        <f t="shared" si="6"/>
        <v>0</v>
      </c>
    </row>
    <row r="161" spans="1:20">
      <c r="A161" s="1" t="s">
        <v>253</v>
      </c>
      <c r="B161" s="7" t="s">
        <v>318</v>
      </c>
      <c r="C161" s="7" t="s">
        <v>319</v>
      </c>
      <c r="D161" s="6">
        <f>'2012 pax'!Q161</f>
        <v>429437</v>
      </c>
      <c r="E161" s="37"/>
      <c r="F161" s="37"/>
      <c r="G161" s="37"/>
      <c r="H161" s="37"/>
      <c r="I161" s="37"/>
      <c r="J161" s="10"/>
      <c r="K161" s="10"/>
      <c r="L161" s="10"/>
      <c r="M161" s="10"/>
      <c r="N161" s="10"/>
      <c r="O161" s="10"/>
      <c r="P161" s="10"/>
      <c r="Q161" s="6">
        <f t="shared" si="6"/>
        <v>0</v>
      </c>
    </row>
    <row r="162" spans="1:20">
      <c r="A162" s="1" t="s">
        <v>253</v>
      </c>
      <c r="B162" s="7" t="s">
        <v>316</v>
      </c>
      <c r="C162" s="7" t="s">
        <v>317</v>
      </c>
      <c r="D162" s="6">
        <f>'2012 pax'!Q162</f>
        <v>393650</v>
      </c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6">
        <f t="shared" si="6"/>
        <v>0</v>
      </c>
    </row>
    <row r="163" spans="1:20">
      <c r="A163" s="1" t="s">
        <v>326</v>
      </c>
      <c r="B163" s="7" t="s">
        <v>327</v>
      </c>
      <c r="C163" s="7" t="s">
        <v>328</v>
      </c>
      <c r="D163" s="6">
        <f>'2012 pax'!Q163</f>
        <v>1457341</v>
      </c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6">
        <f t="shared" si="6"/>
        <v>0</v>
      </c>
    </row>
    <row r="164" spans="1:20">
      <c r="A164" s="1" t="s">
        <v>326</v>
      </c>
      <c r="B164" s="7" t="s">
        <v>329</v>
      </c>
      <c r="C164" s="7" t="s">
        <v>330</v>
      </c>
      <c r="D164" s="6">
        <f>'2012 pax'!Q164</f>
        <v>191058</v>
      </c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6">
        <f t="shared" si="6"/>
        <v>0</v>
      </c>
    </row>
    <row r="165" spans="1:20">
      <c r="A165" s="1" t="s">
        <v>16</v>
      </c>
      <c r="B165" s="1" t="s">
        <v>353</v>
      </c>
      <c r="C165" s="1" t="s">
        <v>354</v>
      </c>
      <c r="D165" s="6">
        <f>'2012 pax'!Q165</f>
        <v>5387307</v>
      </c>
      <c r="E165" s="10">
        <v>333660</v>
      </c>
      <c r="F165" s="10">
        <v>316993</v>
      </c>
      <c r="G165" s="10">
        <v>418420</v>
      </c>
      <c r="H165" s="10">
        <v>406039</v>
      </c>
      <c r="I165" s="10">
        <v>471152</v>
      </c>
      <c r="J165" s="10">
        <v>479505</v>
      </c>
      <c r="K165" s="10">
        <v>489332</v>
      </c>
      <c r="L165" s="10">
        <v>460135</v>
      </c>
      <c r="M165" s="10">
        <v>416170</v>
      </c>
      <c r="N165" s="10">
        <v>461631</v>
      </c>
      <c r="O165" s="10">
        <v>373098</v>
      </c>
      <c r="P165" s="27">
        <v>432279</v>
      </c>
      <c r="Q165" s="6">
        <f t="shared" si="6"/>
        <v>5058414</v>
      </c>
      <c r="R165" s="15">
        <f t="shared" ref="R165:R193" si="7">Q165/D165-1</f>
        <v>-6.1049611614856891E-2</v>
      </c>
    </row>
    <row r="166" spans="1:20">
      <c r="A166" s="1" t="s">
        <v>16</v>
      </c>
      <c r="B166" s="1" t="s">
        <v>17</v>
      </c>
      <c r="C166" s="1" t="s">
        <v>18</v>
      </c>
      <c r="D166" s="6">
        <f>'2012 pax'!Q166</f>
        <v>95499587</v>
      </c>
      <c r="E166" s="10">
        <v>7010088</v>
      </c>
      <c r="F166" s="10">
        <v>6677891</v>
      </c>
      <c r="G166" s="10">
        <v>8214262</v>
      </c>
      <c r="H166" s="10">
        <v>7918700</v>
      </c>
      <c r="I166" s="10">
        <v>8330575</v>
      </c>
      <c r="J166" s="10">
        <v>8448883</v>
      </c>
      <c r="K166" s="10">
        <v>8625091</v>
      </c>
      <c r="L166" s="10">
        <v>8351181</v>
      </c>
      <c r="M166" s="10">
        <v>7527571</v>
      </c>
      <c r="N166" s="10">
        <v>8090291</v>
      </c>
      <c r="O166" s="10">
        <v>7377521</v>
      </c>
      <c r="P166" s="27">
        <v>7856295</v>
      </c>
      <c r="Q166" s="6">
        <f t="shared" si="6"/>
        <v>94428349</v>
      </c>
      <c r="R166" s="15">
        <f t="shared" si="7"/>
        <v>-1.1217200342447553E-2</v>
      </c>
    </row>
    <row r="167" spans="1:20" ht="15.75">
      <c r="A167" s="1" t="s">
        <v>16</v>
      </c>
      <c r="B167" s="1" t="s">
        <v>382</v>
      </c>
      <c r="C167" s="1" t="s">
        <v>348</v>
      </c>
      <c r="D167" s="6">
        <f>'2012 pax'!Q167</f>
        <v>9430314</v>
      </c>
      <c r="E167" s="10">
        <v>690023</v>
      </c>
      <c r="F167" s="10">
        <v>661556</v>
      </c>
      <c r="G167" s="10">
        <v>876806</v>
      </c>
      <c r="H167" s="10">
        <v>825756</v>
      </c>
      <c r="I167" s="10">
        <v>889659</v>
      </c>
      <c r="J167" s="10">
        <v>911675</v>
      </c>
      <c r="K167" s="10">
        <v>922615</v>
      </c>
      <c r="L167" s="10">
        <v>877727</v>
      </c>
      <c r="M167" s="10">
        <v>785983</v>
      </c>
      <c r="N167" s="10">
        <v>878016</v>
      </c>
      <c r="O167" s="10">
        <v>841185</v>
      </c>
      <c r="P167" s="27">
        <v>856957</v>
      </c>
      <c r="Q167" s="6">
        <f t="shared" si="6"/>
        <v>10017958</v>
      </c>
      <c r="R167" s="15">
        <f t="shared" si="7"/>
        <v>6.231436196079998E-2</v>
      </c>
      <c r="S167" s="13"/>
      <c r="T167" s="13"/>
    </row>
    <row r="168" spans="1:20" ht="15.75">
      <c r="A168" s="1" t="s">
        <v>16</v>
      </c>
      <c r="B168" s="1" t="s">
        <v>383</v>
      </c>
      <c r="C168" s="1" t="s">
        <v>53</v>
      </c>
      <c r="D168" s="6">
        <f>'2012 pax'!Q168</f>
        <v>22679887</v>
      </c>
      <c r="E168" s="10">
        <v>1545584</v>
      </c>
      <c r="F168" s="10">
        <v>1458617</v>
      </c>
      <c r="G168" s="10">
        <v>1915605</v>
      </c>
      <c r="H168" s="10">
        <v>1864067</v>
      </c>
      <c r="I168" s="10">
        <v>2079335</v>
      </c>
      <c r="J168" s="10">
        <v>2121104</v>
      </c>
      <c r="K168" s="10">
        <v>2165390</v>
      </c>
      <c r="L168" s="10">
        <v>2100135</v>
      </c>
      <c r="M168" s="10">
        <v>1753837</v>
      </c>
      <c r="N168" s="10">
        <v>1917790</v>
      </c>
      <c r="O168" s="10">
        <v>1742945</v>
      </c>
      <c r="P168" s="28">
        <v>1838178</v>
      </c>
      <c r="Q168" s="6">
        <f t="shared" si="6"/>
        <v>22502587</v>
      </c>
      <c r="R168" s="15">
        <f t="shared" si="7"/>
        <v>-7.8174992670818622E-3</v>
      </c>
      <c r="T168" s="13"/>
    </row>
    <row r="169" spans="1:20" ht="15.75">
      <c r="A169" s="1" t="s">
        <v>16</v>
      </c>
      <c r="B169" s="1" t="s">
        <v>489</v>
      </c>
      <c r="C169" s="1" t="s">
        <v>431</v>
      </c>
      <c r="D169" s="6">
        <f>'2012 pax'!Q169</f>
        <v>1135023</v>
      </c>
      <c r="E169" s="10">
        <v>78643</v>
      </c>
      <c r="F169" s="10">
        <v>78176</v>
      </c>
      <c r="G169" s="10">
        <v>97259</v>
      </c>
      <c r="H169" s="10">
        <v>93380</v>
      </c>
      <c r="I169" s="10">
        <v>105104</v>
      </c>
      <c r="J169" s="10">
        <v>113762</v>
      </c>
      <c r="K169" s="10">
        <v>106239</v>
      </c>
      <c r="L169" s="10">
        <v>103394</v>
      </c>
      <c r="M169" s="10">
        <v>94868</v>
      </c>
      <c r="N169" s="10">
        <v>107602</v>
      </c>
      <c r="O169" s="10">
        <v>90771</v>
      </c>
      <c r="P169" s="10">
        <v>87306</v>
      </c>
      <c r="Q169" s="6">
        <f t="shared" si="6"/>
        <v>1156504</v>
      </c>
      <c r="R169" s="15">
        <f t="shared" si="7"/>
        <v>1.8925607674910472E-2</v>
      </c>
    </row>
    <row r="170" spans="1:20">
      <c r="A170" s="1" t="s">
        <v>16</v>
      </c>
      <c r="B170" s="1" t="s">
        <v>423</v>
      </c>
      <c r="C170" s="1" t="s">
        <v>424</v>
      </c>
      <c r="D170" s="6">
        <f>'2012 pax'!Q170</f>
        <v>2609816</v>
      </c>
      <c r="E170" s="10">
        <v>194779</v>
      </c>
      <c r="F170" s="10">
        <v>187306</v>
      </c>
      <c r="G170" s="10">
        <v>221568</v>
      </c>
      <c r="H170" s="10">
        <v>201087</v>
      </c>
      <c r="I170" s="10">
        <v>217019</v>
      </c>
      <c r="J170" s="10">
        <v>240940</v>
      </c>
      <c r="K170" s="10">
        <v>239677</v>
      </c>
      <c r="L170" s="10">
        <v>240249</v>
      </c>
      <c r="M170" s="10">
        <v>208408</v>
      </c>
      <c r="N170" s="10">
        <v>216623</v>
      </c>
      <c r="O170" s="10">
        <v>207659</v>
      </c>
      <c r="P170" s="28">
        <v>237146</v>
      </c>
      <c r="Q170" s="6">
        <f t="shared" si="6"/>
        <v>2612461</v>
      </c>
      <c r="R170" s="15">
        <f t="shared" si="7"/>
        <v>1.0134814101836476E-3</v>
      </c>
    </row>
    <row r="171" spans="1:20" ht="15.75">
      <c r="A171" s="1" t="s">
        <v>16</v>
      </c>
      <c r="B171" s="1" t="s">
        <v>452</v>
      </c>
      <c r="C171" s="1" t="s">
        <v>48</v>
      </c>
      <c r="D171" s="6">
        <f>'2012 pax'!Q171</f>
        <v>29325247</v>
      </c>
      <c r="E171" s="10">
        <v>2019662</v>
      </c>
      <c r="F171" s="10">
        <v>1878731</v>
      </c>
      <c r="G171" s="10">
        <v>2469155</v>
      </c>
      <c r="H171" s="10">
        <v>2551246</v>
      </c>
      <c r="I171" s="10">
        <v>2676291</v>
      </c>
      <c r="J171" s="10">
        <v>2824862</v>
      </c>
      <c r="K171" s="10">
        <v>2978718</v>
      </c>
      <c r="L171" s="10">
        <v>3020074</v>
      </c>
      <c r="M171" s="10">
        <v>2504491</v>
      </c>
      <c r="N171" s="10">
        <v>2672640</v>
      </c>
      <c r="O171" s="10">
        <v>2296667</v>
      </c>
      <c r="P171" s="28">
        <v>2345162</v>
      </c>
      <c r="Q171" s="6">
        <f t="shared" si="6"/>
        <v>30237699</v>
      </c>
      <c r="R171" s="15">
        <f t="shared" si="7"/>
        <v>3.111489563924219E-2</v>
      </c>
    </row>
    <row r="172" spans="1:20">
      <c r="A172" s="1" t="s">
        <v>16</v>
      </c>
      <c r="B172" s="1" t="s">
        <v>535</v>
      </c>
      <c r="C172" s="1" t="s">
        <v>536</v>
      </c>
      <c r="D172" s="6">
        <v>5177913</v>
      </c>
      <c r="E172" s="10">
        <v>345540</v>
      </c>
      <c r="F172" s="10">
        <v>354726</v>
      </c>
      <c r="G172" s="10">
        <v>454982</v>
      </c>
      <c r="H172" s="10">
        <v>442321</v>
      </c>
      <c r="I172" s="10">
        <v>467799</v>
      </c>
      <c r="J172" s="10">
        <v>448991</v>
      </c>
      <c r="K172" s="10">
        <v>491204</v>
      </c>
      <c r="L172" s="10">
        <v>510505</v>
      </c>
      <c r="M172" s="10">
        <v>413092</v>
      </c>
      <c r="N172" s="10">
        <v>447706</v>
      </c>
      <c r="O172" s="10">
        <v>376365</v>
      </c>
      <c r="P172" s="28">
        <v>381694</v>
      </c>
      <c r="Q172" s="6">
        <f t="shared" si="6"/>
        <v>5134925</v>
      </c>
      <c r="R172" s="15">
        <f t="shared" si="7"/>
        <v>-8.3021866145684964E-3</v>
      </c>
    </row>
    <row r="173" spans="1:20" ht="15.75">
      <c r="A173" s="1" t="s">
        <v>16</v>
      </c>
      <c r="B173" s="1" t="s">
        <v>417</v>
      </c>
      <c r="C173" s="1" t="s">
        <v>407</v>
      </c>
      <c r="D173" s="6">
        <f>'2012 pax'!Q173</f>
        <v>4057416</v>
      </c>
      <c r="E173" s="10">
        <v>293644</v>
      </c>
      <c r="F173" s="10">
        <v>282073</v>
      </c>
      <c r="G173" s="10">
        <v>333647</v>
      </c>
      <c r="H173" s="10">
        <v>330772</v>
      </c>
      <c r="I173" s="10">
        <v>345997</v>
      </c>
      <c r="J173" s="10">
        <v>331115</v>
      </c>
      <c r="K173" s="10">
        <v>318859</v>
      </c>
      <c r="L173" s="10">
        <v>336361</v>
      </c>
      <c r="M173" s="10">
        <v>300860</v>
      </c>
      <c r="N173" s="10">
        <v>314808</v>
      </c>
      <c r="O173" s="28">
        <v>321078</v>
      </c>
      <c r="P173" s="28">
        <v>334878</v>
      </c>
      <c r="Q173" s="6">
        <f t="shared" si="6"/>
        <v>3844092</v>
      </c>
      <c r="R173" s="15">
        <f t="shared" si="7"/>
        <v>-5.2576319509756941E-2</v>
      </c>
      <c r="S173" s="13"/>
    </row>
    <row r="174" spans="1:20">
      <c r="A174" s="1" t="s">
        <v>16</v>
      </c>
      <c r="B174" s="1" t="s">
        <v>439</v>
      </c>
      <c r="C174" s="1" t="s">
        <v>440</v>
      </c>
      <c r="D174" s="6">
        <f>'2012 pax'!Q174</f>
        <v>2593223</v>
      </c>
      <c r="E174" s="10">
        <f>80416+81910</f>
        <v>162326</v>
      </c>
      <c r="F174" s="10">
        <f>80146+77330</f>
        <v>157476</v>
      </c>
      <c r="G174" s="10">
        <f>126234+130474</f>
        <v>256708</v>
      </c>
      <c r="H174" s="10">
        <f>136298+133317</f>
        <v>269615</v>
      </c>
      <c r="I174" s="10">
        <f>135928+136308</f>
        <v>272236</v>
      </c>
      <c r="J174" s="10">
        <f>135022+133069</f>
        <v>268091</v>
      </c>
      <c r="K174" s="10">
        <f>136456+133794</f>
        <v>270250</v>
      </c>
      <c r="L174" s="10">
        <v>268462</v>
      </c>
      <c r="M174" s="10">
        <v>242518</v>
      </c>
      <c r="N174" s="10">
        <v>274195</v>
      </c>
      <c r="O174" s="10">
        <v>251252</v>
      </c>
      <c r="P174" s="27">
        <v>220463</v>
      </c>
      <c r="Q174" s="6">
        <f t="shared" si="6"/>
        <v>2913592</v>
      </c>
      <c r="R174" s="15">
        <f t="shared" si="7"/>
        <v>0.12354086015741794</v>
      </c>
    </row>
    <row r="175" spans="1:20">
      <c r="A175" s="1" t="s">
        <v>16</v>
      </c>
      <c r="B175" s="1" t="s">
        <v>34</v>
      </c>
      <c r="C175" s="1" t="s">
        <v>35</v>
      </c>
      <c r="D175" s="6">
        <f>'2012 pax'!Q175</f>
        <v>41226035</v>
      </c>
      <c r="E175" s="10">
        <f>1639705+1649844</f>
        <v>3289549</v>
      </c>
      <c r="F175" s="10">
        <f>1554669+1560804</f>
        <v>3115473</v>
      </c>
      <c r="G175" s="10">
        <f>1859500+1849170</f>
        <v>3708670</v>
      </c>
      <c r="H175" s="10">
        <f>1818741+1841510</f>
        <v>3660251</v>
      </c>
      <c r="I175" s="10">
        <f>1932158+1926914</f>
        <v>3859072</v>
      </c>
      <c r="J175" s="10">
        <v>3781196</v>
      </c>
      <c r="K175" s="10">
        <f>1927205+1940468</f>
        <v>3867673</v>
      </c>
      <c r="L175" s="10">
        <f>1925112+1940711</f>
        <v>3865823</v>
      </c>
      <c r="M175" s="10">
        <v>3394753</v>
      </c>
      <c r="N175" s="10">
        <v>3697092</v>
      </c>
      <c r="O175" s="10">
        <v>3462407</v>
      </c>
      <c r="P175" s="27">
        <v>3754351</v>
      </c>
      <c r="Q175" s="6">
        <f t="shared" si="6"/>
        <v>43456310</v>
      </c>
      <c r="R175" s="15">
        <f t="shared" si="7"/>
        <v>5.4098702434032253E-2</v>
      </c>
    </row>
    <row r="176" spans="1:20" ht="15.75">
      <c r="A176" s="1" t="s">
        <v>16</v>
      </c>
      <c r="B176" s="1" t="s">
        <v>384</v>
      </c>
      <c r="C176" s="1" t="s">
        <v>57</v>
      </c>
      <c r="D176" s="6">
        <f>'2012 pax'!Q176</f>
        <v>19516127</v>
      </c>
      <c r="E176" s="10">
        <v>1304622</v>
      </c>
      <c r="F176" s="10">
        <v>1231734</v>
      </c>
      <c r="G176" s="10">
        <v>1695154</v>
      </c>
      <c r="H176" s="10">
        <v>1680453</v>
      </c>
      <c r="I176" s="10">
        <v>1865372</v>
      </c>
      <c r="J176" s="10">
        <v>1962436</v>
      </c>
      <c r="K176" s="10">
        <v>1998939</v>
      </c>
      <c r="L176" s="10">
        <v>1916706</v>
      </c>
      <c r="M176" s="10">
        <v>1709680</v>
      </c>
      <c r="N176" s="10">
        <v>1793379</v>
      </c>
      <c r="O176" s="10">
        <v>1601526</v>
      </c>
      <c r="P176" s="28">
        <v>1713870</v>
      </c>
      <c r="Q176" s="6">
        <f t="shared" si="6"/>
        <v>20473871</v>
      </c>
      <c r="R176" s="15">
        <f t="shared" si="7"/>
        <v>4.9074491060649539E-2</v>
      </c>
    </row>
    <row r="177" spans="1:18" ht="15.75">
      <c r="A177" s="1" t="s">
        <v>16</v>
      </c>
      <c r="B177" s="1" t="s">
        <v>385</v>
      </c>
      <c r="C177" s="1" t="s">
        <v>19</v>
      </c>
      <c r="D177" s="6">
        <f>'2012 pax'!Q177</f>
        <v>67580527</v>
      </c>
      <c r="E177" s="10">
        <v>4810479</v>
      </c>
      <c r="F177" s="10">
        <v>4399312</v>
      </c>
      <c r="G177" s="10">
        <v>5497289</v>
      </c>
      <c r="H177" s="10">
        <v>5142081</v>
      </c>
      <c r="I177" s="10">
        <v>5955750</v>
      </c>
      <c r="J177" s="10">
        <v>6139919</v>
      </c>
      <c r="K177" s="10">
        <v>6290824</v>
      </c>
      <c r="L177" s="10">
        <v>6319106</v>
      </c>
      <c r="M177" s="10">
        <v>5645378</v>
      </c>
      <c r="N177" s="10">
        <v>6037955</v>
      </c>
      <c r="O177" s="10">
        <v>5276533</v>
      </c>
      <c r="P177" s="28">
        <v>5389685</v>
      </c>
      <c r="Q177" s="6">
        <f t="shared" si="6"/>
        <v>66904311</v>
      </c>
      <c r="R177" s="15">
        <f t="shared" si="7"/>
        <v>-1.0006077638311406E-2</v>
      </c>
    </row>
    <row r="178" spans="1:18">
      <c r="A178" s="1" t="s">
        <v>16</v>
      </c>
      <c r="B178" s="1" t="s">
        <v>349</v>
      </c>
      <c r="C178" s="1" t="s">
        <v>350</v>
      </c>
      <c r="D178" s="6">
        <f>'2012 pax'!Q178</f>
        <v>6038817</v>
      </c>
      <c r="E178" s="10">
        <v>392990</v>
      </c>
      <c r="F178" s="10">
        <v>364722</v>
      </c>
      <c r="G178" s="10">
        <v>524774</v>
      </c>
      <c r="H178" s="10">
        <v>500985</v>
      </c>
      <c r="I178" s="10">
        <v>512905</v>
      </c>
      <c r="J178" s="10">
        <v>534599</v>
      </c>
      <c r="K178" s="10">
        <v>532509</v>
      </c>
      <c r="L178" s="10">
        <v>523205</v>
      </c>
      <c r="M178" s="10">
        <v>454880</v>
      </c>
      <c r="N178" s="10">
        <v>507172</v>
      </c>
      <c r="O178" s="10">
        <v>433040</v>
      </c>
      <c r="P178" s="28">
        <v>436474</v>
      </c>
      <c r="Q178" s="6">
        <f t="shared" si="6"/>
        <v>5718255</v>
      </c>
      <c r="R178" s="15">
        <f t="shared" si="7"/>
        <v>-5.3083575806321059E-2</v>
      </c>
    </row>
    <row r="179" spans="1:18">
      <c r="A179" s="1" t="s">
        <v>16</v>
      </c>
      <c r="B179" s="1" t="s">
        <v>544</v>
      </c>
      <c r="C179" s="1" t="s">
        <v>543</v>
      </c>
      <c r="D179" s="6">
        <f>'2012 pax'!Q179</f>
        <v>9010474</v>
      </c>
      <c r="E179" s="38">
        <v>632673</v>
      </c>
      <c r="F179" s="39">
        <v>635269</v>
      </c>
      <c r="G179" s="39">
        <v>810574</v>
      </c>
      <c r="H179" s="39">
        <v>752878</v>
      </c>
      <c r="I179" s="39">
        <v>810226</v>
      </c>
      <c r="J179" s="39">
        <v>843769</v>
      </c>
      <c r="K179" s="39">
        <v>820161</v>
      </c>
      <c r="L179" s="39">
        <v>811019</v>
      </c>
      <c r="M179" s="39">
        <v>721539</v>
      </c>
      <c r="N179" s="39">
        <v>790322</v>
      </c>
      <c r="O179" s="39">
        <v>706506</v>
      </c>
      <c r="P179" s="39">
        <v>737190</v>
      </c>
      <c r="Q179" s="6">
        <f t="shared" si="6"/>
        <v>9072126</v>
      </c>
      <c r="R179" s="15">
        <f t="shared" si="7"/>
        <v>6.8422593528376652E-3</v>
      </c>
    </row>
    <row r="180" spans="1:18" ht="15.75">
      <c r="A180" s="1" t="s">
        <v>16</v>
      </c>
      <c r="B180" s="1" t="s">
        <v>451</v>
      </c>
      <c r="C180" s="1" t="s">
        <v>434</v>
      </c>
      <c r="D180" s="6">
        <f>'2012 pax'!Q180</f>
        <v>1681438</v>
      </c>
      <c r="E180" s="10">
        <f>57617+58547+4620</f>
        <v>120784</v>
      </c>
      <c r="F180" s="10">
        <f>50866+49103+4553</f>
        <v>104522</v>
      </c>
      <c r="G180" s="10">
        <f>54967+54156+4199</f>
        <v>113322</v>
      </c>
      <c r="H180" s="10">
        <f>51506+51402+3764</f>
        <v>106672</v>
      </c>
      <c r="I180" s="10">
        <f>56955+56640+4079</f>
        <v>117674</v>
      </c>
      <c r="J180" s="10">
        <f>56628+58201</f>
        <v>114829</v>
      </c>
      <c r="K180" s="10">
        <f>62881+63499</f>
        <v>126380</v>
      </c>
      <c r="L180" s="10">
        <v>114890</v>
      </c>
      <c r="M180" s="10">
        <v>99874</v>
      </c>
      <c r="N180" s="10">
        <v>101873</v>
      </c>
      <c r="O180" s="10">
        <v>95689</v>
      </c>
      <c r="P180" s="10">
        <v>103954</v>
      </c>
      <c r="Q180" s="6">
        <f t="shared" si="6"/>
        <v>1320463</v>
      </c>
      <c r="R180" s="15">
        <f t="shared" si="7"/>
        <v>-0.21468231359110479</v>
      </c>
    </row>
    <row r="181" spans="1:18">
      <c r="A181" s="1" t="s">
        <v>16</v>
      </c>
      <c r="B181" s="1" t="s">
        <v>517</v>
      </c>
      <c r="C181" s="1" t="s">
        <v>518</v>
      </c>
      <c r="D181" s="6">
        <f>'2012 pax'!Q181</f>
        <v>1011773</v>
      </c>
      <c r="E181" s="10">
        <v>76663</v>
      </c>
      <c r="F181" s="10">
        <v>71491</v>
      </c>
      <c r="G181" s="10">
        <v>84809</v>
      </c>
      <c r="H181" s="10">
        <v>92197</v>
      </c>
      <c r="I181" s="10">
        <v>93179</v>
      </c>
      <c r="J181" s="10">
        <v>89633</v>
      </c>
      <c r="K181" s="10">
        <v>88003</v>
      </c>
      <c r="L181" s="10">
        <v>89591</v>
      </c>
      <c r="M181" s="10">
        <v>81398</v>
      </c>
      <c r="N181" s="10">
        <v>90212</v>
      </c>
      <c r="O181" s="10">
        <v>82327</v>
      </c>
      <c r="P181" s="10">
        <v>79380</v>
      </c>
      <c r="Q181" s="6">
        <f t="shared" si="6"/>
        <v>1018883</v>
      </c>
      <c r="R181" s="15">
        <f t="shared" si="7"/>
        <v>7.0272679741405497E-3</v>
      </c>
    </row>
    <row r="182" spans="1:18">
      <c r="A182" s="1" t="s">
        <v>16</v>
      </c>
      <c r="B182" s="1" t="s">
        <v>403</v>
      </c>
      <c r="C182" s="1" t="s">
        <v>404</v>
      </c>
      <c r="D182" s="6">
        <f>'2012 pax'!Q182</f>
        <v>6333039</v>
      </c>
      <c r="E182" s="10">
        <v>436899</v>
      </c>
      <c r="F182" s="10">
        <v>441245</v>
      </c>
      <c r="G182" s="10">
        <v>542306</v>
      </c>
      <c r="H182" s="10">
        <v>515256</v>
      </c>
      <c r="I182" s="10">
        <v>559677</v>
      </c>
      <c r="J182" s="10">
        <v>572716</v>
      </c>
      <c r="K182" s="10">
        <v>552567</v>
      </c>
      <c r="L182" s="10">
        <v>521985</v>
      </c>
      <c r="M182" s="10">
        <v>498140</v>
      </c>
      <c r="N182" s="10">
        <v>554166</v>
      </c>
      <c r="O182" s="10">
        <v>502396</v>
      </c>
      <c r="P182" s="10">
        <v>519983</v>
      </c>
      <c r="Q182" s="6">
        <f t="shared" si="6"/>
        <v>6217336</v>
      </c>
      <c r="R182" s="15">
        <f t="shared" si="7"/>
        <v>-1.8269743799146032E-2</v>
      </c>
    </row>
    <row r="183" spans="1:18">
      <c r="A183" s="1" t="s">
        <v>16</v>
      </c>
      <c r="B183" s="1" t="s">
        <v>22</v>
      </c>
      <c r="C183" s="1" t="s">
        <v>23</v>
      </c>
      <c r="D183" s="6">
        <f>'2012 pax'!Q183</f>
        <v>58590633</v>
      </c>
      <c r="E183" s="10">
        <v>4659531</v>
      </c>
      <c r="F183" s="10">
        <v>4378448</v>
      </c>
      <c r="G183" s="10">
        <v>5133647</v>
      </c>
      <c r="H183" s="10">
        <v>4895964</v>
      </c>
      <c r="I183" s="10">
        <v>5246321</v>
      </c>
      <c r="J183" s="10">
        <v>5494288</v>
      </c>
      <c r="K183" s="10">
        <v>5677952</v>
      </c>
      <c r="L183" s="10">
        <v>5445573</v>
      </c>
      <c r="M183" s="10">
        <v>4767169</v>
      </c>
      <c r="N183" s="10">
        <v>5204566</v>
      </c>
      <c r="O183" s="10">
        <v>4715487</v>
      </c>
      <c r="P183" s="28">
        <v>4817320</v>
      </c>
      <c r="Q183" s="6">
        <f t="shared" si="6"/>
        <v>60436266</v>
      </c>
      <c r="R183" s="15">
        <f t="shared" si="7"/>
        <v>3.1500478924677333E-2</v>
      </c>
    </row>
    <row r="184" spans="1:18" ht="15.75">
      <c r="A184" s="1" t="s">
        <v>16</v>
      </c>
      <c r="B184" s="1" t="s">
        <v>505</v>
      </c>
      <c r="C184" s="1" t="s">
        <v>495</v>
      </c>
      <c r="D184" s="6">
        <f>'2012 pax'!Q184</f>
        <v>8164601</v>
      </c>
      <c r="E184" s="10">
        <v>612195</v>
      </c>
      <c r="F184" s="10">
        <v>605687</v>
      </c>
      <c r="G184" s="10">
        <v>717084</v>
      </c>
      <c r="H184" s="10">
        <v>697012</v>
      </c>
      <c r="I184" s="10">
        <v>742296</v>
      </c>
      <c r="J184" s="10">
        <v>763035</v>
      </c>
      <c r="K184" s="10">
        <v>760161</v>
      </c>
      <c r="L184" s="10">
        <v>728447</v>
      </c>
      <c r="M184" s="10">
        <v>682187</v>
      </c>
      <c r="N184" s="10">
        <v>763854</v>
      </c>
      <c r="O184" s="12">
        <v>687546</v>
      </c>
      <c r="P184" s="28">
        <v>711082</v>
      </c>
      <c r="Q184" s="6">
        <f t="shared" si="6"/>
        <v>8470586</v>
      </c>
      <c r="R184" s="15">
        <f t="shared" si="7"/>
        <v>3.747703041459105E-2</v>
      </c>
    </row>
    <row r="185" spans="1:18" ht="15.75">
      <c r="A185" s="1" t="s">
        <v>16</v>
      </c>
      <c r="B185" s="1" t="s">
        <v>386</v>
      </c>
      <c r="C185" s="1" t="s">
        <v>24</v>
      </c>
      <c r="D185" s="6">
        <f>'2012 pax'!Q185</f>
        <v>53165018</v>
      </c>
      <c r="E185" s="10">
        <v>4024783</v>
      </c>
      <c r="F185" s="10">
        <v>3697097</v>
      </c>
      <c r="G185" s="10">
        <v>4456431</v>
      </c>
      <c r="H185" s="10">
        <v>4031540</v>
      </c>
      <c r="I185" s="10">
        <v>4470164</v>
      </c>
      <c r="J185" s="10">
        <v>4716309</v>
      </c>
      <c r="K185" s="10">
        <v>4959077</v>
      </c>
      <c r="L185" s="10">
        <v>4827942</v>
      </c>
      <c r="M185" s="10">
        <v>4346502</v>
      </c>
      <c r="N185" s="10">
        <v>4476878</v>
      </c>
      <c r="O185" s="10">
        <v>4033321</v>
      </c>
      <c r="P185" s="28">
        <v>4516315</v>
      </c>
      <c r="Q185" s="6">
        <f t="shared" si="6"/>
        <v>52556359</v>
      </c>
      <c r="R185" s="15">
        <f t="shared" si="7"/>
        <v>-1.1448486672194891E-2</v>
      </c>
    </row>
    <row r="186" spans="1:18">
      <c r="A186" s="1" t="s">
        <v>16</v>
      </c>
      <c r="B186" s="1" t="s">
        <v>437</v>
      </c>
      <c r="C186" s="1" t="s">
        <v>438</v>
      </c>
      <c r="D186" s="6">
        <f>'2012 pax'!Q186</f>
        <v>2080162</v>
      </c>
      <c r="E186" s="10">
        <v>169540</v>
      </c>
      <c r="F186" s="10">
        <v>164316</v>
      </c>
      <c r="G186" s="10">
        <v>187470</v>
      </c>
      <c r="H186" s="10">
        <v>171708</v>
      </c>
      <c r="I186" s="10">
        <v>191126</v>
      </c>
      <c r="J186" s="10">
        <v>202660</v>
      </c>
      <c r="K186" s="10">
        <v>191780</v>
      </c>
      <c r="L186" s="10">
        <v>189660</v>
      </c>
      <c r="M186" s="10">
        <v>176482</v>
      </c>
      <c r="N186" s="10">
        <v>195588</v>
      </c>
      <c r="O186" s="10">
        <v>179846</v>
      </c>
      <c r="P186" s="28">
        <v>181052</v>
      </c>
      <c r="Q186" s="6">
        <f t="shared" si="6"/>
        <v>2201228</v>
      </c>
      <c r="R186" s="15">
        <f t="shared" si="7"/>
        <v>5.820027478629064E-2</v>
      </c>
    </row>
    <row r="187" spans="1:18">
      <c r="A187" s="1" t="s">
        <v>16</v>
      </c>
      <c r="B187" s="1" t="s">
        <v>42</v>
      </c>
      <c r="C187" s="1" t="s">
        <v>43</v>
      </c>
      <c r="D187" s="6">
        <f>'2012 pax'!Q187</f>
        <v>32208742</v>
      </c>
      <c r="E187" s="10">
        <v>2275768</v>
      </c>
      <c r="F187" s="10">
        <v>2182174</v>
      </c>
      <c r="G187" s="10">
        <v>2868113</v>
      </c>
      <c r="H187" s="10">
        <v>2686264</v>
      </c>
      <c r="I187" s="10">
        <v>2829365</v>
      </c>
      <c r="J187" s="10">
        <v>2932050</v>
      </c>
      <c r="K187" s="10">
        <v>3021662</v>
      </c>
      <c r="L187" s="10">
        <v>3069021</v>
      </c>
      <c r="M187" s="10">
        <v>2616863</v>
      </c>
      <c r="N187" s="10">
        <v>2802680</v>
      </c>
      <c r="O187" s="10">
        <v>2510662</v>
      </c>
      <c r="P187" s="10">
        <v>2594922</v>
      </c>
      <c r="Q187" s="6">
        <f t="shared" si="6"/>
        <v>32389544</v>
      </c>
      <c r="R187" s="15">
        <f t="shared" si="7"/>
        <v>5.6134449460956137E-3</v>
      </c>
    </row>
    <row r="188" spans="1:18">
      <c r="A188" s="1" t="s">
        <v>16</v>
      </c>
      <c r="B188" s="1" t="s">
        <v>421</v>
      </c>
      <c r="C188" s="1" t="s">
        <v>422</v>
      </c>
      <c r="D188" s="6">
        <f>'2012 pax'!Q188</f>
        <v>2890299</v>
      </c>
      <c r="E188" s="10">
        <v>195370</v>
      </c>
      <c r="F188" s="10">
        <v>181813</v>
      </c>
      <c r="G188" s="10">
        <v>246512</v>
      </c>
      <c r="H188" s="10">
        <v>217531</v>
      </c>
      <c r="I188" s="10">
        <v>243578</v>
      </c>
      <c r="J188" s="10">
        <v>251675</v>
      </c>
      <c r="K188" s="10">
        <v>254150</v>
      </c>
      <c r="L188" s="10">
        <v>230463</v>
      </c>
      <c r="M188" s="10">
        <v>205210</v>
      </c>
      <c r="N188" s="10">
        <v>226419</v>
      </c>
      <c r="O188" s="10">
        <v>213671</v>
      </c>
      <c r="P188" s="28">
        <v>247992</v>
      </c>
      <c r="Q188" s="6">
        <f t="shared" si="6"/>
        <v>2714384</v>
      </c>
      <c r="R188" s="15">
        <f t="shared" si="7"/>
        <v>-6.0863945218124438E-2</v>
      </c>
    </row>
    <row r="189" spans="1:18">
      <c r="A189" s="1" t="s">
        <v>16</v>
      </c>
      <c r="B189" s="1" t="s">
        <v>51</v>
      </c>
      <c r="C189" s="1" t="s">
        <v>52</v>
      </c>
      <c r="D189" s="6">
        <f>'2012 pax'!Q189</f>
        <v>23569153</v>
      </c>
      <c r="E189" s="10">
        <v>2132884</v>
      </c>
      <c r="F189" s="10">
        <v>1981192</v>
      </c>
      <c r="G189" s="10">
        <v>2492597</v>
      </c>
      <c r="H189" s="10">
        <v>2098840</v>
      </c>
      <c r="I189" s="10">
        <v>1916670</v>
      </c>
      <c r="J189" s="10">
        <v>1874172</v>
      </c>
      <c r="K189" s="10">
        <v>2004438</v>
      </c>
      <c r="L189" s="10">
        <v>1919625</v>
      </c>
      <c r="M189" s="10">
        <v>1417101</v>
      </c>
      <c r="N189" s="10">
        <v>1642506</v>
      </c>
      <c r="O189" s="28">
        <v>1855432</v>
      </c>
      <c r="P189" s="28">
        <v>2224322</v>
      </c>
      <c r="Q189" s="6">
        <f t="shared" si="6"/>
        <v>23559779</v>
      </c>
      <c r="R189" s="15">
        <f t="shared" si="7"/>
        <v>-3.9772324444586893E-4</v>
      </c>
    </row>
    <row r="190" spans="1:18">
      <c r="A190" s="1" t="s">
        <v>16</v>
      </c>
      <c r="B190" s="1" t="s">
        <v>398</v>
      </c>
      <c r="C190" s="1" t="s">
        <v>399</v>
      </c>
      <c r="D190" s="6">
        <f>'2012 pax'!Q190</f>
        <v>7350625</v>
      </c>
      <c r="E190" s="10">
        <v>755232</v>
      </c>
      <c r="F190" s="10">
        <v>827147</v>
      </c>
      <c r="G190" s="10">
        <v>1115937</v>
      </c>
      <c r="H190" s="10">
        <v>815978</v>
      </c>
      <c r="I190" s="10">
        <v>576713</v>
      </c>
      <c r="J190" s="10">
        <v>473208</v>
      </c>
      <c r="K190" s="10">
        <v>467946</v>
      </c>
      <c r="L190" s="10">
        <v>414303</v>
      </c>
      <c r="M190" s="10">
        <v>338175</v>
      </c>
      <c r="N190" s="10">
        <v>478376</v>
      </c>
      <c r="O190" s="28">
        <v>639047</v>
      </c>
      <c r="P190" s="28">
        <v>735739</v>
      </c>
      <c r="Q190" s="6">
        <f t="shared" si="6"/>
        <v>7637801</v>
      </c>
      <c r="R190" s="15">
        <f t="shared" si="7"/>
        <v>3.9068242496386407E-2</v>
      </c>
    </row>
    <row r="191" spans="1:18">
      <c r="A191" s="1" t="s">
        <v>16</v>
      </c>
      <c r="B191" s="1" t="s">
        <v>537</v>
      </c>
      <c r="C191" s="1" t="s">
        <v>538</v>
      </c>
      <c r="D191" s="6">
        <v>1316597</v>
      </c>
      <c r="E191" s="10">
        <v>105547</v>
      </c>
      <c r="F191" s="10">
        <v>92027</v>
      </c>
      <c r="G191" s="10">
        <v>112352</v>
      </c>
      <c r="H191" s="10">
        <v>110830</v>
      </c>
      <c r="I191" s="10">
        <v>123838</v>
      </c>
      <c r="J191" s="10">
        <v>130194</v>
      </c>
      <c r="K191" s="10">
        <v>136656</v>
      </c>
      <c r="L191" s="10">
        <v>126047</v>
      </c>
      <c r="M191" s="10">
        <v>114081</v>
      </c>
      <c r="N191" s="10">
        <v>119403</v>
      </c>
      <c r="O191" s="28">
        <v>111179</v>
      </c>
      <c r="P191" s="28">
        <v>119428</v>
      </c>
      <c r="Q191" s="6">
        <f t="shared" si="6"/>
        <v>1401582</v>
      </c>
      <c r="R191" s="15">
        <f t="shared" si="7"/>
        <v>6.4548984996927627E-2</v>
      </c>
    </row>
    <row r="192" spans="1:18">
      <c r="A192" s="1" t="s">
        <v>16</v>
      </c>
      <c r="B192" s="1" t="s">
        <v>432</v>
      </c>
      <c r="C192" s="1" t="s">
        <v>433</v>
      </c>
      <c r="D192" s="6">
        <f>'2012 pax'!Q192</f>
        <v>2134956</v>
      </c>
      <c r="E192" s="10">
        <v>161824</v>
      </c>
      <c r="F192" s="10">
        <v>163820</v>
      </c>
      <c r="G192" s="10">
        <v>202043</v>
      </c>
      <c r="H192" s="10">
        <v>179736</v>
      </c>
      <c r="I192" s="10">
        <v>192955</v>
      </c>
      <c r="J192" s="10">
        <v>196457</v>
      </c>
      <c r="K192" s="10">
        <v>199287</v>
      </c>
      <c r="L192" s="10">
        <v>212358</v>
      </c>
      <c r="M192" s="10">
        <v>180001</v>
      </c>
      <c r="N192" s="10">
        <v>194170</v>
      </c>
      <c r="O192" s="28">
        <v>170422</v>
      </c>
      <c r="P192" s="28">
        <v>184906</v>
      </c>
      <c r="Q192" s="6">
        <f t="shared" si="6"/>
        <v>2237979</v>
      </c>
      <c r="R192" s="15">
        <f t="shared" si="7"/>
        <v>4.8255327041868856E-2</v>
      </c>
    </row>
    <row r="193" spans="1:19">
      <c r="A193" s="1" t="s">
        <v>16</v>
      </c>
      <c r="B193" s="1" t="s">
        <v>447</v>
      </c>
      <c r="C193" s="1" t="s">
        <v>448</v>
      </c>
      <c r="D193" s="6">
        <f>'2012 pax'!Q193</f>
        <v>1864831</v>
      </c>
      <c r="E193" s="10">
        <v>123291</v>
      </c>
      <c r="F193" s="10">
        <v>121525</v>
      </c>
      <c r="G193" s="10">
        <v>149433</v>
      </c>
      <c r="H193" s="10">
        <v>150204</v>
      </c>
      <c r="I193" s="10">
        <v>164788</v>
      </c>
      <c r="J193" s="10">
        <v>164654</v>
      </c>
      <c r="K193" s="10">
        <v>165121</v>
      </c>
      <c r="L193" s="10">
        <v>158799</v>
      </c>
      <c r="M193" s="10">
        <v>152454</v>
      </c>
      <c r="N193" s="10">
        <v>170990</v>
      </c>
      <c r="O193" s="28">
        <v>150459</v>
      </c>
      <c r="P193" s="28">
        <v>155439</v>
      </c>
      <c r="Q193" s="6">
        <f t="shared" si="6"/>
        <v>1827157</v>
      </c>
      <c r="R193" s="15">
        <f t="shared" si="7"/>
        <v>-2.0202366863270704E-2</v>
      </c>
    </row>
    <row r="194" spans="1:19">
      <c r="A194" s="1" t="s">
        <v>16</v>
      </c>
      <c r="B194" s="1" t="s">
        <v>496</v>
      </c>
      <c r="C194" s="1" t="s">
        <v>497</v>
      </c>
      <c r="D194" s="6">
        <f>'2012 pax'!Q194</f>
        <v>5384812</v>
      </c>
      <c r="E194" s="10">
        <v>385256</v>
      </c>
      <c r="F194" s="10">
        <v>369386</v>
      </c>
      <c r="G194" s="10">
        <v>446686</v>
      </c>
      <c r="H194" s="10">
        <v>459629</v>
      </c>
      <c r="I194" s="10">
        <v>483655</v>
      </c>
      <c r="J194" s="10">
        <v>457994</v>
      </c>
      <c r="K194" s="10">
        <v>472996</v>
      </c>
      <c r="L194" s="10">
        <v>480501</v>
      </c>
      <c r="M194" s="10">
        <v>416222</v>
      </c>
      <c r="N194" s="10">
        <v>478347</v>
      </c>
      <c r="O194" s="10">
        <v>467254</v>
      </c>
      <c r="P194" s="28">
        <v>504049</v>
      </c>
      <c r="Q194" s="6">
        <f t="shared" si="6"/>
        <v>5421975</v>
      </c>
    </row>
    <row r="195" spans="1:19">
      <c r="A195" s="1" t="s">
        <v>16</v>
      </c>
      <c r="B195" s="1" t="s">
        <v>26</v>
      </c>
      <c r="C195" s="1" t="s">
        <v>27</v>
      </c>
      <c r="D195" s="6">
        <f>'2012 pax'!Q195</f>
        <v>39849553</v>
      </c>
      <c r="E195" s="10">
        <v>3111640</v>
      </c>
      <c r="F195" s="10">
        <v>2846825</v>
      </c>
      <c r="G195" s="10">
        <v>3485633</v>
      </c>
      <c r="H195" s="10">
        <v>3194590</v>
      </c>
      <c r="I195" s="10">
        <v>3436228</v>
      </c>
      <c r="J195" s="10">
        <v>3661964</v>
      </c>
      <c r="K195" s="10">
        <v>3758138</v>
      </c>
      <c r="L195" s="10">
        <v>3508711</v>
      </c>
      <c r="M195" s="10">
        <v>2985730</v>
      </c>
      <c r="N195" s="10">
        <v>3226533</v>
      </c>
      <c r="O195" s="10">
        <v>3160096</v>
      </c>
      <c r="P195" s="28">
        <v>3488574</v>
      </c>
      <c r="Q195" s="6">
        <f t="shared" si="6"/>
        <v>39864662</v>
      </c>
      <c r="R195" s="15">
        <f t="shared" ref="R195:R202" si="8">Q195/D195-1</f>
        <v>3.7915105346342237E-4</v>
      </c>
    </row>
    <row r="196" spans="1:19">
      <c r="A196" s="1" t="s">
        <v>16</v>
      </c>
      <c r="B196" s="7" t="s">
        <v>64</v>
      </c>
      <c r="C196" s="7" t="s">
        <v>65</v>
      </c>
      <c r="D196" s="6">
        <f>'2012 pax'!Q196</f>
        <v>10435040</v>
      </c>
      <c r="E196" s="10">
        <v>790135</v>
      </c>
      <c r="F196" s="10">
        <v>756356</v>
      </c>
      <c r="G196" s="10">
        <v>936180</v>
      </c>
      <c r="H196" s="10">
        <v>888910</v>
      </c>
      <c r="I196" s="10">
        <v>982931</v>
      </c>
      <c r="J196" s="10">
        <v>997978</v>
      </c>
      <c r="K196" s="10">
        <v>988730</v>
      </c>
      <c r="L196" s="10">
        <v>946068</v>
      </c>
      <c r="M196" s="10">
        <v>856439</v>
      </c>
      <c r="N196" s="10">
        <v>979448</v>
      </c>
      <c r="O196" s="10">
        <v>948326</v>
      </c>
      <c r="P196" s="28">
        <v>1037966</v>
      </c>
      <c r="Q196" s="6">
        <f t="shared" si="6"/>
        <v>11109467</v>
      </c>
      <c r="R196" s="15">
        <f t="shared" si="8"/>
        <v>6.4630993268832704E-2</v>
      </c>
    </row>
    <row r="197" spans="1:19">
      <c r="A197" s="1" t="s">
        <v>16</v>
      </c>
      <c r="B197" s="1" t="s">
        <v>351</v>
      </c>
      <c r="C197" s="1" t="s">
        <v>352</v>
      </c>
      <c r="D197" s="6">
        <f>'2012 pax'!Q197</f>
        <v>7333733</v>
      </c>
      <c r="E197" s="10">
        <v>527741</v>
      </c>
      <c r="F197" s="10">
        <v>512477</v>
      </c>
      <c r="G197" s="10">
        <v>643275</v>
      </c>
      <c r="H197" s="10">
        <v>593794</v>
      </c>
      <c r="I197" s="10">
        <v>649709</v>
      </c>
      <c r="J197" s="10">
        <v>661431</v>
      </c>
      <c r="K197" s="10">
        <f>316618+334827</f>
        <v>651445</v>
      </c>
      <c r="L197" s="10">
        <v>600127</v>
      </c>
      <c r="M197" s="10">
        <v>559451</v>
      </c>
      <c r="N197" s="10">
        <v>651687</v>
      </c>
      <c r="O197" s="10">
        <v>573162</v>
      </c>
      <c r="P197" s="28">
        <v>592752</v>
      </c>
      <c r="Q197" s="6">
        <f t="shared" si="6"/>
        <v>7217051</v>
      </c>
      <c r="R197" s="15">
        <f t="shared" si="8"/>
        <v>-1.5910314706030326E-2</v>
      </c>
    </row>
    <row r="198" spans="1:19">
      <c r="A198" s="1" t="s">
        <v>16</v>
      </c>
      <c r="B198" s="1" t="s">
        <v>449</v>
      </c>
      <c r="C198" s="1" t="s">
        <v>450</v>
      </c>
      <c r="D198" s="6">
        <f>'2012 pax'!Q198</f>
        <v>1222608</v>
      </c>
      <c r="E198" s="10">
        <v>88829</v>
      </c>
      <c r="F198" s="10">
        <v>86106</v>
      </c>
      <c r="G198" s="10">
        <v>103199</v>
      </c>
      <c r="H198" s="10">
        <v>101675</v>
      </c>
      <c r="I198" s="10">
        <v>113915</v>
      </c>
      <c r="J198" s="10">
        <v>106894</v>
      </c>
      <c r="K198" s="10">
        <v>109458</v>
      </c>
      <c r="L198" s="10">
        <v>96480</v>
      </c>
      <c r="M198" s="10">
        <v>91837</v>
      </c>
      <c r="N198" s="10">
        <v>101073</v>
      </c>
      <c r="O198" s="10">
        <v>95253</v>
      </c>
      <c r="P198" s="10">
        <v>96659</v>
      </c>
      <c r="Q198" s="6">
        <f t="shared" si="6"/>
        <v>1191378</v>
      </c>
      <c r="R198" s="15">
        <f t="shared" si="8"/>
        <v>-2.5543755643673172E-2</v>
      </c>
    </row>
    <row r="199" spans="1:19">
      <c r="A199" s="1" t="s">
        <v>16</v>
      </c>
      <c r="B199" s="1" t="s">
        <v>486</v>
      </c>
      <c r="C199" s="1" t="s">
        <v>487</v>
      </c>
      <c r="D199" s="6">
        <f>'2012 pax'!Q199</f>
        <v>5195084</v>
      </c>
      <c r="E199" s="10">
        <v>370335</v>
      </c>
      <c r="F199" s="10">
        <v>367808</v>
      </c>
      <c r="G199" s="10">
        <v>444340</v>
      </c>
      <c r="H199" s="10">
        <v>467131</v>
      </c>
      <c r="I199" s="10">
        <v>465958</v>
      </c>
      <c r="J199" s="10">
        <v>451709</v>
      </c>
      <c r="K199" s="10">
        <v>453820</v>
      </c>
      <c r="L199" s="10">
        <v>433629</v>
      </c>
      <c r="M199" s="28">
        <v>390493</v>
      </c>
      <c r="N199" s="28">
        <v>441006</v>
      </c>
      <c r="O199" s="28">
        <v>411120</v>
      </c>
      <c r="P199" s="28">
        <v>431227</v>
      </c>
      <c r="Q199" s="6">
        <f t="shared" ref="Q199:Q254" si="9">SUM(E199:P199)</f>
        <v>5128576</v>
      </c>
      <c r="R199" s="15">
        <f t="shared" si="8"/>
        <v>-1.2802102911136815E-2</v>
      </c>
    </row>
    <row r="200" spans="1:19" ht="15.75">
      <c r="A200" s="1" t="s">
        <v>16</v>
      </c>
      <c r="B200" s="1" t="s">
        <v>418</v>
      </c>
      <c r="C200" s="1" t="s">
        <v>506</v>
      </c>
      <c r="D200" s="6">
        <f>'2012 pax'!Q200</f>
        <v>9749100</v>
      </c>
      <c r="E200" s="10">
        <v>674552</v>
      </c>
      <c r="F200" s="10">
        <v>604296</v>
      </c>
      <c r="G200" s="10">
        <v>810006</v>
      </c>
      <c r="H200" s="10">
        <v>776274</v>
      </c>
      <c r="I200" s="10">
        <v>888258</v>
      </c>
      <c r="J200" s="10">
        <v>935186</v>
      </c>
      <c r="K200" s="10">
        <v>927719</v>
      </c>
      <c r="L200" s="10">
        <v>826063</v>
      </c>
      <c r="M200" s="10">
        <v>765675</v>
      </c>
      <c r="N200" s="10">
        <v>852853</v>
      </c>
      <c r="O200" s="10">
        <v>760361</v>
      </c>
      <c r="P200" s="28">
        <v>819480</v>
      </c>
      <c r="Q200" s="6">
        <f t="shared" si="9"/>
        <v>9640723</v>
      </c>
      <c r="R200" s="15">
        <f t="shared" si="8"/>
        <v>-1.1116615892749038E-2</v>
      </c>
    </row>
    <row r="201" spans="1:19">
      <c r="A201" s="1" t="s">
        <v>16</v>
      </c>
      <c r="B201" s="1" t="s">
        <v>445</v>
      </c>
      <c r="C201" s="1" t="s">
        <v>446</v>
      </c>
      <c r="D201" s="6">
        <f>'2012 pax'!Q201</f>
        <v>1747520</v>
      </c>
      <c r="E201" s="10">
        <v>115984</v>
      </c>
      <c r="F201" s="10">
        <v>111815</v>
      </c>
      <c r="G201" s="10">
        <v>136226</v>
      </c>
      <c r="H201" s="10">
        <v>137011</v>
      </c>
      <c r="I201" s="10">
        <v>155164</v>
      </c>
      <c r="J201" s="10">
        <v>164541</v>
      </c>
      <c r="K201" s="10">
        <v>162233</v>
      </c>
      <c r="L201" s="10">
        <v>151029</v>
      </c>
      <c r="M201" s="10">
        <v>142580</v>
      </c>
      <c r="N201" s="10">
        <v>158871</v>
      </c>
      <c r="O201" s="10">
        <v>139142</v>
      </c>
      <c r="P201" s="10">
        <v>138080</v>
      </c>
      <c r="Q201" s="6">
        <f t="shared" si="9"/>
        <v>1712676</v>
      </c>
      <c r="R201" s="15">
        <f t="shared" si="8"/>
        <v>-1.9939113715436774E-2</v>
      </c>
      <c r="S201" s="32"/>
    </row>
    <row r="202" spans="1:19">
      <c r="A202" s="1" t="s">
        <v>16</v>
      </c>
      <c r="B202" s="1" t="s">
        <v>28</v>
      </c>
      <c r="C202" s="1" t="s">
        <v>29</v>
      </c>
      <c r="D202" s="6">
        <f>'2012 pax'!Q202</f>
        <v>41666527</v>
      </c>
      <c r="E202" s="10">
        <v>3124987</v>
      </c>
      <c r="F202" s="10">
        <v>2992872</v>
      </c>
      <c r="G202" s="10">
        <v>3682330</v>
      </c>
      <c r="H202" s="10">
        <v>3548947</v>
      </c>
      <c r="I202" s="10">
        <v>3757979</v>
      </c>
      <c r="J202" s="10">
        <v>3651968</v>
      </c>
      <c r="K202" s="10">
        <v>3663701</v>
      </c>
      <c r="L202" s="10">
        <v>3614699</v>
      </c>
      <c r="M202" s="10">
        <v>3472565</v>
      </c>
      <c r="N202" s="10">
        <v>3729896</v>
      </c>
      <c r="O202" s="10">
        <v>3310080</v>
      </c>
      <c r="P202" s="28">
        <v>3307035</v>
      </c>
      <c r="Q202" s="6">
        <f t="shared" si="9"/>
        <v>41857059</v>
      </c>
      <c r="R202" s="15">
        <f t="shared" si="8"/>
        <v>4.5727833279696206E-3</v>
      </c>
    </row>
    <row r="203" spans="1:19">
      <c r="A203" s="1" t="s">
        <v>16</v>
      </c>
      <c r="B203" s="1" t="s">
        <v>429</v>
      </c>
      <c r="C203" s="1" t="s">
        <v>430</v>
      </c>
      <c r="D203" s="6">
        <f>'2012 pax'!Q203</f>
        <v>2292992</v>
      </c>
      <c r="E203" s="10">
        <v>158318</v>
      </c>
      <c r="F203" s="10">
        <v>148990</v>
      </c>
      <c r="G203" s="10">
        <v>190628</v>
      </c>
      <c r="H203" s="10">
        <v>185693</v>
      </c>
      <c r="I203" s="10">
        <v>197778</v>
      </c>
      <c r="J203" s="10">
        <v>228688</v>
      </c>
      <c r="K203" s="10">
        <v>201760</v>
      </c>
      <c r="L203" s="10">
        <v>183707</v>
      </c>
      <c r="M203" s="10">
        <v>170046</v>
      </c>
      <c r="N203" s="10">
        <v>186140</v>
      </c>
      <c r="O203" s="10">
        <v>169733</v>
      </c>
      <c r="P203" s="28">
        <v>163121</v>
      </c>
      <c r="Q203" s="6">
        <f t="shared" si="9"/>
        <v>2184602</v>
      </c>
      <c r="R203" s="15">
        <f t="shared" ref="R203:R214" si="10">Q203/D203-1</f>
        <v>-4.7270116947638718E-2</v>
      </c>
    </row>
    <row r="204" spans="1:19">
      <c r="A204" s="1" t="s">
        <v>16</v>
      </c>
      <c r="B204" s="1" t="s">
        <v>427</v>
      </c>
      <c r="C204" s="1" t="s">
        <v>428</v>
      </c>
      <c r="D204" s="6">
        <f>'2012 pax'!Q204</f>
        <v>3206910</v>
      </c>
      <c r="E204" s="10">
        <v>232927</v>
      </c>
      <c r="F204" s="10">
        <v>211864</v>
      </c>
      <c r="G204" s="10">
        <v>237283</v>
      </c>
      <c r="H204" s="10">
        <v>237831</v>
      </c>
      <c r="I204" s="10">
        <v>256771</v>
      </c>
      <c r="J204" s="10">
        <v>277820</v>
      </c>
      <c r="K204" s="10">
        <v>300523</v>
      </c>
      <c r="L204" s="10">
        <v>293296</v>
      </c>
      <c r="M204" s="10">
        <v>226861</v>
      </c>
      <c r="N204" s="10">
        <v>224774</v>
      </c>
      <c r="O204" s="10">
        <v>213288</v>
      </c>
      <c r="P204" s="28">
        <v>229635</v>
      </c>
      <c r="Q204" s="6">
        <f t="shared" si="9"/>
        <v>2942873</v>
      </c>
      <c r="R204" s="15">
        <f t="shared" si="10"/>
        <v>-8.2333773008908873E-2</v>
      </c>
    </row>
    <row r="205" spans="1:19">
      <c r="A205" s="1" t="s">
        <v>16</v>
      </c>
      <c r="B205" s="1" t="s">
        <v>20</v>
      </c>
      <c r="C205" s="1" t="s">
        <v>21</v>
      </c>
      <c r="D205" s="6">
        <f>'2012 pax'!Q205</f>
        <v>63689838</v>
      </c>
      <c r="E205" s="10">
        <v>5075280</v>
      </c>
      <c r="F205" s="10">
        <v>4476305</v>
      </c>
      <c r="G205" s="10">
        <v>5544392</v>
      </c>
      <c r="H205" s="10">
        <v>5354060</v>
      </c>
      <c r="I205" s="10">
        <v>5713956</v>
      </c>
      <c r="J205" s="10">
        <v>6114514</v>
      </c>
      <c r="K205" s="10">
        <v>6467239</v>
      </c>
      <c r="L205" s="10">
        <v>6330149</v>
      </c>
      <c r="M205" s="10">
        <v>5308221</v>
      </c>
      <c r="N205" s="10">
        <v>5515805</v>
      </c>
      <c r="O205" s="10">
        <v>5056982</v>
      </c>
      <c r="P205" s="28">
        <v>5769893</v>
      </c>
      <c r="Q205" s="6">
        <f t="shared" si="9"/>
        <v>66726796</v>
      </c>
      <c r="R205" s="15">
        <f t="shared" si="10"/>
        <v>4.7683556676655359E-2</v>
      </c>
    </row>
    <row r="206" spans="1:19">
      <c r="A206" s="1" t="s">
        <v>16</v>
      </c>
      <c r="B206" s="1" t="s">
        <v>507</v>
      </c>
      <c r="C206" s="1" t="s">
        <v>402</v>
      </c>
      <c r="D206" s="6">
        <f>'2012 pax'!Q206</f>
        <v>4301680</v>
      </c>
      <c r="E206" s="10">
        <v>307503</v>
      </c>
      <c r="F206" s="10">
        <v>293536</v>
      </c>
      <c r="G206" s="10">
        <v>349595</v>
      </c>
      <c r="H206" s="10">
        <v>332143</v>
      </c>
      <c r="I206" s="10">
        <v>339082</v>
      </c>
      <c r="J206" s="10">
        <v>341967</v>
      </c>
      <c r="K206" s="10">
        <v>336724</v>
      </c>
      <c r="L206" s="10">
        <v>338387</v>
      </c>
      <c r="M206" s="10">
        <v>309542</v>
      </c>
      <c r="N206" s="10">
        <v>334385</v>
      </c>
      <c r="O206" s="10">
        <v>334172</v>
      </c>
      <c r="P206" s="28">
        <v>349541</v>
      </c>
      <c r="Q206" s="6">
        <f t="shared" si="9"/>
        <v>3966577</v>
      </c>
      <c r="R206" s="15">
        <f t="shared" si="10"/>
        <v>-7.7900494690446576E-2</v>
      </c>
    </row>
    <row r="207" spans="1:19">
      <c r="A207" s="1" t="s">
        <v>16</v>
      </c>
      <c r="B207" s="1" t="s">
        <v>500</v>
      </c>
      <c r="C207" s="1" t="s">
        <v>501</v>
      </c>
      <c r="D207" s="6">
        <f>'2012 pax'!Q207</f>
        <v>3364941</v>
      </c>
      <c r="E207" s="10">
        <v>241755</v>
      </c>
      <c r="F207" s="10">
        <v>231860</v>
      </c>
      <c r="G207" s="10">
        <v>292684</v>
      </c>
      <c r="H207" s="10">
        <v>283557</v>
      </c>
      <c r="I207" s="10">
        <v>315891</v>
      </c>
      <c r="J207" s="10">
        <v>319574</v>
      </c>
      <c r="K207" s="10">
        <v>302562</v>
      </c>
      <c r="L207" s="10">
        <v>273969</v>
      </c>
      <c r="M207" s="10">
        <v>272753</v>
      </c>
      <c r="N207" s="10">
        <v>332161</v>
      </c>
      <c r="O207" s="10">
        <v>268665</v>
      </c>
      <c r="P207" s="28">
        <v>268649</v>
      </c>
      <c r="Q207" s="6">
        <f t="shared" si="9"/>
        <v>3404080</v>
      </c>
      <c r="R207" s="15">
        <f t="shared" si="10"/>
        <v>1.1631407504618885E-2</v>
      </c>
    </row>
    <row r="208" spans="1:19">
      <c r="A208" s="1" t="s">
        <v>16</v>
      </c>
      <c r="B208" s="1" t="s">
        <v>522</v>
      </c>
      <c r="C208" s="1" t="s">
        <v>523</v>
      </c>
      <c r="D208" s="6">
        <f>'2012 pax'!Q208</f>
        <v>6753186</v>
      </c>
      <c r="E208" s="10">
        <v>379059</v>
      </c>
      <c r="F208" s="10">
        <v>357722</v>
      </c>
      <c r="G208" s="10">
        <v>434570</v>
      </c>
      <c r="H208" s="10">
        <v>411740</v>
      </c>
      <c r="I208" s="10">
        <v>440835</v>
      </c>
      <c r="J208" s="10">
        <v>430546</v>
      </c>
      <c r="K208" s="10">
        <v>408950</v>
      </c>
      <c r="L208" s="10">
        <v>435942</v>
      </c>
      <c r="M208" s="10">
        <v>318717</v>
      </c>
      <c r="N208" s="10">
        <v>368142</v>
      </c>
      <c r="O208" s="10">
        <v>306660</v>
      </c>
      <c r="P208" s="28">
        <v>305303</v>
      </c>
      <c r="Q208" s="6">
        <f t="shared" si="9"/>
        <v>4598186</v>
      </c>
      <c r="R208" s="15">
        <f t="shared" si="10"/>
        <v>-0.3191086399811881</v>
      </c>
    </row>
    <row r="209" spans="1:19">
      <c r="A209" s="1" t="s">
        <v>16</v>
      </c>
      <c r="B209" s="1" t="s">
        <v>36</v>
      </c>
      <c r="C209" s="1" t="s">
        <v>37</v>
      </c>
      <c r="D209" s="6">
        <f>'2012 pax'!Q209</f>
        <v>39467444</v>
      </c>
      <c r="E209" s="10">
        <v>3492321</v>
      </c>
      <c r="F209" s="10">
        <v>3131120</v>
      </c>
      <c r="G209" s="10">
        <v>3722460</v>
      </c>
      <c r="H209" s="10">
        <v>3286390</v>
      </c>
      <c r="I209" s="10">
        <v>3347935</v>
      </c>
      <c r="J209" s="10">
        <v>3411294</v>
      </c>
      <c r="K209" s="10">
        <v>3698368</v>
      </c>
      <c r="L209" s="10">
        <v>3548938</v>
      </c>
      <c r="M209" s="10">
        <v>2855876</v>
      </c>
      <c r="N209" s="10">
        <v>3125648</v>
      </c>
      <c r="O209" s="10">
        <v>3202180</v>
      </c>
      <c r="P209" s="28">
        <v>3740541</v>
      </c>
      <c r="Q209" s="6">
        <f t="shared" si="9"/>
        <v>40563071</v>
      </c>
      <c r="R209" s="15">
        <f t="shared" si="10"/>
        <v>2.776027249193036E-2</v>
      </c>
    </row>
    <row r="210" spans="1:19">
      <c r="A210" s="1" t="s">
        <v>16</v>
      </c>
      <c r="B210" s="1" t="s">
        <v>346</v>
      </c>
      <c r="C210" s="1" t="s">
        <v>347</v>
      </c>
      <c r="D210" s="6">
        <f>'2012 pax'!Q210</f>
        <v>7515070</v>
      </c>
      <c r="E210" s="10">
        <v>482751</v>
      </c>
      <c r="F210" s="10">
        <v>459451</v>
      </c>
      <c r="G210" s="10">
        <v>601312</v>
      </c>
      <c r="H210" s="10">
        <v>541011</v>
      </c>
      <c r="I210" s="10">
        <v>563050</v>
      </c>
      <c r="J210" s="10">
        <v>581091</v>
      </c>
      <c r="K210" s="10">
        <v>591514</v>
      </c>
      <c r="L210" s="10">
        <v>593184</v>
      </c>
      <c r="M210" s="10">
        <v>505578</v>
      </c>
      <c r="N210" s="10">
        <v>567981</v>
      </c>
      <c r="O210" s="10">
        <v>504099</v>
      </c>
      <c r="P210" s="10">
        <v>534159</v>
      </c>
      <c r="Q210" s="6">
        <f t="shared" si="9"/>
        <v>6525181</v>
      </c>
      <c r="R210" s="15">
        <f t="shared" si="10"/>
        <v>-0.13172052954929225</v>
      </c>
    </row>
    <row r="211" spans="1:19" ht="15.75">
      <c r="A211" s="1" t="s">
        <v>16</v>
      </c>
      <c r="B211" s="1" t="s">
        <v>387</v>
      </c>
      <c r="C211" s="1" t="s">
        <v>41</v>
      </c>
      <c r="D211" s="6">
        <f>'2012 pax'!Q211</f>
        <v>33019386</v>
      </c>
      <c r="E211" s="10">
        <v>2317733</v>
      </c>
      <c r="F211" s="10">
        <v>2263833</v>
      </c>
      <c r="G211" s="10">
        <v>3021336</v>
      </c>
      <c r="H211" s="10">
        <v>2658855</v>
      </c>
      <c r="I211" s="10">
        <v>2657787</v>
      </c>
      <c r="J211" s="10">
        <v>3129395</v>
      </c>
      <c r="K211" s="10">
        <v>3313621</v>
      </c>
      <c r="L211" s="10">
        <v>3323502</v>
      </c>
      <c r="M211" s="10">
        <v>2722824</v>
      </c>
      <c r="N211" s="10">
        <v>2843492</v>
      </c>
      <c r="O211" s="10">
        <v>2496113</v>
      </c>
      <c r="P211" s="10">
        <v>3143583</v>
      </c>
      <c r="Q211" s="6">
        <f t="shared" si="9"/>
        <v>33892074</v>
      </c>
      <c r="R211" s="15">
        <f t="shared" si="10"/>
        <v>2.6429564741149436E-2</v>
      </c>
    </row>
    <row r="212" spans="1:19">
      <c r="A212" s="1" t="s">
        <v>16</v>
      </c>
      <c r="B212" s="1" t="s">
        <v>515</v>
      </c>
      <c r="C212" s="1" t="s">
        <v>516</v>
      </c>
      <c r="D212" s="6">
        <f>'2012 pax'!Q212</f>
        <v>1482554</v>
      </c>
      <c r="E212" s="10">
        <v>61447</v>
      </c>
      <c r="F212" s="10">
        <v>73888</v>
      </c>
      <c r="G212" s="10">
        <v>123898</v>
      </c>
      <c r="H212" s="10">
        <v>137270</v>
      </c>
      <c r="I212" s="10">
        <v>181196</v>
      </c>
      <c r="J212" s="10">
        <v>188327</v>
      </c>
      <c r="K212" s="10">
        <v>213782</v>
      </c>
      <c r="L212" s="10">
        <v>212104</v>
      </c>
      <c r="M212" s="10">
        <v>150890</v>
      </c>
      <c r="N212" s="10">
        <v>149802</v>
      </c>
      <c r="O212" s="10">
        <v>93038</v>
      </c>
      <c r="P212" s="10">
        <v>79275</v>
      </c>
      <c r="Q212" s="6">
        <f t="shared" si="9"/>
        <v>1664917</v>
      </c>
      <c r="R212" s="15">
        <f t="shared" si="10"/>
        <v>0.1230059748245258</v>
      </c>
    </row>
    <row r="213" spans="1:19">
      <c r="A213" s="1" t="s">
        <v>16</v>
      </c>
      <c r="B213" s="1" t="s">
        <v>359</v>
      </c>
      <c r="C213" s="1" t="s">
        <v>360</v>
      </c>
      <c r="D213" s="6">
        <f>'2012 pax'!Q213</f>
        <v>9834453</v>
      </c>
      <c r="E213" s="10">
        <v>715435</v>
      </c>
      <c r="F213" s="10">
        <v>689245</v>
      </c>
      <c r="G213" s="10">
        <v>910769</v>
      </c>
      <c r="H213" s="10">
        <v>865101</v>
      </c>
      <c r="I213" s="10">
        <v>952908</v>
      </c>
      <c r="J213" s="10">
        <v>964582</v>
      </c>
      <c r="K213" s="10">
        <v>938241</v>
      </c>
      <c r="L213" s="10">
        <v>864383</v>
      </c>
      <c r="M213" s="10">
        <v>816937</v>
      </c>
      <c r="N213" s="10">
        <v>939388</v>
      </c>
      <c r="O213" s="10">
        <v>832060</v>
      </c>
      <c r="P213" s="10">
        <v>862660</v>
      </c>
      <c r="Q213" s="6">
        <f t="shared" si="9"/>
        <v>10351709</v>
      </c>
      <c r="R213" s="15">
        <f t="shared" si="10"/>
        <v>5.259631623639871E-2</v>
      </c>
      <c r="S213" s="13"/>
    </row>
    <row r="214" spans="1:19">
      <c r="A214" s="1" t="s">
        <v>16</v>
      </c>
      <c r="B214" s="1" t="s">
        <v>405</v>
      </c>
      <c r="C214" s="1" t="s">
        <v>406</v>
      </c>
      <c r="D214" s="6">
        <f>'2012 pax'!Q214</f>
        <v>8600989</v>
      </c>
      <c r="E214" s="10">
        <f>328582+348081</f>
        <v>676663</v>
      </c>
      <c r="F214" s="10">
        <f>355695+356103</f>
        <v>711798</v>
      </c>
      <c r="G214" s="10">
        <f>422473+420481</f>
        <v>842954</v>
      </c>
      <c r="H214" s="10">
        <f>411626+422791</f>
        <v>834417</v>
      </c>
      <c r="I214" s="10">
        <f>444413+417010</f>
        <v>861423</v>
      </c>
      <c r="J214" s="10">
        <f>397396+391025</f>
        <v>788421</v>
      </c>
      <c r="K214" s="10">
        <f>381850+385826</f>
        <v>767676</v>
      </c>
      <c r="L214" s="10">
        <f>324995+334659</f>
        <v>659654</v>
      </c>
      <c r="M214" s="10">
        <v>661870</v>
      </c>
      <c r="N214" s="10">
        <v>856012</v>
      </c>
      <c r="O214" s="28">
        <v>789094</v>
      </c>
      <c r="P214" s="10">
        <v>757654</v>
      </c>
      <c r="Q214" s="6">
        <f t="shared" si="9"/>
        <v>9207636</v>
      </c>
      <c r="R214" s="15">
        <f t="shared" si="10"/>
        <v>7.0532237629881811E-2</v>
      </c>
      <c r="S214" s="13"/>
    </row>
    <row r="215" spans="1:19" ht="15.75">
      <c r="A215" s="1" t="s">
        <v>16</v>
      </c>
      <c r="B215" s="1" t="s">
        <v>388</v>
      </c>
      <c r="C215" s="1" t="s">
        <v>25</v>
      </c>
      <c r="D215" s="6">
        <f>'2012 pax'!Q215</f>
        <v>50543780</v>
      </c>
      <c r="E215" s="10">
        <f>3725784+112959</f>
        <v>3838743</v>
      </c>
      <c r="F215" s="10">
        <f>3181596+99119</f>
        <v>3280715</v>
      </c>
      <c r="G215" s="10">
        <f>4167173+123972</f>
        <v>4291145</v>
      </c>
      <c r="H215" s="10">
        <f>3934978+123451</f>
        <v>4058429</v>
      </c>
      <c r="I215" s="10">
        <f>4323261+126519</f>
        <v>4449780</v>
      </c>
      <c r="J215" s="10">
        <f>4596382+132228</f>
        <v>4728610</v>
      </c>
      <c r="K215" s="10">
        <f>145494+4967543</f>
        <v>5113037</v>
      </c>
      <c r="L215" s="10">
        <f>142549+5088247</f>
        <v>5230796</v>
      </c>
      <c r="M215" s="10">
        <v>4309206</v>
      </c>
      <c r="N215" s="10">
        <v>4343190</v>
      </c>
      <c r="O215" s="10">
        <v>3843141</v>
      </c>
      <c r="P215" s="28">
        <v>4418342</v>
      </c>
      <c r="Q215" s="6">
        <f t="shared" si="9"/>
        <v>51905134</v>
      </c>
      <c r="R215" s="15">
        <f t="shared" ref="R215:R227" si="11">Q215/D215-1</f>
        <v>2.6934154904916019E-2</v>
      </c>
      <c r="S215" s="13"/>
    </row>
    <row r="216" spans="1:19" ht="15.75">
      <c r="A216" s="1" t="s">
        <v>16</v>
      </c>
      <c r="B216" s="1" t="s">
        <v>389</v>
      </c>
      <c r="C216" s="1" t="s">
        <v>49</v>
      </c>
      <c r="D216" s="6">
        <f>'2012 pax'!Q216</f>
        <v>26524530</v>
      </c>
      <c r="E216" s="10">
        <f>1927283+72206</f>
        <v>1999489</v>
      </c>
      <c r="F216" s="10">
        <f>1780335+63884</f>
        <v>1844219</v>
      </c>
      <c r="G216" s="10">
        <f>2305962+77554</f>
        <v>2383516</v>
      </c>
      <c r="H216" s="10">
        <f>2247969+78381</f>
        <v>2326350</v>
      </c>
      <c r="I216" s="10">
        <f>2371835+82176</f>
        <v>2454011</v>
      </c>
      <c r="J216" s="10">
        <f>2330377+88760</f>
        <v>2419137</v>
      </c>
      <c r="K216" s="10">
        <f>2379680+89584</f>
        <v>2469264</v>
      </c>
      <c r="L216" s="10">
        <f>2519618+90994</f>
        <v>2610612</v>
      </c>
      <c r="M216" s="10">
        <v>2185106</v>
      </c>
      <c r="N216" s="10">
        <v>2402477</v>
      </c>
      <c r="O216" s="10">
        <v>2173918</v>
      </c>
      <c r="P216" s="28">
        <v>2413650</v>
      </c>
      <c r="Q216" s="6">
        <f t="shared" si="9"/>
        <v>27681749</v>
      </c>
      <c r="R216" s="15">
        <f t="shared" si="11"/>
        <v>4.3628256561002221E-2</v>
      </c>
      <c r="S216" s="23"/>
    </row>
    <row r="217" spans="1:19" ht="15.75">
      <c r="A217" s="1" t="s">
        <v>16</v>
      </c>
      <c r="B217" s="1" t="s">
        <v>390</v>
      </c>
      <c r="C217" s="1" t="s">
        <v>40</v>
      </c>
      <c r="D217" s="6">
        <f>'2012 pax'!Q217</f>
        <v>35051346</v>
      </c>
      <c r="E217" s="10">
        <f>2552157+98422</f>
        <v>2650579</v>
      </c>
      <c r="F217" s="10">
        <f>2276214+85190</f>
        <v>2361404</v>
      </c>
      <c r="G217" s="10">
        <f>2917727+110700</f>
        <v>3028427</v>
      </c>
      <c r="H217" s="10">
        <f>2954595+106951</f>
        <v>3061546</v>
      </c>
      <c r="I217" s="10">
        <f>3071946+106379</f>
        <v>3178325</v>
      </c>
      <c r="J217" s="10">
        <f>3148150+110060</f>
        <v>3258210</v>
      </c>
      <c r="K217" s="10">
        <f>3261706+118053</f>
        <v>3379759</v>
      </c>
      <c r="L217" s="10">
        <f>3326805+117891</f>
        <v>3444696</v>
      </c>
      <c r="M217" s="10">
        <v>2889284</v>
      </c>
      <c r="N217" s="10">
        <v>3043629</v>
      </c>
      <c r="O217" s="10">
        <v>2780382</v>
      </c>
      <c r="P217" s="28">
        <v>3067888</v>
      </c>
      <c r="Q217" s="6">
        <f t="shared" si="9"/>
        <v>36144129</v>
      </c>
      <c r="R217" s="15">
        <f t="shared" si="11"/>
        <v>3.1176634415123416E-2</v>
      </c>
    </row>
    <row r="218" spans="1:19">
      <c r="A218" s="1" t="s">
        <v>16</v>
      </c>
      <c r="B218" s="1" t="s">
        <v>419</v>
      </c>
      <c r="C218" s="1" t="s">
        <v>420</v>
      </c>
      <c r="D218" s="6">
        <f>'2012 pax'!Q218</f>
        <v>3296450</v>
      </c>
      <c r="E218" s="10">
        <v>214037</v>
      </c>
      <c r="F218" s="10">
        <v>191260</v>
      </c>
      <c r="G218" s="10">
        <v>243373</v>
      </c>
      <c r="H218" s="10">
        <v>253401</v>
      </c>
      <c r="I218" s="10">
        <v>281701</v>
      </c>
      <c r="J218" s="10">
        <v>303295</v>
      </c>
      <c r="K218" s="10">
        <v>310238</v>
      </c>
      <c r="L218" s="10">
        <v>295471</v>
      </c>
      <c r="M218" s="10">
        <v>251529</v>
      </c>
      <c r="N218" s="10">
        <v>255004</v>
      </c>
      <c r="O218" s="10">
        <v>241512</v>
      </c>
      <c r="P218" s="28">
        <v>271534</v>
      </c>
      <c r="Q218" s="6">
        <f t="shared" si="9"/>
        <v>3112355</v>
      </c>
      <c r="R218" s="15">
        <f t="shared" si="11"/>
        <v>-5.584644086820667E-2</v>
      </c>
    </row>
    <row r="219" spans="1:19">
      <c r="A219" s="1" t="s">
        <v>16</v>
      </c>
      <c r="B219" s="1" t="s">
        <v>357</v>
      </c>
      <c r="C219" s="1" t="s">
        <v>358</v>
      </c>
      <c r="D219" s="6">
        <f>'2012 pax'!Q219</f>
        <v>10040864</v>
      </c>
      <c r="E219" s="10">
        <v>710618</v>
      </c>
      <c r="F219" s="10">
        <v>666616</v>
      </c>
      <c r="G219" s="10">
        <v>804197</v>
      </c>
      <c r="H219" s="10">
        <v>795111</v>
      </c>
      <c r="I219" s="10">
        <v>847446</v>
      </c>
      <c r="J219" s="10">
        <v>867026</v>
      </c>
      <c r="K219" s="10">
        <v>920206</v>
      </c>
      <c r="L219" s="10">
        <v>900761</v>
      </c>
      <c r="M219" s="10">
        <v>782027</v>
      </c>
      <c r="N219" s="10">
        <v>810720</v>
      </c>
      <c r="O219" s="10">
        <v>782489</v>
      </c>
      <c r="P219" s="28">
        <v>855670</v>
      </c>
      <c r="Q219" s="6">
        <f t="shared" si="9"/>
        <v>9742887</v>
      </c>
      <c r="R219" s="15">
        <f t="shared" si="11"/>
        <v>-2.9676430235485718E-2</v>
      </c>
    </row>
    <row r="220" spans="1:19">
      <c r="A220" s="1" t="s">
        <v>16</v>
      </c>
      <c r="B220" s="1" t="s">
        <v>453</v>
      </c>
      <c r="C220" s="1" t="s">
        <v>454</v>
      </c>
      <c r="D220" s="6">
        <f>'2012 pax'!Q220</f>
        <v>3678782</v>
      </c>
      <c r="E220" s="10">
        <v>258119</v>
      </c>
      <c r="F220" s="10">
        <f>122855+122050</f>
        <v>244905</v>
      </c>
      <c r="G220" s="10">
        <v>301241</v>
      </c>
      <c r="H220" s="10">
        <f>150996+147956</f>
        <v>298952</v>
      </c>
      <c r="I220" s="10">
        <v>338776</v>
      </c>
      <c r="J220" s="10">
        <v>347494</v>
      </c>
      <c r="K220" s="10">
        <v>345962</v>
      </c>
      <c r="L220" s="10">
        <v>314412</v>
      </c>
      <c r="M220" s="10">
        <v>294382</v>
      </c>
      <c r="N220" s="10">
        <v>318124</v>
      </c>
      <c r="O220" s="10">
        <v>293156</v>
      </c>
      <c r="P220" s="28">
        <v>301944</v>
      </c>
      <c r="Q220" s="6">
        <f t="shared" si="9"/>
        <v>3657467</v>
      </c>
      <c r="R220" s="15">
        <f t="shared" si="11"/>
        <v>-5.7940372655950201E-3</v>
      </c>
    </row>
    <row r="221" spans="1:19">
      <c r="A221" s="1" t="s">
        <v>16</v>
      </c>
      <c r="B221" s="1" t="s">
        <v>412</v>
      </c>
      <c r="C221" s="1" t="s">
        <v>413</v>
      </c>
      <c r="D221" s="6">
        <f>'2012 pax'!Q221</f>
        <v>4127344</v>
      </c>
      <c r="E221" s="10">
        <v>296060</v>
      </c>
      <c r="F221" s="10">
        <v>283492</v>
      </c>
      <c r="G221" s="10">
        <v>342475</v>
      </c>
      <c r="H221" s="10">
        <v>318658</v>
      </c>
      <c r="I221" s="10">
        <v>372409</v>
      </c>
      <c r="J221" s="10">
        <v>385126</v>
      </c>
      <c r="K221" s="10">
        <v>373562</v>
      </c>
      <c r="L221" s="10">
        <v>343759</v>
      </c>
      <c r="M221" s="10">
        <v>330706</v>
      </c>
      <c r="N221" s="10">
        <v>345730</v>
      </c>
      <c r="O221" s="10">
        <v>315834</v>
      </c>
      <c r="P221" s="10">
        <v>334522</v>
      </c>
      <c r="Q221" s="6">
        <f t="shared" si="9"/>
        <v>4042333</v>
      </c>
      <c r="R221" s="15">
        <f t="shared" si="11"/>
        <v>-2.0597023170348727E-2</v>
      </c>
    </row>
    <row r="222" spans="1:19">
      <c r="A222" s="1" t="s">
        <v>16</v>
      </c>
      <c r="B222" s="1" t="s">
        <v>38</v>
      </c>
      <c r="C222" s="1" t="s">
        <v>39</v>
      </c>
      <c r="D222" s="6">
        <f>'2012 pax'!Q222</f>
        <v>34871267</v>
      </c>
      <c r="E222" s="10">
        <f>1434726+1393858</f>
        <v>2828584</v>
      </c>
      <c r="F222" s="10">
        <v>2712376</v>
      </c>
      <c r="G222" s="10">
        <v>3451578</v>
      </c>
      <c r="H222" s="10">
        <v>3056857</v>
      </c>
      <c r="I222" s="10">
        <v>2993987</v>
      </c>
      <c r="J222" s="10">
        <v>3009628</v>
      </c>
      <c r="K222" s="10">
        <v>3083341</v>
      </c>
      <c r="L222" s="10">
        <v>3040831</v>
      </c>
      <c r="M222" s="10">
        <v>2287651</v>
      </c>
      <c r="N222" s="10">
        <v>2720136</v>
      </c>
      <c r="O222" s="28">
        <v>2709244</v>
      </c>
      <c r="P222" s="10">
        <v>3032166</v>
      </c>
      <c r="Q222" s="6">
        <f t="shared" si="9"/>
        <v>34926379</v>
      </c>
      <c r="R222" s="15">
        <f t="shared" si="11"/>
        <v>1.5804415709930186E-3</v>
      </c>
    </row>
    <row r="223" spans="1:19">
      <c r="A223" s="1" t="s">
        <v>16</v>
      </c>
      <c r="B223" s="1" t="s">
        <v>441</v>
      </c>
      <c r="C223" s="1" t="s">
        <v>442</v>
      </c>
      <c r="D223" s="6">
        <f>'2012 pax'!Q223</f>
        <v>1815729</v>
      </c>
      <c r="E223" s="10">
        <v>129707</v>
      </c>
      <c r="F223" s="10">
        <v>139524</v>
      </c>
      <c r="G223" s="10">
        <v>211194</v>
      </c>
      <c r="H223" s="10">
        <v>176588</v>
      </c>
      <c r="I223" s="10">
        <v>176334</v>
      </c>
      <c r="J223" s="10">
        <v>218175</v>
      </c>
      <c r="K223" s="10">
        <v>231889</v>
      </c>
      <c r="L223" s="10">
        <v>170725</v>
      </c>
      <c r="M223" s="10">
        <v>117931</v>
      </c>
      <c r="N223" s="10">
        <v>147521</v>
      </c>
      <c r="O223" s="28">
        <v>143981</v>
      </c>
      <c r="P223" s="28">
        <v>169111</v>
      </c>
      <c r="Q223" s="6">
        <f t="shared" si="9"/>
        <v>2032680</v>
      </c>
      <c r="R223" s="15">
        <f t="shared" si="11"/>
        <v>0.11948424021426107</v>
      </c>
    </row>
    <row r="224" spans="1:19">
      <c r="A224" s="1" t="s">
        <v>16</v>
      </c>
      <c r="B224" s="1" t="s">
        <v>400</v>
      </c>
      <c r="C224" s="1" t="s">
        <v>401</v>
      </c>
      <c r="D224" s="6">
        <f>'2012 pax'!Q224</f>
        <v>5609077</v>
      </c>
      <c r="E224" s="10">
        <v>540827</v>
      </c>
      <c r="F224" s="10">
        <v>535992</v>
      </c>
      <c r="G224" s="10">
        <v>699713</v>
      </c>
      <c r="H224" s="10">
        <v>538086</v>
      </c>
      <c r="I224" s="10">
        <v>434810</v>
      </c>
      <c r="J224" s="10">
        <v>394814</v>
      </c>
      <c r="K224" s="10">
        <v>397006</v>
      </c>
      <c r="L224" s="10">
        <v>391532</v>
      </c>
      <c r="M224" s="10">
        <v>318564</v>
      </c>
      <c r="N224" s="10">
        <v>393465</v>
      </c>
      <c r="O224" s="10">
        <v>461227</v>
      </c>
      <c r="P224" s="28">
        <v>585711</v>
      </c>
      <c r="Q224" s="6">
        <f t="shared" si="9"/>
        <v>5691747</v>
      </c>
      <c r="R224" s="15">
        <f t="shared" si="11"/>
        <v>1.4738610291853638E-2</v>
      </c>
    </row>
    <row r="225" spans="1:18">
      <c r="A225" s="1" t="s">
        <v>16</v>
      </c>
      <c r="B225" s="1" t="s">
        <v>455</v>
      </c>
      <c r="C225" s="1" t="s">
        <v>456</v>
      </c>
      <c r="D225" s="6">
        <f>'2012 pax'!Q225</f>
        <v>1727113</v>
      </c>
      <c r="E225" s="10">
        <v>190045</v>
      </c>
      <c r="F225" s="10">
        <v>204521</v>
      </c>
      <c r="G225" s="10">
        <v>263057</v>
      </c>
      <c r="H225" s="10">
        <v>205023</v>
      </c>
      <c r="I225" s="10">
        <v>128701</v>
      </c>
      <c r="J225" s="10">
        <v>75423</v>
      </c>
      <c r="K225" s="10">
        <v>68058</v>
      </c>
      <c r="L225" s="10">
        <v>68394</v>
      </c>
      <c r="M225" s="10">
        <v>81463</v>
      </c>
      <c r="N225" s="10">
        <v>124154</v>
      </c>
      <c r="O225" s="10">
        <v>165184</v>
      </c>
      <c r="P225" s="28">
        <v>178157</v>
      </c>
      <c r="Q225" s="6">
        <f t="shared" si="9"/>
        <v>1752180</v>
      </c>
      <c r="R225" s="15">
        <f t="shared" si="11"/>
        <v>1.4513815830232257E-2</v>
      </c>
    </row>
    <row r="226" spans="1:18">
      <c r="A226" s="1" t="s">
        <v>16</v>
      </c>
      <c r="B226" s="1" t="s">
        <v>46</v>
      </c>
      <c r="C226" s="1" t="s">
        <v>47</v>
      </c>
      <c r="D226" s="6">
        <f>'2012 pax'!Q226</f>
        <v>30228596</v>
      </c>
      <c r="E226" s="10">
        <v>2271998</v>
      </c>
      <c r="F226" s="10">
        <v>2161555</v>
      </c>
      <c r="G226" s="10">
        <v>2647273</v>
      </c>
      <c r="H226" s="10">
        <v>2532684</v>
      </c>
      <c r="I226" s="10">
        <v>2700335</v>
      </c>
      <c r="J226" s="10">
        <v>2734184</v>
      </c>
      <c r="K226" s="10">
        <v>2808229</v>
      </c>
      <c r="L226" s="10">
        <v>2860309</v>
      </c>
      <c r="M226" s="10">
        <v>2423625</v>
      </c>
      <c r="N226" s="10">
        <v>2581802</v>
      </c>
      <c r="O226" s="10">
        <v>2350691</v>
      </c>
      <c r="P226" s="28">
        <v>2431427</v>
      </c>
      <c r="Q226" s="6">
        <f t="shared" si="9"/>
        <v>30504112</v>
      </c>
      <c r="R226" s="15">
        <f t="shared" si="11"/>
        <v>9.1144160317602196E-3</v>
      </c>
    </row>
    <row r="227" spans="1:18">
      <c r="A227" s="1" t="s">
        <v>16</v>
      </c>
      <c r="B227" s="1" t="s">
        <v>32</v>
      </c>
      <c r="C227" s="1" t="s">
        <v>33</v>
      </c>
      <c r="D227" s="6">
        <f>'2012 pax'!Q227</f>
        <v>40542674</v>
      </c>
      <c r="E227" s="10">
        <v>3241111</v>
      </c>
      <c r="F227" s="10">
        <v>3059998</v>
      </c>
      <c r="G227" s="10">
        <v>3903451</v>
      </c>
      <c r="H227" s="10">
        <v>3405018</v>
      </c>
      <c r="I227" s="10">
        <v>3470776</v>
      </c>
      <c r="J227" s="10">
        <v>3486294</v>
      </c>
      <c r="K227" s="10">
        <v>3482303</v>
      </c>
      <c r="L227" s="10">
        <v>3309625</v>
      </c>
      <c r="M227" s="10">
        <v>2920052</v>
      </c>
      <c r="N227" s="10">
        <v>3309916</v>
      </c>
      <c r="O227" s="10">
        <v>3221061</v>
      </c>
      <c r="P227" s="28">
        <v>3530670</v>
      </c>
      <c r="Q227" s="6">
        <f t="shared" si="9"/>
        <v>40340275</v>
      </c>
      <c r="R227" s="15">
        <f t="shared" si="11"/>
        <v>-4.9922459480595816E-3</v>
      </c>
    </row>
    <row r="228" spans="1:18">
      <c r="A228" s="1" t="s">
        <v>16</v>
      </c>
      <c r="B228" s="1" t="s">
        <v>510</v>
      </c>
      <c r="C228" s="1" t="s">
        <v>511</v>
      </c>
      <c r="D228" s="6">
        <f>'2012 pax'!Q228</f>
        <v>1373131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6">
        <f t="shared" si="9"/>
        <v>0</v>
      </c>
    </row>
    <row r="229" spans="1:18">
      <c r="A229" s="1" t="s">
        <v>16</v>
      </c>
      <c r="B229" s="1" t="s">
        <v>344</v>
      </c>
      <c r="C229" s="1" t="s">
        <v>345</v>
      </c>
      <c r="D229" s="6">
        <f>'2012 pax'!Q229</f>
        <v>8011581</v>
      </c>
      <c r="E229" s="10">
        <v>558411</v>
      </c>
      <c r="F229" s="10">
        <v>539147</v>
      </c>
      <c r="G229" s="10">
        <v>679833</v>
      </c>
      <c r="H229" s="10">
        <v>652656</v>
      </c>
      <c r="I229" s="10">
        <v>708728</v>
      </c>
      <c r="J229" s="10">
        <v>725944</v>
      </c>
      <c r="K229" s="10">
        <v>719380</v>
      </c>
      <c r="L229" s="10">
        <v>704412</v>
      </c>
      <c r="M229" s="10">
        <v>633939</v>
      </c>
      <c r="N229" s="10">
        <v>693749</v>
      </c>
      <c r="O229" s="10">
        <v>628088</v>
      </c>
      <c r="P229" s="10">
        <v>639883</v>
      </c>
      <c r="Q229" s="6">
        <f t="shared" si="9"/>
        <v>7884170</v>
      </c>
      <c r="R229" s="15">
        <f t="shared" ref="R229:R253" si="12">Q229/D229-1</f>
        <v>-1.5903352908745449E-2</v>
      </c>
    </row>
    <row r="230" spans="1:18">
      <c r="A230" s="1" t="s">
        <v>16</v>
      </c>
      <c r="B230" s="1" t="s">
        <v>62</v>
      </c>
      <c r="C230" s="1" t="s">
        <v>63</v>
      </c>
      <c r="D230" s="6">
        <f>'2012 pax'!Q230</f>
        <v>14390627</v>
      </c>
      <c r="E230" s="10">
        <v>1025192</v>
      </c>
      <c r="F230" s="10">
        <v>968046</v>
      </c>
      <c r="G230" s="10">
        <v>1184489</v>
      </c>
      <c r="H230" s="10">
        <v>1156673</v>
      </c>
      <c r="I230" s="10">
        <v>1240241</v>
      </c>
      <c r="J230" s="10">
        <v>1372659</v>
      </c>
      <c r="K230" s="10">
        <v>1504832</v>
      </c>
      <c r="L230" s="10">
        <v>1504365</v>
      </c>
      <c r="M230" s="10">
        <v>1276281</v>
      </c>
      <c r="N230" s="10">
        <v>1273140</v>
      </c>
      <c r="O230" s="10">
        <v>1188031</v>
      </c>
      <c r="P230" s="28">
        <v>1334844</v>
      </c>
      <c r="Q230" s="6">
        <f t="shared" si="9"/>
        <v>15028793</v>
      </c>
      <c r="R230" s="15">
        <f t="shared" si="12"/>
        <v>4.434594823422211E-2</v>
      </c>
    </row>
    <row r="231" spans="1:18">
      <c r="A231" s="1" t="s">
        <v>16</v>
      </c>
      <c r="B231" s="1" t="s">
        <v>408</v>
      </c>
      <c r="C231" s="1" t="s">
        <v>409</v>
      </c>
      <c r="D231" s="6">
        <f>'2012 pax'!Q231</f>
        <v>3650737</v>
      </c>
      <c r="E231" s="10">
        <v>251791</v>
      </c>
      <c r="F231" s="10">
        <v>249554</v>
      </c>
      <c r="G231" s="10">
        <v>335578</v>
      </c>
      <c r="H231" s="10">
        <v>330423</v>
      </c>
      <c r="I231" s="10">
        <v>340639</v>
      </c>
      <c r="J231" s="10">
        <v>332925</v>
      </c>
      <c r="K231" s="10">
        <v>356974</v>
      </c>
      <c r="L231" s="10">
        <v>356675</v>
      </c>
      <c r="M231" s="10">
        <v>315248</v>
      </c>
      <c r="N231" s="10">
        <v>334587</v>
      </c>
      <c r="O231" s="10">
        <v>295452</v>
      </c>
      <c r="P231" s="28">
        <v>303740</v>
      </c>
      <c r="Q231" s="6">
        <f t="shared" si="9"/>
        <v>3803586</v>
      </c>
      <c r="R231" s="15">
        <f t="shared" si="12"/>
        <v>4.186798446450668E-2</v>
      </c>
    </row>
    <row r="232" spans="1:18">
      <c r="A232" s="1" t="s">
        <v>16</v>
      </c>
      <c r="B232" s="1" t="s">
        <v>355</v>
      </c>
      <c r="C232" s="1" t="s">
        <v>356</v>
      </c>
      <c r="D232" s="6">
        <f>'2012 pax'!Q232</f>
        <v>9220391</v>
      </c>
      <c r="E232" s="10">
        <f>330984+323135</f>
        <v>654119</v>
      </c>
      <c r="F232" s="10">
        <f>311865+309850</f>
        <v>621715</v>
      </c>
      <c r="G232" s="10">
        <f>384612+386466</f>
        <v>771078</v>
      </c>
      <c r="H232" s="10">
        <v>776030</v>
      </c>
      <c r="I232" s="10">
        <v>814585</v>
      </c>
      <c r="J232" s="10">
        <v>838079</v>
      </c>
      <c r="K232" s="10">
        <v>825216</v>
      </c>
      <c r="L232" s="10">
        <f>369153+411423</f>
        <v>780576</v>
      </c>
      <c r="M232" s="10">
        <f>359375+358011</f>
        <v>717386</v>
      </c>
      <c r="N232" s="10">
        <v>813296</v>
      </c>
      <c r="O232" s="10">
        <v>746382</v>
      </c>
      <c r="P232" s="28">
        <v>801291</v>
      </c>
      <c r="Q232" s="6">
        <f t="shared" si="9"/>
        <v>9159753</v>
      </c>
      <c r="R232" s="15">
        <f t="shared" si="12"/>
        <v>-6.5765106924424721E-3</v>
      </c>
    </row>
    <row r="233" spans="1:18">
      <c r="A233" s="1" t="s">
        <v>16</v>
      </c>
      <c r="B233" s="1" t="s">
        <v>410</v>
      </c>
      <c r="C233" s="1" t="s">
        <v>411</v>
      </c>
      <c r="D233" s="6">
        <f>'2012 pax'!Q233</f>
        <v>3479152</v>
      </c>
      <c r="E233" s="10">
        <v>264265</v>
      </c>
      <c r="F233" s="10">
        <v>259299</v>
      </c>
      <c r="G233" s="10">
        <v>306049</v>
      </c>
      <c r="H233" s="10">
        <v>279418</v>
      </c>
      <c r="I233" s="10">
        <v>295494</v>
      </c>
      <c r="J233" s="10">
        <v>328755</v>
      </c>
      <c r="K233" s="10">
        <v>333321</v>
      </c>
      <c r="L233" s="10">
        <v>322083</v>
      </c>
      <c r="M233" s="10">
        <v>283565</v>
      </c>
      <c r="N233" s="10">
        <v>262473</v>
      </c>
      <c r="O233" s="10">
        <v>227213</v>
      </c>
      <c r="P233" s="28">
        <v>270051</v>
      </c>
      <c r="Q233" s="6">
        <f t="shared" si="9"/>
        <v>3431986</v>
      </c>
      <c r="R233" s="15">
        <f t="shared" si="12"/>
        <v>-1.3556751760198993E-2</v>
      </c>
    </row>
    <row r="234" spans="1:18">
      <c r="A234" s="1" t="s">
        <v>16</v>
      </c>
      <c r="B234" s="1" t="s">
        <v>425</v>
      </c>
      <c r="C234" s="1" t="s">
        <v>426</v>
      </c>
      <c r="D234" s="6">
        <f>'2012 pax'!Q234</f>
        <v>3167294</v>
      </c>
      <c r="E234" s="10">
        <v>227613</v>
      </c>
      <c r="F234" s="10">
        <v>212785</v>
      </c>
      <c r="G234" s="10">
        <v>266288</v>
      </c>
      <c r="H234" s="10">
        <v>269091</v>
      </c>
      <c r="I234" s="10">
        <v>287228</v>
      </c>
      <c r="J234" s="10">
        <v>291952</v>
      </c>
      <c r="K234" s="10">
        <v>289380</v>
      </c>
      <c r="L234" s="10">
        <v>293160</v>
      </c>
      <c r="M234" s="10">
        <v>255888</v>
      </c>
      <c r="N234" s="10">
        <v>279564</v>
      </c>
      <c r="O234" s="10">
        <v>257367</v>
      </c>
      <c r="P234" s="28">
        <v>266164</v>
      </c>
      <c r="Q234" s="6">
        <f t="shared" si="9"/>
        <v>3196480</v>
      </c>
      <c r="R234" s="15">
        <f t="shared" si="12"/>
        <v>9.214806077364468E-3</v>
      </c>
    </row>
    <row r="235" spans="1:18">
      <c r="A235" s="1" t="s">
        <v>16</v>
      </c>
      <c r="B235" s="1" t="s">
        <v>519</v>
      </c>
      <c r="C235" s="1" t="s">
        <v>520</v>
      </c>
      <c r="D235" s="6">
        <f>'2012 pax'!Q235</f>
        <v>8812831</v>
      </c>
      <c r="E235" s="10">
        <v>635546</v>
      </c>
      <c r="F235" s="10">
        <v>599523</v>
      </c>
      <c r="G235" s="10">
        <v>730006</v>
      </c>
      <c r="H235" s="10">
        <v>709487</v>
      </c>
      <c r="I235" s="10">
        <v>772052</v>
      </c>
      <c r="J235" s="10">
        <v>802096</v>
      </c>
      <c r="K235" s="10">
        <v>795129</v>
      </c>
      <c r="L235" s="10">
        <v>768809</v>
      </c>
      <c r="M235" s="10">
        <v>706618</v>
      </c>
      <c r="N235" s="10">
        <v>727237</v>
      </c>
      <c r="O235" s="10">
        <v>698924</v>
      </c>
      <c r="P235" s="28">
        <v>741263</v>
      </c>
      <c r="Q235" s="6">
        <f t="shared" si="9"/>
        <v>8686690</v>
      </c>
      <c r="R235" s="15">
        <f t="shared" si="12"/>
        <v>-1.4313334727512617E-2</v>
      </c>
    </row>
    <row r="236" spans="1:18">
      <c r="A236" s="1" t="s">
        <v>16</v>
      </c>
      <c r="B236" s="1" t="s">
        <v>54</v>
      </c>
      <c r="C236" s="1" t="s">
        <v>55</v>
      </c>
      <c r="D236" s="6">
        <f>'2012 pax'!Q236</f>
        <v>20059597</v>
      </c>
      <c r="E236" s="10">
        <v>1519458</v>
      </c>
      <c r="F236" s="10">
        <v>1470862</v>
      </c>
      <c r="G236" s="10">
        <v>1818722</v>
      </c>
      <c r="H236" s="10">
        <v>1643865</v>
      </c>
      <c r="I236" s="10">
        <v>1688211</v>
      </c>
      <c r="J236" s="10">
        <v>1834090</v>
      </c>
      <c r="K236" s="10">
        <v>1885633</v>
      </c>
      <c r="L236" s="10">
        <v>1913790</v>
      </c>
      <c r="M236" s="10">
        <v>1656003</v>
      </c>
      <c r="N236" s="10">
        <v>1683900</v>
      </c>
      <c r="O236" s="10">
        <v>1481177</v>
      </c>
      <c r="P236" s="28">
        <v>1646381</v>
      </c>
      <c r="Q236" s="6">
        <f t="shared" si="9"/>
        <v>20242092</v>
      </c>
      <c r="R236" s="15">
        <f t="shared" si="12"/>
        <v>9.0976403962652608E-3</v>
      </c>
    </row>
    <row r="237" spans="1:18">
      <c r="A237" s="1" t="s">
        <v>16</v>
      </c>
      <c r="B237" s="1" t="s">
        <v>396</v>
      </c>
      <c r="C237" s="1" t="s">
        <v>397</v>
      </c>
      <c r="D237" s="6">
        <f>'2012 pax'!Q237</f>
        <v>8243221</v>
      </c>
      <c r="E237" s="10">
        <v>612665</v>
      </c>
      <c r="F237" s="10">
        <v>576739</v>
      </c>
      <c r="G237" s="10">
        <v>731393</v>
      </c>
      <c r="H237" s="10">
        <v>683474</v>
      </c>
      <c r="I237" s="10">
        <v>708835</v>
      </c>
      <c r="J237" s="10">
        <v>762220</v>
      </c>
      <c r="K237" s="10">
        <v>759660</v>
      </c>
      <c r="L237" s="10">
        <v>690358</v>
      </c>
      <c r="M237" s="10">
        <v>614884</v>
      </c>
      <c r="N237" s="10">
        <v>705122</v>
      </c>
      <c r="O237" s="10">
        <v>677178</v>
      </c>
      <c r="P237" s="27">
        <v>728840</v>
      </c>
      <c r="Q237" s="6">
        <f t="shared" si="9"/>
        <v>8251368</v>
      </c>
      <c r="R237" s="15">
        <f t="shared" si="12"/>
        <v>9.8832725702724389E-4</v>
      </c>
    </row>
    <row r="238" spans="1:18">
      <c r="A238" s="1" t="s">
        <v>16</v>
      </c>
      <c r="B238" s="1" t="s">
        <v>58</v>
      </c>
      <c r="C238" s="1" t="s">
        <v>59</v>
      </c>
      <c r="D238" s="6">
        <f>'2012 pax'!Q238</f>
        <v>17252677</v>
      </c>
      <c r="E238" s="10">
        <v>1295903</v>
      </c>
      <c r="F238" s="10">
        <v>1203414</v>
      </c>
      <c r="G238" s="10">
        <v>1451631</v>
      </c>
      <c r="H238" s="10">
        <v>1455232</v>
      </c>
      <c r="I238" s="10">
        <v>1514909</v>
      </c>
      <c r="J238" s="10">
        <v>1610690</v>
      </c>
      <c r="K238" s="10">
        <v>1711136</v>
      </c>
      <c r="L238" s="10">
        <v>1677776</v>
      </c>
      <c r="M238" s="10">
        <v>1417836</v>
      </c>
      <c r="N238" s="10">
        <v>1471179</v>
      </c>
      <c r="O238" s="28">
        <v>1401461</v>
      </c>
      <c r="P238" s="28">
        <v>1499249</v>
      </c>
      <c r="Q238" s="6">
        <f t="shared" si="9"/>
        <v>17710416</v>
      </c>
      <c r="R238" s="15">
        <f t="shared" si="12"/>
        <v>2.6531476825306655E-2</v>
      </c>
    </row>
    <row r="239" spans="1:18">
      <c r="A239" s="1" t="s">
        <v>16</v>
      </c>
      <c r="B239" s="1" t="s">
        <v>30</v>
      </c>
      <c r="C239" s="1" t="s">
        <v>31</v>
      </c>
      <c r="D239" s="6">
        <f>'2012 pax'!Q239</f>
        <v>44742777</v>
      </c>
      <c r="E239" s="10">
        <v>3209356</v>
      </c>
      <c r="F239" s="10">
        <v>2968951</v>
      </c>
      <c r="G239" s="10">
        <v>3599968</v>
      </c>
      <c r="H239" s="10">
        <v>3608584</v>
      </c>
      <c r="I239" s="10">
        <v>3934299</v>
      </c>
      <c r="J239" s="10">
        <v>4155153</v>
      </c>
      <c r="K239" s="10">
        <v>4181115</v>
      </c>
      <c r="L239" s="10">
        <v>4351101</v>
      </c>
      <c r="M239" s="10">
        <v>3785479</v>
      </c>
      <c r="N239" s="10">
        <v>3926441</v>
      </c>
      <c r="O239" s="10">
        <v>3470482</v>
      </c>
      <c r="P239" s="28">
        <v>3819276</v>
      </c>
      <c r="Q239" s="6">
        <f t="shared" si="9"/>
        <v>45010205</v>
      </c>
      <c r="R239" s="15">
        <f t="shared" si="12"/>
        <v>5.9770094288067455E-3</v>
      </c>
    </row>
    <row r="240" spans="1:18">
      <c r="A240" s="1" t="s">
        <v>16</v>
      </c>
      <c r="B240" s="1" t="s">
        <v>493</v>
      </c>
      <c r="C240" s="1" t="s">
        <v>494</v>
      </c>
      <c r="D240" s="6">
        <f>'2012 pax'!Q240</f>
        <v>8296174</v>
      </c>
      <c r="E240" s="10">
        <v>612283</v>
      </c>
      <c r="F240" s="10">
        <v>584573</v>
      </c>
      <c r="G240" s="10">
        <v>699519</v>
      </c>
      <c r="H240" s="10">
        <v>722365</v>
      </c>
      <c r="I240" s="10">
        <v>770172</v>
      </c>
      <c r="J240" s="10">
        <v>792744</v>
      </c>
      <c r="K240" s="10">
        <v>813628</v>
      </c>
      <c r="L240" s="10">
        <v>831020</v>
      </c>
      <c r="M240" s="10">
        <v>717057</v>
      </c>
      <c r="N240" s="10">
        <v>747867</v>
      </c>
      <c r="O240" s="10">
        <v>719282</v>
      </c>
      <c r="P240" s="28">
        <v>772809</v>
      </c>
      <c r="Q240" s="6">
        <f t="shared" si="9"/>
        <v>8783319</v>
      </c>
      <c r="R240" s="15">
        <f t="shared" si="12"/>
        <v>5.8719236120168272E-2</v>
      </c>
    </row>
    <row r="241" spans="1:20" ht="15.75">
      <c r="A241" s="1" t="s">
        <v>16</v>
      </c>
      <c r="B241" s="1" t="s">
        <v>504</v>
      </c>
      <c r="C241" s="1" t="s">
        <v>492</v>
      </c>
      <c r="D241" s="6">
        <f>'2012 pax'!Q241</f>
        <v>8849783</v>
      </c>
      <c r="E241" s="10">
        <v>698237</v>
      </c>
      <c r="F241" s="10">
        <v>653118</v>
      </c>
      <c r="G241" s="10">
        <v>771554</v>
      </c>
      <c r="H241" s="10">
        <v>764308</v>
      </c>
      <c r="I241" s="10">
        <v>799755</v>
      </c>
      <c r="J241" s="10">
        <v>811447</v>
      </c>
      <c r="K241" s="10">
        <v>834328</v>
      </c>
      <c r="L241" s="10">
        <v>850988</v>
      </c>
      <c r="M241" s="10">
        <v>728971</v>
      </c>
      <c r="N241" s="10">
        <v>791710</v>
      </c>
      <c r="O241" s="10">
        <v>739031</v>
      </c>
      <c r="P241" s="28">
        <v>789342</v>
      </c>
      <c r="Q241" s="6">
        <f t="shared" si="9"/>
        <v>9232789</v>
      </c>
      <c r="R241" s="15">
        <f t="shared" si="12"/>
        <v>4.3278575305179867E-2</v>
      </c>
    </row>
    <row r="242" spans="1:20">
      <c r="A242" s="1" t="s">
        <v>16</v>
      </c>
      <c r="B242" s="1" t="s">
        <v>541</v>
      </c>
      <c r="C242" s="1" t="s">
        <v>542</v>
      </c>
      <c r="D242" s="6">
        <v>1272915</v>
      </c>
      <c r="E242" s="10">
        <v>101436</v>
      </c>
      <c r="F242" s="10">
        <v>108378</v>
      </c>
      <c r="G242" s="10">
        <v>139677</v>
      </c>
      <c r="H242" s="10">
        <v>117579</v>
      </c>
      <c r="I242" s="10">
        <v>96438</v>
      </c>
      <c r="J242" s="10">
        <v>87963</v>
      </c>
      <c r="K242" s="10">
        <v>87238</v>
      </c>
      <c r="L242" s="10">
        <v>88478</v>
      </c>
      <c r="M242" s="10">
        <v>70066</v>
      </c>
      <c r="N242" s="10">
        <v>91728</v>
      </c>
      <c r="O242" s="10">
        <v>91246</v>
      </c>
      <c r="P242" s="28">
        <v>107663</v>
      </c>
      <c r="Q242" s="6">
        <f t="shared" si="9"/>
        <v>1187890</v>
      </c>
      <c r="R242" s="15">
        <f t="shared" si="12"/>
        <v>-6.6795504805898243E-2</v>
      </c>
    </row>
    <row r="243" spans="1:20">
      <c r="A243" s="1" t="s">
        <v>16</v>
      </c>
      <c r="B243" s="1" t="s">
        <v>435</v>
      </c>
      <c r="C243" s="1" t="s">
        <v>436</v>
      </c>
      <c r="D243" s="6">
        <f>'2012 pax'!Q242</f>
        <v>1607219</v>
      </c>
      <c r="E243" s="10">
        <f>50821+
52721</f>
        <v>103542</v>
      </c>
      <c r="F243" s="10">
        <f>53302+54421</f>
        <v>107723</v>
      </c>
      <c r="G243" s="10">
        <f>71867+72335</f>
        <v>144202</v>
      </c>
      <c r="H243" s="10">
        <f>76589+75219</f>
        <v>151808</v>
      </c>
      <c r="I243" s="10">
        <f>78557+78578</f>
        <v>157135</v>
      </c>
      <c r="J243" s="10">
        <f>74643+72960</f>
        <v>147603</v>
      </c>
      <c r="K243" s="26">
        <v>141409</v>
      </c>
      <c r="L243" s="10">
        <f>70765+69837</f>
        <v>140602</v>
      </c>
      <c r="M243" s="10">
        <v>137224</v>
      </c>
      <c r="N243" s="10">
        <v>153355</v>
      </c>
      <c r="O243" s="10">
        <v>136200</v>
      </c>
      <c r="P243" s="10">
        <v>121285</v>
      </c>
      <c r="Q243" s="6">
        <f t="shared" si="9"/>
        <v>1642088</v>
      </c>
      <c r="R243" s="15">
        <f t="shared" si="12"/>
        <v>2.1695238794464222E-2</v>
      </c>
    </row>
    <row r="244" spans="1:20">
      <c r="A244" s="1" t="s">
        <v>16</v>
      </c>
      <c r="B244" s="1" t="s">
        <v>44</v>
      </c>
      <c r="C244" s="1" t="s">
        <v>45</v>
      </c>
      <c r="D244" s="6">
        <f>'2012 pax'!Q243</f>
        <v>33219723</v>
      </c>
      <c r="E244" s="10">
        <v>2416745</v>
      </c>
      <c r="F244" s="10">
        <v>2223146</v>
      </c>
      <c r="G244" s="10">
        <v>2761601</v>
      </c>
      <c r="H244" s="10">
        <v>2686742</v>
      </c>
      <c r="I244" s="10">
        <v>2964245</v>
      </c>
      <c r="J244" s="10">
        <v>3148528</v>
      </c>
      <c r="K244" s="10">
        <v>3628340</v>
      </c>
      <c r="L244" s="10">
        <v>3581307</v>
      </c>
      <c r="M244" s="10">
        <v>2956180</v>
      </c>
      <c r="N244" s="10">
        <v>2761998</v>
      </c>
      <c r="O244" s="10">
        <v>2550004</v>
      </c>
      <c r="P244" s="10">
        <v>3097830</v>
      </c>
      <c r="Q244" s="6">
        <f t="shared" si="9"/>
        <v>34776666</v>
      </c>
      <c r="R244" s="15">
        <f t="shared" si="12"/>
        <v>4.6868030777980962E-2</v>
      </c>
    </row>
    <row r="245" spans="1:20">
      <c r="A245" s="1" t="s">
        <v>16</v>
      </c>
      <c r="B245" s="1" t="s">
        <v>502</v>
      </c>
      <c r="C245" s="1" t="s">
        <v>503</v>
      </c>
      <c r="D245" s="6">
        <f>'2012 pax'!Q244</f>
        <v>3000172</v>
      </c>
      <c r="E245" s="10">
        <v>210770</v>
      </c>
      <c r="F245" s="10">
        <v>199569</v>
      </c>
      <c r="G245" s="10">
        <v>244899</v>
      </c>
      <c r="H245" s="10">
        <v>227005</v>
      </c>
      <c r="I245" s="10">
        <v>242208</v>
      </c>
      <c r="J245" s="10">
        <v>262638</v>
      </c>
      <c r="K245" s="10">
        <v>287204</v>
      </c>
      <c r="L245" s="10">
        <v>286417</v>
      </c>
      <c r="M245" s="10">
        <v>236363</v>
      </c>
      <c r="N245" s="10">
        <v>241776</v>
      </c>
      <c r="O245" s="10">
        <v>228168</v>
      </c>
      <c r="P245" s="28">
        <v>259594</v>
      </c>
      <c r="Q245" s="6">
        <f t="shared" si="9"/>
        <v>2926611</v>
      </c>
      <c r="R245" s="15">
        <f t="shared" si="12"/>
        <v>-2.4518927581485328E-2</v>
      </c>
    </row>
    <row r="246" spans="1:20">
      <c r="A246" s="1" t="s">
        <v>16</v>
      </c>
      <c r="B246" s="1" t="s">
        <v>443</v>
      </c>
      <c r="C246" s="1" t="s">
        <v>444</v>
      </c>
      <c r="D246" s="6">
        <f>'2012 pax'!Q245</f>
        <v>771000</v>
      </c>
      <c r="E246" s="10">
        <v>53513</v>
      </c>
      <c r="F246" s="10">
        <v>49159</v>
      </c>
      <c r="G246" s="10">
        <v>65185</v>
      </c>
      <c r="H246" s="10">
        <v>59499</v>
      </c>
      <c r="I246" s="10">
        <v>65611</v>
      </c>
      <c r="J246" s="10">
        <v>72179</v>
      </c>
      <c r="K246" s="10">
        <v>74753</v>
      </c>
      <c r="L246" s="10">
        <v>66191</v>
      </c>
      <c r="M246" s="10">
        <v>60408</v>
      </c>
      <c r="N246" s="10">
        <v>66827</v>
      </c>
      <c r="O246" s="10">
        <v>61527</v>
      </c>
      <c r="P246" s="10">
        <v>60921</v>
      </c>
      <c r="Q246" s="6">
        <f t="shared" si="9"/>
        <v>755773</v>
      </c>
      <c r="R246" s="15">
        <f t="shared" si="12"/>
        <v>-1.9749675745784678E-2</v>
      </c>
      <c r="S246" s="13"/>
    </row>
    <row r="247" spans="1:20">
      <c r="A247" s="1" t="s">
        <v>16</v>
      </c>
      <c r="B247" s="1" t="s">
        <v>394</v>
      </c>
      <c r="C247" s="1" t="s">
        <v>395</v>
      </c>
      <c r="D247" s="6">
        <f>'2012 pax'!Q246</f>
        <v>12688996</v>
      </c>
      <c r="E247" s="10">
        <v>901112</v>
      </c>
      <c r="F247" s="10">
        <v>841227</v>
      </c>
      <c r="G247" s="10">
        <v>1114985</v>
      </c>
      <c r="H247" s="10">
        <v>1048488</v>
      </c>
      <c r="I247" s="10">
        <v>1159582</v>
      </c>
      <c r="J247" s="10">
        <v>1184461</v>
      </c>
      <c r="K247" s="10">
        <v>1144721</v>
      </c>
      <c r="L247" s="10">
        <v>1090031</v>
      </c>
      <c r="M247" s="10">
        <v>1002994</v>
      </c>
      <c r="N247" s="10">
        <v>1102215</v>
      </c>
      <c r="O247" s="10">
        <v>969737</v>
      </c>
      <c r="P247" s="28">
        <v>1009842</v>
      </c>
      <c r="Q247" s="6">
        <f>SUM(E247:P247)</f>
        <v>12569395</v>
      </c>
      <c r="R247" s="15">
        <f t="shared" si="12"/>
        <v>-9.4255684216465463E-3</v>
      </c>
      <c r="S247" s="13"/>
    </row>
    <row r="248" spans="1:20" ht="15.75">
      <c r="A248" s="1" t="s">
        <v>16</v>
      </c>
      <c r="B248" s="7" t="s">
        <v>391</v>
      </c>
      <c r="C248" s="7" t="s">
        <v>337</v>
      </c>
      <c r="D248" s="6">
        <f>'2012 pax'!Q247</f>
        <v>368098</v>
      </c>
      <c r="E248" s="10">
        <f>24331+211</f>
        <v>24542</v>
      </c>
      <c r="F248" s="10">
        <f>22549+152</f>
        <v>22701</v>
      </c>
      <c r="G248" s="10">
        <f>29046+242</f>
        <v>29288</v>
      </c>
      <c r="H248" s="10">
        <f>25696+236</f>
        <v>25932</v>
      </c>
      <c r="I248" s="10">
        <f>25677+318</f>
        <v>25995</v>
      </c>
      <c r="J248" s="10">
        <f>25023+277</f>
        <v>25300</v>
      </c>
      <c r="K248" s="10">
        <f>31538+411</f>
        <v>31949</v>
      </c>
      <c r="L248" s="10">
        <f>32264+489</f>
        <v>32753</v>
      </c>
      <c r="M248" s="10">
        <v>25510</v>
      </c>
      <c r="N248" s="10">
        <v>26663</v>
      </c>
      <c r="O248" s="10">
        <v>26274</v>
      </c>
      <c r="P248" s="28">
        <v>27347</v>
      </c>
      <c r="Q248" s="6">
        <f t="shared" si="9"/>
        <v>324254</v>
      </c>
      <c r="R248" s="15">
        <f t="shared" si="12"/>
        <v>-0.1191095849474868</v>
      </c>
      <c r="S248" s="13"/>
    </row>
    <row r="249" spans="1:20">
      <c r="A249" s="1" t="s">
        <v>16</v>
      </c>
      <c r="B249" s="1" t="s">
        <v>60</v>
      </c>
      <c r="C249" s="1" t="s">
        <v>61</v>
      </c>
      <c r="D249" s="6">
        <f>'2012 pax'!Q248</f>
        <v>16820859</v>
      </c>
      <c r="E249" s="10">
        <v>1336499</v>
      </c>
      <c r="F249" s="10">
        <v>1353565</v>
      </c>
      <c r="G249" s="10">
        <v>1796113</v>
      </c>
      <c r="H249" s="10">
        <v>1527269</v>
      </c>
      <c r="I249" s="10">
        <v>1451170</v>
      </c>
      <c r="J249" s="10">
        <v>1413811</v>
      </c>
      <c r="K249" s="10">
        <v>1433644</v>
      </c>
      <c r="L249" s="10">
        <v>1338118</v>
      </c>
      <c r="M249" s="10">
        <v>1104004</v>
      </c>
      <c r="N249" s="10">
        <v>1318842</v>
      </c>
      <c r="O249" s="10">
        <v>1324972</v>
      </c>
      <c r="P249" s="10">
        <v>1522086</v>
      </c>
      <c r="Q249" s="6">
        <f t="shared" si="9"/>
        <v>16920093</v>
      </c>
      <c r="R249" s="15">
        <f t="shared" si="12"/>
        <v>5.8994609014915156E-3</v>
      </c>
    </row>
    <row r="250" spans="1:20">
      <c r="A250" s="1" t="s">
        <v>16</v>
      </c>
      <c r="B250" s="1" t="s">
        <v>498</v>
      </c>
      <c r="C250" s="1" t="s">
        <v>499</v>
      </c>
      <c r="D250" s="6">
        <f>'2012 pax'!Q249</f>
        <v>3605682</v>
      </c>
      <c r="E250" s="10">
        <v>266296</v>
      </c>
      <c r="F250" s="10">
        <v>276856</v>
      </c>
      <c r="G250" s="10">
        <v>318114</v>
      </c>
      <c r="H250" s="10">
        <v>286185</v>
      </c>
      <c r="I250" s="10">
        <v>290799</v>
      </c>
      <c r="J250" s="10">
        <v>256350</v>
      </c>
      <c r="K250" s="10">
        <v>250179</v>
      </c>
      <c r="L250" s="10">
        <v>241571</v>
      </c>
      <c r="M250" s="10">
        <v>230405</v>
      </c>
      <c r="N250" s="28">
        <v>277765</v>
      </c>
      <c r="O250" s="28">
        <v>266251</v>
      </c>
      <c r="P250" s="28">
        <v>276548</v>
      </c>
      <c r="Q250" s="6">
        <f t="shared" si="9"/>
        <v>3237319</v>
      </c>
      <c r="R250" s="15">
        <f t="shared" si="12"/>
        <v>-0.10216181016517822</v>
      </c>
    </row>
    <row r="251" spans="1:20">
      <c r="A251" s="1" t="s">
        <v>16</v>
      </c>
      <c r="B251" s="1" t="s">
        <v>539</v>
      </c>
      <c r="C251" s="1" t="s">
        <v>540</v>
      </c>
      <c r="D251" s="6">
        <v>2748202</v>
      </c>
      <c r="E251" s="10">
        <v>189526</v>
      </c>
      <c r="F251" s="10">
        <v>181164</v>
      </c>
      <c r="G251" s="10">
        <v>219013</v>
      </c>
      <c r="H251" s="10">
        <v>219865</v>
      </c>
      <c r="I251" s="10">
        <v>256706</v>
      </c>
      <c r="J251" s="10">
        <v>263038</v>
      </c>
      <c r="K251" s="10">
        <v>250488</v>
      </c>
      <c r="L251" s="10">
        <v>232505</v>
      </c>
      <c r="M251" s="10">
        <v>224924</v>
      </c>
      <c r="N251" s="28">
        <v>250030</v>
      </c>
      <c r="O251" s="28">
        <v>221815</v>
      </c>
      <c r="P251" s="28">
        <v>223897</v>
      </c>
      <c r="Q251" s="6">
        <f t="shared" si="9"/>
        <v>2732971</v>
      </c>
      <c r="R251" s="15">
        <f t="shared" si="12"/>
        <v>-5.5421690254210398E-3</v>
      </c>
    </row>
    <row r="252" spans="1:20" ht="15.75">
      <c r="A252" s="1" t="s">
        <v>16</v>
      </c>
      <c r="B252" s="1" t="s">
        <v>392</v>
      </c>
      <c r="C252" s="1" t="s">
        <v>50</v>
      </c>
      <c r="D252" s="6">
        <f>'2012 pax'!Q251</f>
        <v>22561521</v>
      </c>
      <c r="E252" s="10">
        <v>1609518</v>
      </c>
      <c r="F252" s="10">
        <v>1403524</v>
      </c>
      <c r="G252" s="10">
        <v>1800957</v>
      </c>
      <c r="H252" s="10">
        <v>1807656</v>
      </c>
      <c r="I252" s="10">
        <v>1967553</v>
      </c>
      <c r="J252" s="10">
        <v>2048912</v>
      </c>
      <c r="K252" s="10">
        <v>2081654</v>
      </c>
      <c r="L252" s="10">
        <v>2082118</v>
      </c>
      <c r="M252" s="10">
        <v>1776277</v>
      </c>
      <c r="N252" s="10">
        <v>1835279</v>
      </c>
      <c r="O252" s="10">
        <v>1651000</v>
      </c>
      <c r="P252" s="10">
        <v>1757336</v>
      </c>
      <c r="Q252" s="6">
        <f t="shared" si="9"/>
        <v>21821784</v>
      </c>
      <c r="R252" s="15">
        <f t="shared" si="12"/>
        <v>-3.2787550094694362E-2</v>
      </c>
      <c r="T252" s="29"/>
    </row>
    <row r="253" spans="1:20" ht="15.75">
      <c r="A253" s="1" t="s">
        <v>16</v>
      </c>
      <c r="B253" s="1" t="s">
        <v>393</v>
      </c>
      <c r="C253" s="1" t="s">
        <v>56</v>
      </c>
      <c r="D253" s="6">
        <f>'2012 pax'!Q252</f>
        <v>19010153</v>
      </c>
      <c r="E253" s="10">
        <v>1485537</v>
      </c>
      <c r="F253" s="10">
        <v>1433970</v>
      </c>
      <c r="G253" s="10">
        <v>1785039</v>
      </c>
      <c r="H253" s="10">
        <v>1773728</v>
      </c>
      <c r="I253" s="10">
        <v>1880233</v>
      </c>
      <c r="J253" s="10">
        <v>1813333</v>
      </c>
      <c r="K253" s="10">
        <v>1837107</v>
      </c>
      <c r="L253" s="10">
        <v>1833706</v>
      </c>
      <c r="M253" s="10">
        <v>1581805</v>
      </c>
      <c r="N253" s="10">
        <v>1739943</v>
      </c>
      <c r="O253" s="10">
        <v>1599205</v>
      </c>
      <c r="P253" s="10">
        <v>1555528</v>
      </c>
      <c r="Q253" s="6">
        <f t="shared" si="9"/>
        <v>20319134</v>
      </c>
      <c r="R253" s="15">
        <f t="shared" si="12"/>
        <v>6.8856941866801469E-2</v>
      </c>
    </row>
    <row r="254" spans="1:20">
      <c r="A254" s="1" t="s">
        <v>16</v>
      </c>
      <c r="B254" s="1" t="s">
        <v>526</v>
      </c>
      <c r="C254" s="1" t="s">
        <v>527</v>
      </c>
      <c r="D254" s="6">
        <f>'2012 pax'!Q253</f>
        <v>1509206</v>
      </c>
      <c r="E254" s="10">
        <v>102266</v>
      </c>
      <c r="F254" s="10">
        <v>87662</v>
      </c>
      <c r="G254" s="10">
        <v>113747</v>
      </c>
      <c r="H254" s="10">
        <v>121932</v>
      </c>
      <c r="I254" s="10">
        <v>133127</v>
      </c>
      <c r="J254" s="10">
        <v>145963</v>
      </c>
      <c r="K254" s="10">
        <v>149114</v>
      </c>
      <c r="L254" s="10">
        <v>137879</v>
      </c>
      <c r="M254" s="10">
        <v>126087</v>
      </c>
      <c r="N254" s="10">
        <v>136670</v>
      </c>
      <c r="O254" s="10">
        <v>124040</v>
      </c>
      <c r="P254" s="28">
        <v>134020</v>
      </c>
      <c r="Q254" s="6">
        <f t="shared" si="9"/>
        <v>1512507</v>
      </c>
      <c r="R254" s="15">
        <f>Q254/D254-1</f>
        <v>2.187242828348257E-3</v>
      </c>
    </row>
  </sheetData>
  <phoneticPr fontId="16" type="noConversion"/>
  <pageMargins left="0.7" right="0.7" top="0.75" bottom="0.75" header="0.3" footer="0.3"/>
  <pageSetup paperSize="9" orientation="portrait" r:id="rId1"/>
  <headerFooter alignWithMargins="0"/>
  <ignoredErrors>
    <ignoredError sqref="Q242 Q25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53"/>
  <sheetViews>
    <sheetView zoomScaleNormal="100" workbookViewId="0">
      <pane xSplit="4" ySplit="1" topLeftCell="E250" activePane="bottomRight" state="frozen"/>
      <selection pane="topRight" activeCell="E1" sqref="E1"/>
      <selection pane="bottomLeft" activeCell="A5" sqref="A5"/>
      <selection pane="bottomRight" activeCell="A256" sqref="A256:IV277"/>
    </sheetView>
  </sheetViews>
  <sheetFormatPr defaultRowHeight="15"/>
  <cols>
    <col min="1" max="1" width="22.42578125" customWidth="1"/>
    <col min="2" max="2" width="41.7109375" customWidth="1"/>
    <col min="3" max="3" width="6.5703125" customWidth="1"/>
    <col min="4" max="17" width="11.5703125" customWidth="1"/>
    <col min="18" max="18" width="11.5703125" style="15" customWidth="1"/>
  </cols>
  <sheetData>
    <row r="1" spans="1:18">
      <c r="A1" s="4" t="s">
        <v>0</v>
      </c>
      <c r="B1" s="4" t="s">
        <v>1</v>
      </c>
      <c r="C1" s="4" t="s">
        <v>2</v>
      </c>
      <c r="D1" s="8" t="s">
        <v>338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8" t="s">
        <v>521</v>
      </c>
      <c r="R1" s="16" t="s">
        <v>339</v>
      </c>
    </row>
    <row r="2" spans="1:18">
      <c r="A2" s="1" t="s">
        <v>137</v>
      </c>
      <c r="B2" s="1" t="s">
        <v>138</v>
      </c>
      <c r="C2" s="1" t="s">
        <v>139</v>
      </c>
      <c r="D2" s="6">
        <f>'2011 pax'!Q2</f>
        <v>1093143</v>
      </c>
      <c r="E2" s="10">
        <v>126745</v>
      </c>
      <c r="F2" s="10">
        <v>94153</v>
      </c>
      <c r="G2" s="10">
        <v>101207</v>
      </c>
      <c r="H2" s="10">
        <v>105701</v>
      </c>
      <c r="I2" s="10">
        <v>112766</v>
      </c>
      <c r="J2" s="10">
        <v>115698</v>
      </c>
      <c r="K2" s="10">
        <v>137024</v>
      </c>
      <c r="L2" s="10">
        <v>119176</v>
      </c>
      <c r="M2" s="10">
        <v>115951</v>
      </c>
      <c r="N2" s="10">
        <v>114134</v>
      </c>
      <c r="O2" s="10">
        <v>114825</v>
      </c>
      <c r="P2" s="10">
        <v>116021</v>
      </c>
      <c r="Q2" s="6">
        <f>SUM(E2:P2)</f>
        <v>1373401</v>
      </c>
      <c r="R2" s="15">
        <f>Q2/D2-1</f>
        <v>0.25637816827258653</v>
      </c>
    </row>
    <row r="3" spans="1:18">
      <c r="A3" s="1" t="s">
        <v>137</v>
      </c>
      <c r="B3" s="1" t="s">
        <v>172</v>
      </c>
      <c r="C3" s="1" t="s">
        <v>173</v>
      </c>
      <c r="D3" s="6">
        <f>'2011 pax'!Q3</f>
        <v>2994551</v>
      </c>
      <c r="E3" s="10">
        <v>279324</v>
      </c>
      <c r="F3" s="10">
        <v>235358</v>
      </c>
      <c r="G3" s="10">
        <v>245887</v>
      </c>
      <c r="H3" s="10">
        <v>262702</v>
      </c>
      <c r="I3" s="10">
        <v>259873</v>
      </c>
      <c r="J3" s="10">
        <v>277057</v>
      </c>
      <c r="K3" s="10">
        <v>348873</v>
      </c>
      <c r="L3" s="10">
        <v>299155</v>
      </c>
      <c r="M3" s="10">
        <v>287734</v>
      </c>
      <c r="N3" s="10">
        <v>287136</v>
      </c>
      <c r="O3" s="10">
        <v>265026</v>
      </c>
      <c r="P3" s="10">
        <v>285786</v>
      </c>
      <c r="Q3" s="6">
        <f t="shared" ref="Q3:Q67" si="0">SUM(E3:P3)</f>
        <v>3333911</v>
      </c>
      <c r="R3" s="15">
        <f t="shared" ref="R3:R67" si="1">Q3/D3-1</f>
        <v>0.11332583749617231</v>
      </c>
    </row>
    <row r="4" spans="1:18">
      <c r="A4" s="1" t="s">
        <v>137</v>
      </c>
      <c r="B4" s="1" t="s">
        <v>184</v>
      </c>
      <c r="C4" s="1" t="s">
        <v>185</v>
      </c>
      <c r="D4" s="6">
        <f>'2011 pax'!Q4</f>
        <v>341885</v>
      </c>
      <c r="E4" s="10">
        <v>34786</v>
      </c>
      <c r="F4" s="10">
        <v>26875</v>
      </c>
      <c r="G4" s="10">
        <v>28826</v>
      </c>
      <c r="H4" s="10">
        <v>26089</v>
      </c>
      <c r="I4" s="10">
        <v>27050</v>
      </c>
      <c r="J4" s="10">
        <v>25760</v>
      </c>
      <c r="K4" s="10">
        <v>29553</v>
      </c>
      <c r="L4" s="10">
        <v>27055</v>
      </c>
      <c r="M4" s="10">
        <v>27909</v>
      </c>
      <c r="N4" s="10">
        <v>26197</v>
      </c>
      <c r="O4" s="10">
        <v>27299</v>
      </c>
      <c r="P4" s="10">
        <v>29131</v>
      </c>
      <c r="Q4" s="6">
        <f t="shared" si="0"/>
        <v>336530</v>
      </c>
      <c r="R4" s="15">
        <f t="shared" si="1"/>
        <v>-1.566316158942338E-2</v>
      </c>
    </row>
    <row r="5" spans="1:18">
      <c r="A5" s="1" t="s">
        <v>137</v>
      </c>
      <c r="B5" s="1" t="s">
        <v>146</v>
      </c>
      <c r="C5" s="1" t="s">
        <v>147</v>
      </c>
      <c r="D5" s="6">
        <f>'2011 pax'!Q5</f>
        <v>15398737</v>
      </c>
      <c r="E5" s="10">
        <v>1361191</v>
      </c>
      <c r="F5" s="10">
        <v>1126911</v>
      </c>
      <c r="G5" s="10">
        <v>1249302</v>
      </c>
      <c r="H5" s="10">
        <v>1351127</v>
      </c>
      <c r="I5" s="10">
        <v>1319654</v>
      </c>
      <c r="J5" s="10">
        <v>1366591</v>
      </c>
      <c r="K5" s="10">
        <v>1616662</v>
      </c>
      <c r="L5" s="10">
        <v>1420268</v>
      </c>
      <c r="M5" s="10">
        <f>12121304-10811706</f>
        <v>1309598</v>
      </c>
      <c r="N5" s="10">
        <v>1299573</v>
      </c>
      <c r="O5" s="10">
        <v>1112939</v>
      </c>
      <c r="P5" s="10">
        <v>1131229</v>
      </c>
      <c r="Q5" s="6">
        <f t="shared" si="0"/>
        <v>15665045</v>
      </c>
      <c r="R5" s="15">
        <f t="shared" si="1"/>
        <v>1.7294145617267276E-2</v>
      </c>
    </row>
    <row r="6" spans="1:18">
      <c r="A6" s="1" t="s">
        <v>137</v>
      </c>
      <c r="B6" s="1" t="s">
        <v>162</v>
      </c>
      <c r="C6" s="1" t="s">
        <v>163</v>
      </c>
      <c r="D6" s="6">
        <f>'2011 pax'!Q6</f>
        <v>104744</v>
      </c>
      <c r="E6" s="10">
        <v>11364</v>
      </c>
      <c r="F6" s="10">
        <v>10267</v>
      </c>
      <c r="G6" s="10">
        <v>10735</v>
      </c>
      <c r="H6" s="10">
        <v>10901</v>
      </c>
      <c r="I6" s="10">
        <v>9250</v>
      </c>
      <c r="J6" s="10">
        <v>12101</v>
      </c>
      <c r="K6" s="10">
        <v>10573</v>
      </c>
      <c r="L6" s="10">
        <v>10646</v>
      </c>
      <c r="M6" s="10">
        <v>12034</v>
      </c>
      <c r="N6" s="10">
        <v>10614</v>
      </c>
      <c r="O6" s="10">
        <v>7865</v>
      </c>
      <c r="P6" s="10">
        <v>11259</v>
      </c>
      <c r="Q6" s="6">
        <f t="shared" si="0"/>
        <v>127609</v>
      </c>
      <c r="R6" s="15">
        <f t="shared" si="1"/>
        <v>0.21829412663255177</v>
      </c>
    </row>
    <row r="7" spans="1:18">
      <c r="A7" s="1" t="s">
        <v>137</v>
      </c>
      <c r="B7" s="3" t="s">
        <v>214</v>
      </c>
      <c r="C7" s="3" t="s">
        <v>215</v>
      </c>
      <c r="D7" s="6">
        <f>'2011 pax'!Q7</f>
        <v>7542239</v>
      </c>
      <c r="E7" s="10">
        <v>776022</v>
      </c>
      <c r="F7" s="10">
        <v>656768</v>
      </c>
      <c r="G7" s="10">
        <v>692010</v>
      </c>
      <c r="H7" s="10">
        <v>692198</v>
      </c>
      <c r="I7" s="10">
        <v>741963</v>
      </c>
      <c r="J7" s="10">
        <v>723814</v>
      </c>
      <c r="K7" s="10">
        <v>829742</v>
      </c>
      <c r="L7" s="10">
        <v>755505</v>
      </c>
      <c r="M7" s="10">
        <f>6606273-5868022</f>
        <v>738251</v>
      </c>
      <c r="N7" s="10">
        <v>717290</v>
      </c>
      <c r="O7" s="10">
        <v>746141</v>
      </c>
      <c r="P7" s="10">
        <v>754370</v>
      </c>
      <c r="Q7" s="6">
        <f t="shared" si="0"/>
        <v>8824074</v>
      </c>
      <c r="R7" s="15">
        <f t="shared" si="1"/>
        <v>0.16995417408544067</v>
      </c>
    </row>
    <row r="8" spans="1:18">
      <c r="A8" s="1" t="s">
        <v>137</v>
      </c>
      <c r="B8" s="3" t="s">
        <v>216</v>
      </c>
      <c r="C8" s="3" t="s">
        <v>217</v>
      </c>
      <c r="D8" s="6">
        <f>'2011 pax'!Q8</f>
        <v>388112</v>
      </c>
      <c r="E8" s="10">
        <v>29058</v>
      </c>
      <c r="F8" s="10">
        <v>37326</v>
      </c>
      <c r="G8" s="10">
        <v>39773</v>
      </c>
      <c r="H8" s="10">
        <v>37118</v>
      </c>
      <c r="I8" s="10">
        <v>39297</v>
      </c>
      <c r="J8" s="10">
        <v>30655</v>
      </c>
      <c r="K8" s="10">
        <v>0</v>
      </c>
      <c r="L8" s="10">
        <v>42792</v>
      </c>
      <c r="M8" s="10">
        <v>34508</v>
      </c>
      <c r="N8" s="10">
        <v>37130</v>
      </c>
      <c r="O8" s="10">
        <v>32886</v>
      </c>
      <c r="P8" s="10">
        <v>31685</v>
      </c>
      <c r="Q8" s="6">
        <f t="shared" si="0"/>
        <v>392228</v>
      </c>
      <c r="R8" s="15">
        <f t="shared" si="1"/>
        <v>1.060518613183814E-2</v>
      </c>
    </row>
    <row r="9" spans="1:18">
      <c r="A9" s="1" t="s">
        <v>137</v>
      </c>
      <c r="B9" s="1" t="s">
        <v>148</v>
      </c>
      <c r="C9" s="1" t="s">
        <v>149</v>
      </c>
      <c r="D9" s="6">
        <f>'2011 pax'!Q9</f>
        <v>1514203</v>
      </c>
      <c r="E9" s="10">
        <v>138191</v>
      </c>
      <c r="F9" s="10">
        <v>114360</v>
      </c>
      <c r="G9" s="10">
        <v>118099</v>
      </c>
      <c r="H9" s="10">
        <v>115527</v>
      </c>
      <c r="I9" s="10">
        <v>122682</v>
      </c>
      <c r="J9" s="10">
        <v>130732</v>
      </c>
      <c r="K9" s="10">
        <v>191846</v>
      </c>
      <c r="L9" s="10">
        <v>142154</v>
      </c>
      <c r="M9" s="10">
        <v>138285</v>
      </c>
      <c r="N9" s="10">
        <v>142838</v>
      </c>
      <c r="O9" s="10">
        <v>142892</v>
      </c>
      <c r="P9" s="10">
        <v>150537</v>
      </c>
      <c r="Q9" s="6">
        <f t="shared" si="0"/>
        <v>1648143</v>
      </c>
      <c r="R9" s="15">
        <f t="shared" si="1"/>
        <v>8.8455775084318233E-2</v>
      </c>
    </row>
    <row r="10" spans="1:18">
      <c r="A10" s="1" t="s">
        <v>137</v>
      </c>
      <c r="B10" s="7" t="s">
        <v>204</v>
      </c>
      <c r="C10" s="7" t="s">
        <v>205</v>
      </c>
      <c r="D10" s="6">
        <f>'2011 pax'!Q10</f>
        <v>9359033</v>
      </c>
      <c r="E10" s="10">
        <v>916816</v>
      </c>
      <c r="F10" s="10">
        <v>782757</v>
      </c>
      <c r="G10" s="10">
        <v>849820</v>
      </c>
      <c r="H10" s="10">
        <v>880047</v>
      </c>
      <c r="I10" s="10">
        <v>853600</v>
      </c>
      <c r="J10" s="10">
        <v>830820</v>
      </c>
      <c r="K10" s="10">
        <v>1061764</v>
      </c>
      <c r="L10" s="10">
        <v>862290</v>
      </c>
      <c r="M10" s="10">
        <v>830517</v>
      </c>
      <c r="N10" s="10">
        <v>838225</v>
      </c>
      <c r="O10" s="10">
        <v>773837</v>
      </c>
      <c r="P10" s="10">
        <v>719855</v>
      </c>
      <c r="Q10" s="6">
        <f t="shared" si="0"/>
        <v>10200348</v>
      </c>
      <c r="R10" s="15">
        <f t="shared" si="1"/>
        <v>8.9893368257169204E-2</v>
      </c>
    </row>
    <row r="11" spans="1:18">
      <c r="A11" s="1" t="s">
        <v>137</v>
      </c>
      <c r="B11" s="3" t="s">
        <v>220</v>
      </c>
      <c r="C11" s="3" t="s">
        <v>221</v>
      </c>
      <c r="D11" s="6">
        <f>'2011 pax'!Q11</f>
        <v>16753567</v>
      </c>
      <c r="E11" s="10">
        <v>1316550</v>
      </c>
      <c r="F11" s="10">
        <v>1170144</v>
      </c>
      <c r="G11" s="10">
        <v>1387083</v>
      </c>
      <c r="H11" s="10">
        <v>1120610</v>
      </c>
      <c r="I11" s="10">
        <v>1421950</v>
      </c>
      <c r="J11" s="10">
        <v>1641961</v>
      </c>
      <c r="K11" s="10">
        <v>1555134</v>
      </c>
      <c r="L11" s="10">
        <v>1473747</v>
      </c>
      <c r="M11" s="10">
        <v>1408235</v>
      </c>
      <c r="N11" s="10">
        <v>1451952</v>
      </c>
      <c r="O11" s="10">
        <v>1419972</v>
      </c>
      <c r="P11" s="10">
        <v>1408447</v>
      </c>
      <c r="Q11" s="6">
        <f t="shared" si="0"/>
        <v>16775785</v>
      </c>
      <c r="R11" s="15">
        <f t="shared" si="1"/>
        <v>1.3261653473555235E-3</v>
      </c>
    </row>
    <row r="12" spans="1:18">
      <c r="A12" s="1" t="s">
        <v>137</v>
      </c>
      <c r="B12" s="1" t="s">
        <v>186</v>
      </c>
      <c r="C12" s="1" t="s">
        <v>187</v>
      </c>
      <c r="D12" s="6">
        <f>'2011 pax'!Q12</f>
        <v>123479</v>
      </c>
      <c r="E12" s="10">
        <v>6720</v>
      </c>
      <c r="F12" s="10">
        <v>5660</v>
      </c>
      <c r="G12" s="10">
        <v>5606</v>
      </c>
      <c r="H12" s="10">
        <v>6581</v>
      </c>
      <c r="I12" s="10">
        <v>5961</v>
      </c>
      <c r="J12" s="10">
        <v>5907</v>
      </c>
      <c r="K12" s="10">
        <v>6603</v>
      </c>
      <c r="L12" s="10">
        <v>7495</v>
      </c>
      <c r="M12" s="10">
        <v>6908</v>
      </c>
      <c r="N12" s="10">
        <v>6082</v>
      </c>
      <c r="O12" s="10">
        <v>5007</v>
      </c>
      <c r="P12" s="10">
        <v>5440</v>
      </c>
      <c r="Q12" s="6">
        <f t="shared" si="0"/>
        <v>73970</v>
      </c>
      <c r="R12" s="15">
        <f t="shared" si="1"/>
        <v>-0.4009507689566647</v>
      </c>
    </row>
    <row r="13" spans="1:18">
      <c r="A13" s="1" t="s">
        <v>137</v>
      </c>
      <c r="B13" s="1" t="s">
        <v>150</v>
      </c>
      <c r="C13" s="1" t="s">
        <v>151</v>
      </c>
      <c r="D13" s="6">
        <f>'2011 pax'!Q13</f>
        <v>2551120</v>
      </c>
      <c r="E13" s="10">
        <v>246309</v>
      </c>
      <c r="F13" s="10">
        <v>188986</v>
      </c>
      <c r="G13" s="10">
        <v>214968</v>
      </c>
      <c r="H13" s="10">
        <v>220487</v>
      </c>
      <c r="I13" s="10">
        <v>232813</v>
      </c>
      <c r="J13" s="10">
        <v>230580</v>
      </c>
      <c r="K13" s="10">
        <v>275147</v>
      </c>
      <c r="L13" s="10">
        <v>247344</v>
      </c>
      <c r="M13" s="10">
        <v>229152</v>
      </c>
      <c r="N13" s="10">
        <v>222152</v>
      </c>
      <c r="O13" s="10">
        <v>220862</v>
      </c>
      <c r="P13" s="10">
        <v>232788</v>
      </c>
      <c r="Q13" s="6">
        <f t="shared" si="0"/>
        <v>2761588</v>
      </c>
      <c r="R13" s="15">
        <f t="shared" si="1"/>
        <v>8.2500235190818172E-2</v>
      </c>
    </row>
    <row r="14" spans="1:18">
      <c r="A14" s="1" t="s">
        <v>137</v>
      </c>
      <c r="B14" s="3" t="s">
        <v>222</v>
      </c>
      <c r="C14" s="3" t="s">
        <v>223</v>
      </c>
      <c r="D14" s="6">
        <f>'2011 pax'!Q14</f>
        <v>6964581</v>
      </c>
      <c r="E14" s="10">
        <v>514526</v>
      </c>
      <c r="F14" s="10">
        <v>487007</v>
      </c>
      <c r="G14" s="10">
        <v>582068</v>
      </c>
      <c r="H14" s="10">
        <v>600886</v>
      </c>
      <c r="I14" s="10">
        <v>588797</v>
      </c>
      <c r="J14" s="10">
        <v>556828</v>
      </c>
      <c r="K14" s="10">
        <v>674398</v>
      </c>
      <c r="L14" s="10">
        <v>606357</v>
      </c>
      <c r="M14" s="10">
        <f>5180522-4610867</f>
        <v>569655</v>
      </c>
      <c r="N14" s="10">
        <v>500697</v>
      </c>
      <c r="O14" s="10">
        <v>550918</v>
      </c>
      <c r="P14" s="10">
        <v>521000</v>
      </c>
      <c r="Q14" s="6">
        <f t="shared" si="0"/>
        <v>6753137</v>
      </c>
      <c r="R14" s="15">
        <f t="shared" si="1"/>
        <v>-3.0359902483724444E-2</v>
      </c>
    </row>
    <row r="15" spans="1:18">
      <c r="A15" s="1" t="s">
        <v>137</v>
      </c>
      <c r="B15" s="3" t="s">
        <v>226</v>
      </c>
      <c r="C15" s="3" t="s">
        <v>227</v>
      </c>
      <c r="D15" s="6">
        <f>'2011 pax'!Q15</f>
        <v>3121936</v>
      </c>
      <c r="E15" s="10">
        <v>352040</v>
      </c>
      <c r="F15" s="10">
        <v>301276</v>
      </c>
      <c r="G15" s="10">
        <v>287522</v>
      </c>
      <c r="H15" s="10">
        <v>277364</v>
      </c>
      <c r="I15" s="10">
        <v>235870</v>
      </c>
      <c r="J15" s="10">
        <v>222575</v>
      </c>
      <c r="K15" s="10">
        <v>251802</v>
      </c>
      <c r="L15" s="10">
        <v>251398</v>
      </c>
      <c r="M15" s="10">
        <v>269127</v>
      </c>
      <c r="N15" s="10">
        <v>292457</v>
      </c>
      <c r="O15" s="10">
        <v>304945</v>
      </c>
      <c r="P15" s="10">
        <v>348877</v>
      </c>
      <c r="Q15" s="6">
        <f t="shared" si="0"/>
        <v>3395253</v>
      </c>
      <c r="R15" s="15">
        <f t="shared" si="1"/>
        <v>8.7547278355482039E-2</v>
      </c>
    </row>
    <row r="16" spans="1:18">
      <c r="A16" s="1" t="s">
        <v>137</v>
      </c>
      <c r="B16" s="1" t="s">
        <v>156</v>
      </c>
      <c r="C16" s="1" t="s">
        <v>157</v>
      </c>
      <c r="D16" s="6">
        <f>'2011 pax'!Q16</f>
        <v>5646996</v>
      </c>
      <c r="E16" s="10">
        <v>596130</v>
      </c>
      <c r="F16" s="10">
        <v>444093</v>
      </c>
      <c r="G16" s="10">
        <v>444740</v>
      </c>
      <c r="H16" s="10">
        <v>479391</v>
      </c>
      <c r="I16" s="10">
        <v>448755</v>
      </c>
      <c r="J16" s="10">
        <v>474910</v>
      </c>
      <c r="K16" s="10">
        <v>597973</v>
      </c>
      <c r="L16" s="10">
        <v>494417</v>
      </c>
      <c r="M16" s="10">
        <v>485898</v>
      </c>
      <c r="N16" s="10">
        <v>500697</v>
      </c>
      <c r="O16" s="10">
        <v>479500</v>
      </c>
      <c r="P16" s="10">
        <v>517719</v>
      </c>
      <c r="Q16" s="6">
        <f t="shared" si="0"/>
        <v>5964223</v>
      </c>
      <c r="R16" s="15">
        <f t="shared" si="1"/>
        <v>5.6176239543998197E-2</v>
      </c>
    </row>
    <row r="17" spans="1:18">
      <c r="A17" s="1" t="s">
        <v>137</v>
      </c>
      <c r="B17" s="3" t="s">
        <v>224</v>
      </c>
      <c r="C17" s="3" t="s">
        <v>225</v>
      </c>
      <c r="D17" s="6">
        <f>'2011 pax'!Q17</f>
        <v>1691392</v>
      </c>
      <c r="E17" s="10">
        <v>150281</v>
      </c>
      <c r="F17" s="10">
        <v>129866</v>
      </c>
      <c r="G17" s="10">
        <v>144483</v>
      </c>
      <c r="H17" s="10">
        <v>143686</v>
      </c>
      <c r="I17" s="10">
        <v>144587</v>
      </c>
      <c r="J17" s="10">
        <v>138402</v>
      </c>
      <c r="K17" s="10">
        <v>156446</v>
      </c>
      <c r="L17" s="10">
        <v>147821</v>
      </c>
      <c r="M17" s="10">
        <v>147609</v>
      </c>
      <c r="N17" s="10">
        <v>155460</v>
      </c>
      <c r="O17" s="10">
        <v>147293</v>
      </c>
      <c r="P17" s="10">
        <v>135592</v>
      </c>
      <c r="Q17" s="6">
        <f t="shared" si="0"/>
        <v>1741526</v>
      </c>
      <c r="R17" s="15">
        <f t="shared" si="1"/>
        <v>2.9640674663236055E-2</v>
      </c>
    </row>
    <row r="18" spans="1:18">
      <c r="A18" s="1" t="s">
        <v>137</v>
      </c>
      <c r="B18" s="7" t="s">
        <v>194</v>
      </c>
      <c r="C18" s="7" t="s">
        <v>195</v>
      </c>
      <c r="D18" s="6">
        <f>'2011 pax'!Q18</f>
        <v>14926615</v>
      </c>
      <c r="E18" s="10">
        <v>1629690</v>
      </c>
      <c r="F18" s="10">
        <v>1356330</v>
      </c>
      <c r="G18" s="10">
        <v>1330616</v>
      </c>
      <c r="H18" s="10">
        <v>1401275</v>
      </c>
      <c r="I18" s="10">
        <v>1327026</v>
      </c>
      <c r="J18" s="10">
        <v>1406836</v>
      </c>
      <c r="K18" s="10">
        <v>1692797</v>
      </c>
      <c r="L18" s="10">
        <v>1468450</v>
      </c>
      <c r="M18" s="10">
        <v>1451990</v>
      </c>
      <c r="N18" s="10">
        <v>1456656</v>
      </c>
      <c r="O18" s="10">
        <v>1442121</v>
      </c>
      <c r="P18" s="10">
        <v>1527957</v>
      </c>
      <c r="Q18" s="6">
        <f t="shared" si="0"/>
        <v>17491744</v>
      </c>
      <c r="R18" s="15">
        <f t="shared" si="1"/>
        <v>0.17184934427530951</v>
      </c>
    </row>
    <row r="19" spans="1:18">
      <c r="A19" s="1" t="s">
        <v>137</v>
      </c>
      <c r="B19" s="7" t="s">
        <v>152</v>
      </c>
      <c r="C19" s="7" t="s">
        <v>153</v>
      </c>
      <c r="D19" s="6">
        <f>'2011 pax'!Q19</f>
        <v>2783717</v>
      </c>
      <c r="E19" s="10">
        <v>241844</v>
      </c>
      <c r="F19" s="10">
        <v>209553</v>
      </c>
      <c r="G19" s="10">
        <v>227985</v>
      </c>
      <c r="H19" s="10">
        <v>262919</v>
      </c>
      <c r="I19" s="10">
        <v>258332</v>
      </c>
      <c r="J19" s="10">
        <v>262494</v>
      </c>
      <c r="K19" s="10">
        <v>296528</v>
      </c>
      <c r="L19" s="10">
        <v>266515</v>
      </c>
      <c r="M19" s="10">
        <v>269259</v>
      </c>
      <c r="N19" s="10">
        <v>258895</v>
      </c>
      <c r="O19" s="10">
        <v>251402</v>
      </c>
      <c r="P19" s="10">
        <v>257923</v>
      </c>
      <c r="Q19" s="6">
        <f t="shared" si="0"/>
        <v>3063649</v>
      </c>
      <c r="R19" s="15">
        <f t="shared" si="1"/>
        <v>0.10056050956329243</v>
      </c>
    </row>
    <row r="20" spans="1:18">
      <c r="A20" s="1" t="s">
        <v>137</v>
      </c>
      <c r="B20" s="3" t="s">
        <v>212</v>
      </c>
      <c r="C20" s="3" t="s">
        <v>213</v>
      </c>
      <c r="D20" s="6">
        <f>'2011 pax'!Q20</f>
        <v>29964108</v>
      </c>
      <c r="E20" s="10">
        <v>3010508</v>
      </c>
      <c r="F20" s="10">
        <v>2471713</v>
      </c>
      <c r="G20" s="10">
        <v>2584722</v>
      </c>
      <c r="H20" s="10">
        <v>2341197</v>
      </c>
      <c r="I20" s="10">
        <v>2512881</v>
      </c>
      <c r="J20" s="10">
        <v>2687200</v>
      </c>
      <c r="K20" s="10">
        <v>3170689</v>
      </c>
      <c r="L20" s="10">
        <v>2638358</v>
      </c>
      <c r="M20" s="10">
        <f>24239040-21417268</f>
        <v>2821772</v>
      </c>
      <c r="N20" s="10">
        <v>2861775</v>
      </c>
      <c r="O20" s="10">
        <v>2484394</v>
      </c>
      <c r="P20" s="10">
        <v>2592385</v>
      </c>
      <c r="Q20" s="6">
        <f t="shared" si="0"/>
        <v>32177594</v>
      </c>
      <c r="R20" s="15">
        <f t="shared" si="1"/>
        <v>7.3871246225650999E-2</v>
      </c>
    </row>
    <row r="21" spans="1:18">
      <c r="A21" s="1" t="s">
        <v>137</v>
      </c>
      <c r="B21" s="1" t="s">
        <v>140</v>
      </c>
      <c r="C21" s="1" t="s">
        <v>141</v>
      </c>
      <c r="D21" s="6">
        <f>'2011 pax'!Q21</f>
        <v>513095</v>
      </c>
      <c r="E21" s="10">
        <v>64648</v>
      </c>
      <c r="F21" s="10">
        <v>46846</v>
      </c>
      <c r="G21" s="10">
        <v>46564</v>
      </c>
      <c r="H21" s="10">
        <v>47624</v>
      </c>
      <c r="I21" s="10">
        <v>40035</v>
      </c>
      <c r="J21" s="10">
        <v>38622</v>
      </c>
      <c r="K21" s="10">
        <v>43264</v>
      </c>
      <c r="L21" s="10">
        <v>41087</v>
      </c>
      <c r="M21" s="10">
        <v>41286</v>
      </c>
      <c r="N21" s="10">
        <v>39676</v>
      </c>
      <c r="O21" s="10">
        <v>38924</v>
      </c>
      <c r="P21" s="10">
        <v>43554</v>
      </c>
      <c r="Q21" s="6">
        <f t="shared" si="0"/>
        <v>532130</v>
      </c>
      <c r="R21" s="15">
        <f t="shared" si="1"/>
        <v>3.7098393085101211E-2</v>
      </c>
    </row>
    <row r="22" spans="1:18">
      <c r="A22" s="1" t="s">
        <v>137</v>
      </c>
      <c r="B22" s="1" t="s">
        <v>174</v>
      </c>
      <c r="C22" s="1" t="s">
        <v>175</v>
      </c>
      <c r="D22" s="6">
        <f>'2011 pax'!Q22</f>
        <v>240156</v>
      </c>
      <c r="E22" s="10">
        <v>22258</v>
      </c>
      <c r="F22" s="10">
        <v>21688</v>
      </c>
      <c r="G22" s="10">
        <v>26812</v>
      </c>
      <c r="H22" s="10">
        <v>806</v>
      </c>
      <c r="I22" s="10">
        <v>25950</v>
      </c>
      <c r="J22" s="10">
        <v>28768</v>
      </c>
      <c r="K22" s="10">
        <v>56902</v>
      </c>
      <c r="L22" s="10">
        <v>31914</v>
      </c>
      <c r="M22" s="10">
        <v>0</v>
      </c>
      <c r="N22" s="10">
        <v>59132</v>
      </c>
      <c r="O22" s="10">
        <v>24269</v>
      </c>
      <c r="P22" s="10">
        <v>25441</v>
      </c>
      <c r="Q22" s="6">
        <f t="shared" si="0"/>
        <v>323940</v>
      </c>
      <c r="R22" s="15">
        <f t="shared" si="1"/>
        <v>0.34887323239894075</v>
      </c>
    </row>
    <row r="23" spans="1:18">
      <c r="A23" s="1" t="s">
        <v>137</v>
      </c>
      <c r="B23" s="7" t="s">
        <v>196</v>
      </c>
      <c r="C23" s="7" t="s">
        <v>197</v>
      </c>
      <c r="D23" s="6">
        <f>'2011 pax'!Q23</f>
        <v>159921</v>
      </c>
      <c r="E23" s="10">
        <v>14325</v>
      </c>
      <c r="F23" s="10">
        <v>15026</v>
      </c>
      <c r="G23" s="10">
        <v>13863</v>
      </c>
      <c r="H23" s="10">
        <v>12664</v>
      </c>
      <c r="I23" s="10">
        <v>16021</v>
      </c>
      <c r="J23" s="10">
        <v>9599</v>
      </c>
      <c r="K23" s="10">
        <v>12734</v>
      </c>
      <c r="L23" s="10">
        <v>12276</v>
      </c>
      <c r="M23" s="10">
        <v>12280</v>
      </c>
      <c r="N23" s="10">
        <v>11709</v>
      </c>
      <c r="O23" s="10">
        <v>11637</v>
      </c>
      <c r="P23" s="10">
        <v>12569</v>
      </c>
      <c r="Q23" s="6">
        <f t="shared" si="0"/>
        <v>154703</v>
      </c>
      <c r="R23" s="15">
        <f t="shared" si="1"/>
        <v>-3.2628610376373324E-2</v>
      </c>
    </row>
    <row r="24" spans="1:18">
      <c r="A24" s="1" t="s">
        <v>137</v>
      </c>
      <c r="B24" s="1" t="s">
        <v>158</v>
      </c>
      <c r="C24" s="1" t="s">
        <v>159</v>
      </c>
      <c r="D24" s="6">
        <f>'2011 pax'!Q24</f>
        <v>1144256</v>
      </c>
      <c r="E24" s="10">
        <v>128857</v>
      </c>
      <c r="F24" s="10">
        <v>97287</v>
      </c>
      <c r="G24" s="10">
        <v>87357</v>
      </c>
      <c r="H24" s="10">
        <v>94322</v>
      </c>
      <c r="I24" s="10">
        <v>92888</v>
      </c>
      <c r="J24" s="10">
        <v>111751</v>
      </c>
      <c r="K24" s="10">
        <v>125285</v>
      </c>
      <c r="L24" s="10">
        <v>103712</v>
      </c>
      <c r="M24" s="10">
        <v>98533</v>
      </c>
      <c r="N24" s="10">
        <v>104191</v>
      </c>
      <c r="O24" s="10">
        <v>98771</v>
      </c>
      <c r="P24" s="10">
        <v>109405</v>
      </c>
      <c r="Q24" s="6">
        <f t="shared" si="0"/>
        <v>1252359</v>
      </c>
      <c r="R24" s="15">
        <f t="shared" si="1"/>
        <v>9.4474488226410802E-2</v>
      </c>
    </row>
    <row r="25" spans="1:18">
      <c r="A25" s="1" t="s">
        <v>137</v>
      </c>
      <c r="B25" s="3" t="s">
        <v>228</v>
      </c>
      <c r="C25" s="3" t="s">
        <v>229</v>
      </c>
      <c r="D25" s="6">
        <f>'2011 pax'!Q25</f>
        <v>484742</v>
      </c>
      <c r="E25" s="10">
        <v>38213</v>
      </c>
      <c r="F25" s="10">
        <v>35863</v>
      </c>
      <c r="G25" s="10">
        <v>39172</v>
      </c>
      <c r="H25" s="10">
        <v>36936</v>
      </c>
      <c r="I25" s="10">
        <v>37376</v>
      </c>
      <c r="J25" s="10">
        <v>32438</v>
      </c>
      <c r="K25" s="10">
        <v>35860</v>
      </c>
      <c r="L25" s="10">
        <v>36492</v>
      </c>
      <c r="M25" s="10">
        <v>32519</v>
      </c>
      <c r="N25" s="10">
        <v>33259</v>
      </c>
      <c r="O25" s="10">
        <v>35096</v>
      </c>
      <c r="P25" s="10">
        <v>29890</v>
      </c>
      <c r="Q25" s="6">
        <f t="shared" si="0"/>
        <v>423114</v>
      </c>
      <c r="R25" s="15">
        <f t="shared" si="1"/>
        <v>-0.12713567217200072</v>
      </c>
    </row>
    <row r="26" spans="1:18">
      <c r="A26" s="1" t="s">
        <v>137</v>
      </c>
      <c r="B26" s="1" t="s">
        <v>160</v>
      </c>
      <c r="C26" s="1" t="s">
        <v>161</v>
      </c>
      <c r="D26" s="6">
        <f>'2011 pax'!Q26</f>
        <v>342958</v>
      </c>
      <c r="E26" s="10">
        <v>46723</v>
      </c>
      <c r="F26" s="10">
        <v>33985</v>
      </c>
      <c r="G26" s="10">
        <v>35239</v>
      </c>
      <c r="H26" s="10">
        <v>37792</v>
      </c>
      <c r="I26" s="10">
        <v>35394</v>
      </c>
      <c r="J26" s="10">
        <v>38510</v>
      </c>
      <c r="K26" s="10">
        <v>43468</v>
      </c>
      <c r="L26" s="10">
        <v>37106</v>
      </c>
      <c r="M26" s="10">
        <v>34691</v>
      </c>
      <c r="N26" s="10">
        <v>36907</v>
      </c>
      <c r="O26" s="10">
        <v>32812</v>
      </c>
      <c r="P26" s="10">
        <v>38460</v>
      </c>
      <c r="Q26" s="6">
        <f t="shared" si="0"/>
        <v>451087</v>
      </c>
      <c r="R26" s="15">
        <f t="shared" si="1"/>
        <v>0.31528350410254324</v>
      </c>
    </row>
    <row r="27" spans="1:18">
      <c r="A27" s="1" t="s">
        <v>137</v>
      </c>
      <c r="B27" s="3" t="s">
        <v>230</v>
      </c>
      <c r="C27" s="3" t="s">
        <v>231</v>
      </c>
      <c r="D27" s="6">
        <f>'2011 pax'!Q27</f>
        <v>961902</v>
      </c>
      <c r="E27" s="10">
        <v>81122</v>
      </c>
      <c r="F27" s="10">
        <v>77845</v>
      </c>
      <c r="G27" s="10">
        <v>88652</v>
      </c>
      <c r="H27" s="10">
        <v>93806</v>
      </c>
      <c r="I27" s="10">
        <v>92736</v>
      </c>
      <c r="J27" s="10">
        <v>81104</v>
      </c>
      <c r="K27" s="10">
        <v>106304</v>
      </c>
      <c r="L27" s="10">
        <v>100547</v>
      </c>
      <c r="M27" s="10">
        <v>97704</v>
      </c>
      <c r="N27" s="10">
        <v>97376</v>
      </c>
      <c r="O27" s="10">
        <v>91359</v>
      </c>
      <c r="P27" s="10">
        <v>90213</v>
      </c>
      <c r="Q27" s="6">
        <f t="shared" si="0"/>
        <v>1098768</v>
      </c>
      <c r="R27" s="15">
        <f t="shared" si="1"/>
        <v>0.14228684418994875</v>
      </c>
    </row>
    <row r="28" spans="1:18">
      <c r="A28" s="1" t="s">
        <v>137</v>
      </c>
      <c r="B28" s="1" t="s">
        <v>198</v>
      </c>
      <c r="C28" s="1" t="s">
        <v>199</v>
      </c>
      <c r="D28" s="6">
        <f>'2011 pax'!Q28</f>
        <v>454959</v>
      </c>
      <c r="E28" s="10">
        <v>35634</v>
      </c>
      <c r="F28" s="10">
        <v>33668</v>
      </c>
      <c r="G28" s="10">
        <v>37610</v>
      </c>
      <c r="H28" s="10">
        <v>37195</v>
      </c>
      <c r="I28" s="10">
        <v>35705</v>
      </c>
      <c r="J28" s="10">
        <v>35466</v>
      </c>
      <c r="K28" s="10">
        <v>34839</v>
      </c>
      <c r="L28" s="10">
        <v>37638</v>
      </c>
      <c r="M28" s="10">
        <v>36075</v>
      </c>
      <c r="N28" s="10">
        <v>37583</v>
      </c>
      <c r="O28" s="10">
        <v>37262</v>
      </c>
      <c r="P28" s="10">
        <v>33224</v>
      </c>
      <c r="Q28" s="6">
        <f t="shared" si="0"/>
        <v>431899</v>
      </c>
      <c r="R28" s="15">
        <f t="shared" si="1"/>
        <v>-5.0685885980934597E-2</v>
      </c>
    </row>
    <row r="29" spans="1:18">
      <c r="A29" s="1" t="s">
        <v>137</v>
      </c>
      <c r="B29" s="1" t="s">
        <v>178</v>
      </c>
      <c r="C29" s="1" t="s">
        <v>179</v>
      </c>
      <c r="D29" s="6">
        <f>'2011 pax'!Q29</f>
        <v>560469</v>
      </c>
      <c r="E29" s="10">
        <v>49173</v>
      </c>
      <c r="F29" s="10">
        <v>39502</v>
      </c>
      <c r="G29" s="10">
        <v>42587</v>
      </c>
      <c r="H29" s="10">
        <v>44999</v>
      </c>
      <c r="I29" s="10">
        <v>44461</v>
      </c>
      <c r="J29" s="10">
        <v>47520</v>
      </c>
      <c r="K29" s="10">
        <v>56431</v>
      </c>
      <c r="L29" s="10">
        <v>53591</v>
      </c>
      <c r="M29" s="10">
        <v>49888</v>
      </c>
      <c r="N29" s="10">
        <v>50557</v>
      </c>
      <c r="O29" s="10">
        <v>45932</v>
      </c>
      <c r="P29" s="10">
        <v>48919</v>
      </c>
      <c r="Q29" s="6">
        <f t="shared" si="0"/>
        <v>573560</v>
      </c>
      <c r="R29" s="15">
        <f t="shared" si="1"/>
        <v>2.3357224039152857E-2</v>
      </c>
    </row>
    <row r="30" spans="1:18">
      <c r="A30" s="1" t="s">
        <v>137</v>
      </c>
      <c r="B30" s="1" t="s">
        <v>142</v>
      </c>
      <c r="C30" s="1" t="s">
        <v>143</v>
      </c>
      <c r="D30" s="6">
        <f>'2011 pax'!Q30</f>
        <v>1543149</v>
      </c>
      <c r="E30" s="10">
        <v>175582</v>
      </c>
      <c r="F30" s="10">
        <v>128203</v>
      </c>
      <c r="G30" s="10">
        <v>128849</v>
      </c>
      <c r="H30" s="10">
        <v>129328</v>
      </c>
      <c r="I30" s="10">
        <v>123694</v>
      </c>
      <c r="J30" s="10">
        <v>130108</v>
      </c>
      <c r="K30" s="10">
        <v>151794</v>
      </c>
      <c r="L30" s="10">
        <v>132870</v>
      </c>
      <c r="M30" s="10">
        <v>139172</v>
      </c>
      <c r="N30" s="10">
        <v>148182</v>
      </c>
      <c r="O30" s="10">
        <v>156263</v>
      </c>
      <c r="P30" s="10">
        <v>167823</v>
      </c>
      <c r="Q30" s="6">
        <f t="shared" si="0"/>
        <v>1711868</v>
      </c>
      <c r="R30" s="15">
        <f t="shared" si="1"/>
        <v>0.10933422501650836</v>
      </c>
    </row>
    <row r="31" spans="1:18">
      <c r="A31" s="1" t="s">
        <v>137</v>
      </c>
      <c r="B31" s="1" t="s">
        <v>188</v>
      </c>
      <c r="C31" s="1" t="s">
        <v>189</v>
      </c>
      <c r="D31" s="6">
        <f>'2011 pax'!Q31</f>
        <v>3016921</v>
      </c>
      <c r="E31" s="10">
        <v>299524</v>
      </c>
      <c r="F31" s="10">
        <v>234597</v>
      </c>
      <c r="G31" s="10">
        <v>238505</v>
      </c>
      <c r="H31" s="10">
        <v>240862</v>
      </c>
      <c r="I31" s="10">
        <v>238319</v>
      </c>
      <c r="J31" s="10">
        <v>258243</v>
      </c>
      <c r="K31" s="10">
        <v>277359</v>
      </c>
      <c r="L31" s="10">
        <v>261849</v>
      </c>
      <c r="M31" s="10">
        <v>265967</v>
      </c>
      <c r="N31" s="10">
        <v>271086</v>
      </c>
      <c r="O31" s="10">
        <v>267684</v>
      </c>
      <c r="P31" s="10">
        <v>272184</v>
      </c>
      <c r="Q31" s="6">
        <f t="shared" si="0"/>
        <v>3126179</v>
      </c>
      <c r="R31" s="15">
        <f t="shared" si="1"/>
        <v>3.6215068276564066E-2</v>
      </c>
    </row>
    <row r="32" spans="1:18">
      <c r="A32" s="1" t="s">
        <v>137</v>
      </c>
      <c r="B32" s="1" t="s">
        <v>176</v>
      </c>
      <c r="C32" s="1" t="s">
        <v>177</v>
      </c>
      <c r="D32" s="6">
        <f>'2011 pax'!Q32</f>
        <v>322388</v>
      </c>
      <c r="E32" s="10">
        <v>27667</v>
      </c>
      <c r="F32" s="10">
        <v>25081</v>
      </c>
      <c r="G32" s="10">
        <v>26443</v>
      </c>
      <c r="H32" s="10">
        <v>31322</v>
      </c>
      <c r="I32" s="10">
        <v>30231</v>
      </c>
      <c r="J32" s="10">
        <v>32099</v>
      </c>
      <c r="K32" s="10">
        <v>42483</v>
      </c>
      <c r="L32" s="10">
        <v>36719</v>
      </c>
      <c r="M32" s="10">
        <v>32260</v>
      </c>
      <c r="N32" s="10">
        <v>31850</v>
      </c>
      <c r="O32" s="10">
        <v>31692</v>
      </c>
      <c r="P32" s="10">
        <v>32592</v>
      </c>
      <c r="Q32" s="6">
        <f t="shared" si="0"/>
        <v>380439</v>
      </c>
      <c r="R32" s="15">
        <f t="shared" si="1"/>
        <v>0.18006563519733976</v>
      </c>
    </row>
    <row r="33" spans="1:18">
      <c r="A33" s="1" t="s">
        <v>137</v>
      </c>
      <c r="B33" s="3" t="s">
        <v>206</v>
      </c>
      <c r="C33" s="3" t="s">
        <v>207</v>
      </c>
      <c r="D33" s="6">
        <f>'2011 pax'!Q33</f>
        <v>224630</v>
      </c>
      <c r="E33" s="10">
        <v>21548</v>
      </c>
      <c r="F33" s="10">
        <v>17879</v>
      </c>
      <c r="G33" s="10">
        <v>28137</v>
      </c>
      <c r="H33" s="10">
        <v>30949</v>
      </c>
      <c r="I33" s="10">
        <v>30270</v>
      </c>
      <c r="J33" s="10">
        <v>30007</v>
      </c>
      <c r="K33" s="10">
        <v>31486</v>
      </c>
      <c r="L33" s="10">
        <v>27853</v>
      </c>
      <c r="M33" s="10">
        <v>28261</v>
      </c>
      <c r="N33" s="10">
        <v>26694</v>
      </c>
      <c r="O33" s="10">
        <v>23664</v>
      </c>
      <c r="P33" s="10">
        <v>25428</v>
      </c>
      <c r="Q33" s="6">
        <f t="shared" si="0"/>
        <v>322176</v>
      </c>
      <c r="R33" s="15">
        <f t="shared" si="1"/>
        <v>0.43425188087076516</v>
      </c>
    </row>
    <row r="34" spans="1:18">
      <c r="A34" s="1" t="s">
        <v>137</v>
      </c>
      <c r="B34" s="1" t="s">
        <v>164</v>
      </c>
      <c r="C34" s="1" t="s">
        <v>165</v>
      </c>
      <c r="D34" s="6">
        <f>'2011 pax'!Q34</f>
        <v>2580990</v>
      </c>
      <c r="E34" s="10">
        <v>274492</v>
      </c>
      <c r="F34" s="10">
        <v>209622</v>
      </c>
      <c r="G34" s="10">
        <v>408763</v>
      </c>
      <c r="H34" s="10">
        <v>11181</v>
      </c>
      <c r="I34" s="10">
        <v>191490</v>
      </c>
      <c r="J34" s="10">
        <v>195745</v>
      </c>
      <c r="K34" s="10">
        <v>246784</v>
      </c>
      <c r="L34" s="10">
        <v>210980</v>
      </c>
      <c r="M34" s="10">
        <v>216256</v>
      </c>
      <c r="N34" s="10">
        <v>237542</v>
      </c>
      <c r="O34" s="10">
        <v>219631</v>
      </c>
      <c r="P34" s="10">
        <v>238378</v>
      </c>
      <c r="Q34" s="6">
        <f t="shared" si="0"/>
        <v>2660864</v>
      </c>
      <c r="R34" s="15">
        <f t="shared" si="1"/>
        <v>3.094703970181989E-2</v>
      </c>
    </row>
    <row r="35" spans="1:18">
      <c r="A35" s="1" t="s">
        <v>137</v>
      </c>
      <c r="B35" s="3" t="s">
        <v>232</v>
      </c>
      <c r="C35" s="3" t="s">
        <v>233</v>
      </c>
      <c r="D35" s="6">
        <f>'2011 pax'!Q35</f>
        <v>1156859</v>
      </c>
      <c r="E35" s="10">
        <v>110029</v>
      </c>
      <c r="F35" s="10">
        <v>88721</v>
      </c>
      <c r="G35" s="10">
        <v>107124</v>
      </c>
      <c r="H35" s="10">
        <v>110411</v>
      </c>
      <c r="I35" s="10">
        <v>103136</v>
      </c>
      <c r="J35" s="10">
        <v>100046</v>
      </c>
      <c r="K35" s="10">
        <v>121357</v>
      </c>
      <c r="L35" s="10">
        <v>108680</v>
      </c>
      <c r="M35" s="10">
        <v>106976</v>
      </c>
      <c r="N35" s="10">
        <v>116298</v>
      </c>
      <c r="O35" s="10">
        <v>102671</v>
      </c>
      <c r="P35" s="10">
        <v>104084</v>
      </c>
      <c r="Q35" s="6">
        <f t="shared" si="0"/>
        <v>1279533</v>
      </c>
      <c r="R35" s="15">
        <f t="shared" si="1"/>
        <v>0.10604058057204901</v>
      </c>
    </row>
    <row r="36" spans="1:18">
      <c r="A36" s="1" t="s">
        <v>137</v>
      </c>
      <c r="B36" s="1" t="s">
        <v>154</v>
      </c>
      <c r="C36" s="1" t="s">
        <v>155</v>
      </c>
      <c r="D36" s="6">
        <f>'2011 pax'!Q36</f>
        <v>503408</v>
      </c>
      <c r="E36" s="10">
        <v>49268</v>
      </c>
      <c r="F36" s="10">
        <v>41149</v>
      </c>
      <c r="G36" s="10">
        <v>51424</v>
      </c>
      <c r="H36" s="10">
        <v>52464</v>
      </c>
      <c r="I36" s="10">
        <v>52097</v>
      </c>
      <c r="J36" s="10">
        <v>51639</v>
      </c>
      <c r="K36" s="10">
        <v>54247</v>
      </c>
      <c r="L36" s="10">
        <v>47991</v>
      </c>
      <c r="M36" s="10">
        <v>45244</v>
      </c>
      <c r="N36" s="10">
        <v>43956</v>
      </c>
      <c r="O36" s="10">
        <v>44108</v>
      </c>
      <c r="P36" s="10">
        <v>45808</v>
      </c>
      <c r="Q36" s="6">
        <f t="shared" si="0"/>
        <v>579395</v>
      </c>
      <c r="R36" s="15">
        <f t="shared" si="1"/>
        <v>0.15094515780440521</v>
      </c>
    </row>
    <row r="37" spans="1:18">
      <c r="A37" s="1" t="s">
        <v>137</v>
      </c>
      <c r="B37" s="7" t="s">
        <v>202</v>
      </c>
      <c r="C37" s="7" t="s">
        <v>203</v>
      </c>
      <c r="D37" s="6">
        <f>'2011 pax'!Q37</f>
        <v>793484</v>
      </c>
      <c r="E37" s="10">
        <v>64272</v>
      </c>
      <c r="F37" s="10">
        <v>54915</v>
      </c>
      <c r="G37" s="10">
        <v>63688</v>
      </c>
      <c r="H37" s="10">
        <v>64790</v>
      </c>
      <c r="I37" s="10">
        <v>69931</v>
      </c>
      <c r="J37" s="10">
        <v>68787</v>
      </c>
      <c r="K37" s="10">
        <v>68093</v>
      </c>
      <c r="L37" s="10">
        <v>62701</v>
      </c>
      <c r="M37" s="10">
        <v>61854</v>
      </c>
      <c r="N37" s="10">
        <v>67137</v>
      </c>
      <c r="O37" s="10">
        <v>59001</v>
      </c>
      <c r="P37" s="10">
        <v>64412</v>
      </c>
      <c r="Q37" s="6">
        <f t="shared" si="0"/>
        <v>769581</v>
      </c>
      <c r="R37" s="15">
        <f t="shared" si="1"/>
        <v>-3.0124110883143151E-2</v>
      </c>
    </row>
    <row r="38" spans="1:18">
      <c r="A38" s="1" t="s">
        <v>137</v>
      </c>
      <c r="B38" s="1" t="s">
        <v>166</v>
      </c>
      <c r="C38" s="1" t="s">
        <v>167</v>
      </c>
      <c r="D38" s="6">
        <f>'2011 pax'!Q38</f>
        <v>372056</v>
      </c>
      <c r="E38" s="10">
        <v>41979</v>
      </c>
      <c r="F38" s="10">
        <v>35054</v>
      </c>
      <c r="G38" s="10">
        <v>38977</v>
      </c>
      <c r="H38" s="10">
        <v>40116</v>
      </c>
      <c r="I38" s="10">
        <v>39728</v>
      </c>
      <c r="J38" s="10">
        <v>39385</v>
      </c>
      <c r="K38" s="10">
        <v>41106</v>
      </c>
      <c r="L38" s="10">
        <v>37373</v>
      </c>
      <c r="M38" s="10">
        <v>35849</v>
      </c>
      <c r="N38" s="10">
        <v>34622</v>
      </c>
      <c r="O38" s="10">
        <v>33044</v>
      </c>
      <c r="P38" s="10">
        <v>41355</v>
      </c>
      <c r="Q38" s="6">
        <f t="shared" si="0"/>
        <v>458588</v>
      </c>
      <c r="R38" s="15">
        <f t="shared" si="1"/>
        <v>0.23257789150020436</v>
      </c>
    </row>
    <row r="39" spans="1:18">
      <c r="A39" s="1" t="s">
        <v>137</v>
      </c>
      <c r="B39" s="3" t="s">
        <v>234</v>
      </c>
      <c r="C39" s="3" t="s">
        <v>235</v>
      </c>
      <c r="D39" s="6">
        <f>'2011 pax'!Q39</f>
        <v>7836074</v>
      </c>
      <c r="E39" s="10">
        <v>725764</v>
      </c>
      <c r="F39" s="10">
        <v>647777</v>
      </c>
      <c r="G39" s="10">
        <v>672557</v>
      </c>
      <c r="H39" s="10">
        <v>672630</v>
      </c>
      <c r="I39" s="10">
        <v>659353</v>
      </c>
      <c r="J39" s="10">
        <v>666083</v>
      </c>
      <c r="K39" s="10">
        <v>789122</v>
      </c>
      <c r="L39" s="10">
        <v>696598</v>
      </c>
      <c r="M39" s="10">
        <v>681805</v>
      </c>
      <c r="N39" s="10">
        <v>681034</v>
      </c>
      <c r="O39" s="10">
        <v>684107</v>
      </c>
      <c r="P39" s="10">
        <v>684525</v>
      </c>
      <c r="Q39" s="6">
        <f t="shared" si="0"/>
        <v>8261355</v>
      </c>
      <c r="R39" s="15">
        <f t="shared" si="1"/>
        <v>5.427220314662673E-2</v>
      </c>
    </row>
    <row r="40" spans="1:18">
      <c r="A40" s="1" t="s">
        <v>137</v>
      </c>
      <c r="B40" s="1" t="s">
        <v>190</v>
      </c>
      <c r="C40" s="1" t="s">
        <v>191</v>
      </c>
      <c r="D40" s="6">
        <f>'2011 pax'!Q40</f>
        <v>983812</v>
      </c>
      <c r="E40" s="10">
        <v>100906</v>
      </c>
      <c r="F40" s="10">
        <v>81494</v>
      </c>
      <c r="G40" s="10">
        <v>81878</v>
      </c>
      <c r="H40" s="10">
        <v>84525</v>
      </c>
      <c r="I40" s="10">
        <v>80557</v>
      </c>
      <c r="J40" s="10">
        <v>83505</v>
      </c>
      <c r="K40" s="10">
        <v>104538</v>
      </c>
      <c r="L40" s="10">
        <v>92280</v>
      </c>
      <c r="M40" s="10">
        <v>83199</v>
      </c>
      <c r="N40" s="10">
        <v>85814</v>
      </c>
      <c r="O40" s="10">
        <v>77961</v>
      </c>
      <c r="P40" s="10">
        <v>94025</v>
      </c>
      <c r="Q40" s="6">
        <f t="shared" si="0"/>
        <v>1050682</v>
      </c>
      <c r="R40" s="15">
        <f t="shared" si="1"/>
        <v>6.797030326932374E-2</v>
      </c>
    </row>
    <row r="41" spans="1:18">
      <c r="A41" s="1" t="s">
        <v>137</v>
      </c>
      <c r="B41" s="1" t="s">
        <v>168</v>
      </c>
      <c r="C41" s="1" t="s">
        <v>169</v>
      </c>
      <c r="D41" s="6">
        <f>'2011 pax'!Q41</f>
        <v>6360868</v>
      </c>
      <c r="E41" s="10">
        <v>651595</v>
      </c>
      <c r="F41" s="10">
        <v>512636</v>
      </c>
      <c r="G41" s="10">
        <v>517228</v>
      </c>
      <c r="H41" s="10">
        <v>525738</v>
      </c>
      <c r="I41" s="10">
        <v>484878</v>
      </c>
      <c r="J41" s="10">
        <v>503330</v>
      </c>
      <c r="K41" s="10">
        <v>590343</v>
      </c>
      <c r="L41" s="10">
        <v>529705</v>
      </c>
      <c r="M41" s="10">
        <v>536989</v>
      </c>
      <c r="N41" s="10">
        <v>536790</v>
      </c>
      <c r="O41" s="10">
        <v>502427</v>
      </c>
      <c r="P41" s="10">
        <v>511757</v>
      </c>
      <c r="Q41" s="6">
        <f t="shared" si="0"/>
        <v>6403416</v>
      </c>
      <c r="R41" s="15">
        <f t="shared" si="1"/>
        <v>6.6890242023573965E-3</v>
      </c>
    </row>
    <row r="42" spans="1:18">
      <c r="A42" s="1" t="s">
        <v>137</v>
      </c>
      <c r="B42" s="1" t="s">
        <v>192</v>
      </c>
      <c r="C42" s="1" t="s">
        <v>193</v>
      </c>
      <c r="D42" s="6">
        <f>'2011 pax'!Q42</f>
        <v>393744</v>
      </c>
      <c r="E42" s="10">
        <v>35695</v>
      </c>
      <c r="F42" s="10">
        <v>29086</v>
      </c>
      <c r="G42" s="10">
        <v>29056</v>
      </c>
      <c r="H42" s="10">
        <v>30703</v>
      </c>
      <c r="I42" s="10">
        <v>29560</v>
      </c>
      <c r="J42" s="10">
        <v>29066</v>
      </c>
      <c r="K42" s="10">
        <v>37098</v>
      </c>
      <c r="L42" s="10">
        <v>36106</v>
      </c>
      <c r="M42" s="10">
        <v>32073</v>
      </c>
      <c r="N42" s="10">
        <v>30260</v>
      </c>
      <c r="O42" s="10">
        <v>32301</v>
      </c>
      <c r="P42" s="10">
        <v>31465</v>
      </c>
      <c r="Q42" s="6">
        <f t="shared" si="0"/>
        <v>382469</v>
      </c>
      <c r="R42" s="15">
        <f t="shared" si="1"/>
        <v>-2.8635356983217508E-2</v>
      </c>
    </row>
    <row r="43" spans="1:18">
      <c r="A43" s="1" t="s">
        <v>137</v>
      </c>
      <c r="B43" s="1" t="s">
        <v>144</v>
      </c>
      <c r="C43" s="1" t="s">
        <v>145</v>
      </c>
      <c r="D43" s="6">
        <f>'2011 pax'!Q43</f>
        <v>8310651</v>
      </c>
      <c r="E43" s="10">
        <v>806806</v>
      </c>
      <c r="F43" s="10">
        <v>676309</v>
      </c>
      <c r="G43" s="10">
        <v>624809</v>
      </c>
      <c r="H43" s="10">
        <v>680156</v>
      </c>
      <c r="I43" s="10">
        <v>594826</v>
      </c>
      <c r="J43" s="10">
        <v>646769</v>
      </c>
      <c r="K43" s="10">
        <v>1016659</v>
      </c>
      <c r="L43" s="10">
        <v>673511</v>
      </c>
      <c r="M43" s="10">
        <v>741070</v>
      </c>
      <c r="N43" s="10">
        <v>700770</v>
      </c>
      <c r="O43" s="10">
        <v>695937</v>
      </c>
      <c r="P43" s="10">
        <v>671215</v>
      </c>
      <c r="Q43" s="6">
        <f t="shared" si="0"/>
        <v>8528837</v>
      </c>
      <c r="R43" s="15">
        <f t="shared" si="1"/>
        <v>2.6253779637720243E-2</v>
      </c>
    </row>
    <row r="44" spans="1:18">
      <c r="A44" s="1" t="s">
        <v>137</v>
      </c>
      <c r="B44" s="1" t="s">
        <v>182</v>
      </c>
      <c r="C44" s="1" t="s">
        <v>183</v>
      </c>
      <c r="D44" s="6">
        <f>'2011 pax'!Q44</f>
        <v>461212</v>
      </c>
      <c r="E44" s="10">
        <v>43613</v>
      </c>
      <c r="F44" s="10">
        <v>35404</v>
      </c>
      <c r="G44" s="10">
        <v>35520</v>
      </c>
      <c r="H44" s="10">
        <v>37280</v>
      </c>
      <c r="I44" s="10">
        <v>36928</v>
      </c>
      <c r="J44" s="10">
        <v>38066</v>
      </c>
      <c r="K44" s="10">
        <v>48417</v>
      </c>
      <c r="L44" s="10">
        <v>42188</v>
      </c>
      <c r="M44" s="10">
        <v>44072</v>
      </c>
      <c r="N44" s="10">
        <v>45334</v>
      </c>
      <c r="O44" s="10">
        <v>39388</v>
      </c>
      <c r="P44" s="10">
        <v>41375</v>
      </c>
      <c r="Q44" s="6">
        <f t="shared" si="0"/>
        <v>487585</v>
      </c>
      <c r="R44" s="15">
        <f t="shared" si="1"/>
        <v>5.7181946696963637E-2</v>
      </c>
    </row>
    <row r="45" spans="1:18">
      <c r="A45" s="1" t="s">
        <v>137</v>
      </c>
      <c r="B45" s="7" t="s">
        <v>200</v>
      </c>
      <c r="C45" s="7" t="s">
        <v>201</v>
      </c>
      <c r="D45" s="6">
        <f>'2011 pax'!Q45</f>
        <v>8522225</v>
      </c>
      <c r="E45" s="10">
        <v>694215</v>
      </c>
      <c r="F45" s="10">
        <v>634045</v>
      </c>
      <c r="G45" s="10">
        <v>718450</v>
      </c>
      <c r="H45" s="10">
        <v>742769</v>
      </c>
      <c r="I45" s="10">
        <v>763262</v>
      </c>
      <c r="J45" s="10">
        <v>710191</v>
      </c>
      <c r="K45" s="10">
        <v>837536</v>
      </c>
      <c r="L45" s="10">
        <v>820054</v>
      </c>
      <c r="M45" s="10">
        <v>800766</v>
      </c>
      <c r="N45" s="10">
        <v>812975</v>
      </c>
      <c r="O45" s="10">
        <v>739759</v>
      </c>
      <c r="P45" s="10">
        <v>686323</v>
      </c>
      <c r="Q45" s="6">
        <f t="shared" si="0"/>
        <v>8960345</v>
      </c>
      <c r="R45" s="15">
        <f t="shared" si="1"/>
        <v>5.1409109710198964E-2</v>
      </c>
    </row>
    <row r="46" spans="1:18">
      <c r="A46" s="1" t="s">
        <v>137</v>
      </c>
      <c r="B46" s="3" t="s">
        <v>218</v>
      </c>
      <c r="C46" s="3" t="s">
        <v>219</v>
      </c>
      <c r="D46" s="6">
        <f>'2011 pax'!Q46</f>
        <v>236084</v>
      </c>
      <c r="E46" s="10">
        <v>14898</v>
      </c>
      <c r="F46" s="10">
        <v>13859</v>
      </c>
      <c r="G46" s="10">
        <v>16562</v>
      </c>
      <c r="H46" s="10">
        <v>16532</v>
      </c>
      <c r="I46" s="10">
        <v>18300</v>
      </c>
      <c r="J46" s="10">
        <v>19701</v>
      </c>
      <c r="K46" s="10">
        <v>19661</v>
      </c>
      <c r="L46" s="10">
        <v>20265</v>
      </c>
      <c r="M46" s="10">
        <v>17875</v>
      </c>
      <c r="N46" s="10">
        <v>20161</v>
      </c>
      <c r="O46" s="10">
        <v>17180</v>
      </c>
      <c r="P46" s="10">
        <v>17542</v>
      </c>
      <c r="Q46" s="6">
        <f t="shared" si="0"/>
        <v>212536</v>
      </c>
      <c r="R46" s="15">
        <f t="shared" si="1"/>
        <v>-9.9744158858711351E-2</v>
      </c>
    </row>
    <row r="47" spans="1:18">
      <c r="A47" s="1" t="s">
        <v>137</v>
      </c>
      <c r="B47" s="1" t="s">
        <v>180</v>
      </c>
      <c r="C47" s="1" t="s">
        <v>181</v>
      </c>
      <c r="D47" s="6">
        <f>'2011 pax'!Q47</f>
        <v>1844334</v>
      </c>
      <c r="E47" s="10">
        <v>189107</v>
      </c>
      <c r="F47" s="10">
        <v>153412</v>
      </c>
      <c r="G47" s="10">
        <v>151674</v>
      </c>
      <c r="H47" s="10">
        <v>169722</v>
      </c>
      <c r="I47" s="10">
        <v>149311</v>
      </c>
      <c r="J47" s="10">
        <v>166165</v>
      </c>
      <c r="K47" s="10">
        <v>205584</v>
      </c>
      <c r="L47" s="10">
        <v>171071</v>
      </c>
      <c r="M47" s="10">
        <v>163843</v>
      </c>
      <c r="N47" s="10">
        <v>157665</v>
      </c>
      <c r="O47" s="10">
        <v>143621</v>
      </c>
      <c r="P47" s="10">
        <v>169924</v>
      </c>
      <c r="Q47" s="6">
        <f t="shared" si="0"/>
        <v>1991099</v>
      </c>
      <c r="R47" s="15">
        <f t="shared" si="1"/>
        <v>7.957615052371203E-2</v>
      </c>
    </row>
    <row r="48" spans="1:18">
      <c r="A48" s="1" t="s">
        <v>137</v>
      </c>
      <c r="B48" s="1" t="s">
        <v>170</v>
      </c>
      <c r="C48" s="1" t="s">
        <v>171</v>
      </c>
      <c r="D48" s="6">
        <f>'2011 pax'!Q48</f>
        <v>1074921</v>
      </c>
      <c r="E48" s="10">
        <v>102511</v>
      </c>
      <c r="F48" s="10">
        <v>75826</v>
      </c>
      <c r="G48" s="10">
        <v>74947</v>
      </c>
      <c r="H48" s="10">
        <v>84346</v>
      </c>
      <c r="I48" s="10">
        <v>84722</v>
      </c>
      <c r="J48" s="10">
        <v>88491</v>
      </c>
      <c r="K48" s="10">
        <v>101011</v>
      </c>
      <c r="L48" s="10">
        <v>91078</v>
      </c>
      <c r="M48" s="10">
        <v>87968</v>
      </c>
      <c r="N48" s="10">
        <v>86831</v>
      </c>
      <c r="O48" s="10">
        <v>77674</v>
      </c>
      <c r="P48" s="10">
        <v>89456</v>
      </c>
      <c r="Q48" s="6">
        <f t="shared" si="0"/>
        <v>1044861</v>
      </c>
      <c r="R48" s="15">
        <f t="shared" si="1"/>
        <v>-2.7964845788667314E-2</v>
      </c>
    </row>
    <row r="49" spans="1:21">
      <c r="A49" s="1" t="s">
        <v>137</v>
      </c>
      <c r="B49" s="1" t="s">
        <v>490</v>
      </c>
      <c r="C49" s="1" t="s">
        <v>491</v>
      </c>
      <c r="D49" s="6">
        <f>'2011 pax'!Q49</f>
        <v>133652</v>
      </c>
      <c r="E49" s="10">
        <v>11636</v>
      </c>
      <c r="F49" s="10">
        <v>12516</v>
      </c>
      <c r="G49" s="10">
        <v>16636</v>
      </c>
      <c r="H49" s="10">
        <v>16061</v>
      </c>
      <c r="I49" s="10">
        <v>20183</v>
      </c>
      <c r="J49" s="10">
        <v>15086</v>
      </c>
      <c r="K49" s="10">
        <v>17718</v>
      </c>
      <c r="L49" s="10">
        <v>16621</v>
      </c>
      <c r="M49" s="10">
        <v>15078</v>
      </c>
      <c r="N49" s="10">
        <v>12274</v>
      </c>
      <c r="O49" s="10">
        <v>11972</v>
      </c>
      <c r="P49" s="10">
        <v>12204</v>
      </c>
      <c r="Q49" s="6">
        <f t="shared" si="0"/>
        <v>177985</v>
      </c>
      <c r="R49" s="15">
        <f t="shared" si="1"/>
        <v>0.33170472570556364</v>
      </c>
    </row>
    <row r="50" spans="1:21">
      <c r="A50" s="1" t="s">
        <v>137</v>
      </c>
      <c r="B50" s="3" t="s">
        <v>208</v>
      </c>
      <c r="C50" s="3" t="s">
        <v>209</v>
      </c>
      <c r="D50" s="6">
        <f>'2011 pax'!Q50</f>
        <v>907169</v>
      </c>
      <c r="E50" s="10">
        <v>74066</v>
      </c>
      <c r="F50" s="10">
        <v>66427</v>
      </c>
      <c r="G50" s="10">
        <v>78751</v>
      </c>
      <c r="H50" s="10">
        <v>78252</v>
      </c>
      <c r="I50" s="10">
        <v>85339</v>
      </c>
      <c r="J50" s="10">
        <v>90667</v>
      </c>
      <c r="K50" s="10">
        <v>98719</v>
      </c>
      <c r="L50" s="10">
        <v>95454</v>
      </c>
      <c r="M50" s="10">
        <v>88818</v>
      </c>
      <c r="N50" s="10">
        <v>88378</v>
      </c>
      <c r="O50" s="10">
        <v>81877</v>
      </c>
      <c r="P50" s="10">
        <v>84325</v>
      </c>
      <c r="Q50" s="6">
        <f t="shared" si="0"/>
        <v>1011073</v>
      </c>
      <c r="R50" s="15">
        <f t="shared" si="1"/>
        <v>0.11453654170281391</v>
      </c>
    </row>
    <row r="51" spans="1:21">
      <c r="A51" s="1" t="s">
        <v>137</v>
      </c>
      <c r="B51" s="3" t="s">
        <v>210</v>
      </c>
      <c r="C51" s="3" t="s">
        <v>211</v>
      </c>
      <c r="D51" s="6">
        <f>'2011 pax'!Q51</f>
        <v>3181108</v>
      </c>
      <c r="E51" s="10">
        <v>322091</v>
      </c>
      <c r="F51" s="10">
        <v>262115</v>
      </c>
      <c r="G51" s="10">
        <v>270230</v>
      </c>
      <c r="H51" s="10">
        <v>295356</v>
      </c>
      <c r="I51" s="10">
        <v>287792</v>
      </c>
      <c r="J51" s="10">
        <v>289312</v>
      </c>
      <c r="K51" s="10">
        <v>351811</v>
      </c>
      <c r="L51" s="10">
        <v>324231</v>
      </c>
      <c r="M51" s="10">
        <v>317439</v>
      </c>
      <c r="N51" s="10">
        <v>309015</v>
      </c>
      <c r="O51" s="10">
        <v>308023</v>
      </c>
      <c r="P51" s="10">
        <v>305427</v>
      </c>
      <c r="Q51" s="6">
        <f t="shared" si="0"/>
        <v>3642842</v>
      </c>
      <c r="R51" s="15">
        <f t="shared" si="1"/>
        <v>0.14514879721153751</v>
      </c>
    </row>
    <row r="52" spans="1:21" ht="15.75">
      <c r="A52" s="1" t="s">
        <v>66</v>
      </c>
      <c r="B52" s="1" t="s">
        <v>362</v>
      </c>
      <c r="C52" s="7" t="s">
        <v>72</v>
      </c>
      <c r="D52" s="6">
        <f>'2011 pax'!Q52</f>
        <v>12865351</v>
      </c>
      <c r="E52" s="10">
        <v>1053556</v>
      </c>
      <c r="F52" s="10">
        <v>1031448</v>
      </c>
      <c r="G52" s="10">
        <v>1125419</v>
      </c>
      <c r="H52" s="10">
        <v>1105274</v>
      </c>
      <c r="I52" s="10">
        <v>1105274</v>
      </c>
      <c r="J52" s="10">
        <v>1139181</v>
      </c>
      <c r="K52" s="10">
        <v>1308384</v>
      </c>
      <c r="L52" s="10">
        <v>1348550</v>
      </c>
      <c r="M52" s="10">
        <v>1130039</v>
      </c>
      <c r="N52" s="10">
        <v>1136549</v>
      </c>
      <c r="O52" s="10">
        <v>1048741</v>
      </c>
      <c r="P52" s="10">
        <v>1122484</v>
      </c>
      <c r="Q52" s="6">
        <f t="shared" si="0"/>
        <v>13654899</v>
      </c>
      <c r="R52" s="15">
        <f t="shared" si="1"/>
        <v>6.1370109529075512E-2</v>
      </c>
    </row>
    <row r="53" spans="1:21">
      <c r="A53" s="1" t="s">
        <v>66</v>
      </c>
      <c r="B53" s="1" t="s">
        <v>73</v>
      </c>
      <c r="C53" s="7" t="s">
        <v>74</v>
      </c>
      <c r="D53" s="6">
        <f>'2011 pax'!Q53</f>
        <v>6277137</v>
      </c>
      <c r="E53" s="10">
        <v>532549</v>
      </c>
      <c r="F53" s="10">
        <v>528841</v>
      </c>
      <c r="G53" s="10">
        <v>573246</v>
      </c>
      <c r="H53" s="10">
        <v>556418</v>
      </c>
      <c r="I53" s="10">
        <v>549048</v>
      </c>
      <c r="J53" s="10">
        <v>527981</v>
      </c>
      <c r="K53" s="10">
        <v>599313</v>
      </c>
      <c r="L53" s="10">
        <v>630505</v>
      </c>
      <c r="M53" s="10">
        <v>529016</v>
      </c>
      <c r="N53" s="10">
        <v>550916</v>
      </c>
      <c r="O53" s="10">
        <v>540069</v>
      </c>
      <c r="P53" s="10">
        <v>558955</v>
      </c>
      <c r="Q53" s="6">
        <f t="shared" si="0"/>
        <v>6676857</v>
      </c>
      <c r="R53" s="15">
        <f t="shared" si="1"/>
        <v>6.3678712126244763E-2</v>
      </c>
      <c r="S53" s="10"/>
      <c r="T53" s="14"/>
      <c r="U53" s="10"/>
    </row>
    <row r="54" spans="1:21">
      <c r="A54" s="1" t="s">
        <v>66</v>
      </c>
      <c r="B54" s="1" t="s">
        <v>79</v>
      </c>
      <c r="C54" s="7" t="s">
        <v>80</v>
      </c>
      <c r="D54" s="6">
        <f>'2011 pax'!Q54</f>
        <v>3657448</v>
      </c>
      <c r="E54" s="10">
        <v>228186</v>
      </c>
      <c r="F54" s="10">
        <v>253786</v>
      </c>
      <c r="G54" s="10">
        <v>330153</v>
      </c>
      <c r="H54" s="10">
        <v>347301</v>
      </c>
      <c r="I54" s="10">
        <v>312897</v>
      </c>
      <c r="J54" s="10">
        <v>293019</v>
      </c>
      <c r="K54" s="10">
        <v>351496</v>
      </c>
      <c r="L54" s="10">
        <v>388722</v>
      </c>
      <c r="M54" s="10">
        <v>302957</v>
      </c>
      <c r="N54" s="10">
        <v>301585</v>
      </c>
      <c r="O54" s="10">
        <v>241298</v>
      </c>
      <c r="P54" s="10">
        <v>254301</v>
      </c>
      <c r="Q54" s="6">
        <f t="shared" si="0"/>
        <v>3605701</v>
      </c>
      <c r="R54" s="15">
        <f t="shared" si="1"/>
        <v>-1.414838980622557E-2</v>
      </c>
    </row>
    <row r="55" spans="1:21">
      <c r="A55" s="1" t="s">
        <v>66</v>
      </c>
      <c r="B55" s="1" t="s">
        <v>83</v>
      </c>
      <c r="C55" s="7" t="s">
        <v>84</v>
      </c>
      <c r="D55" s="6">
        <f>'2011 pax'!Q55</f>
        <v>1390187</v>
      </c>
      <c r="E55" s="10">
        <v>126115</v>
      </c>
      <c r="F55" s="10">
        <v>125428</v>
      </c>
      <c r="G55" s="10">
        <v>131245</v>
      </c>
      <c r="H55" s="10">
        <v>109524</v>
      </c>
      <c r="I55" s="10">
        <v>107437</v>
      </c>
      <c r="J55" s="10">
        <v>110018</v>
      </c>
      <c r="K55" s="10">
        <v>126795</v>
      </c>
      <c r="L55" s="10">
        <v>136101</v>
      </c>
      <c r="M55" s="10">
        <v>113557</v>
      </c>
      <c r="N55" s="10">
        <v>116346</v>
      </c>
      <c r="O55" s="10">
        <v>111306</v>
      </c>
      <c r="P55" s="10">
        <v>127080</v>
      </c>
      <c r="Q55" s="6">
        <f t="shared" si="0"/>
        <v>1440952</v>
      </c>
      <c r="R55" s="15">
        <f t="shared" si="1"/>
        <v>3.6516670059495659E-2</v>
      </c>
    </row>
    <row r="56" spans="1:21" ht="15.75">
      <c r="A56" s="1" t="s">
        <v>66</v>
      </c>
      <c r="B56" s="1" t="s">
        <v>363</v>
      </c>
      <c r="C56" s="7" t="s">
        <v>71</v>
      </c>
      <c r="D56" s="6">
        <f>'2011 pax'!Q56</f>
        <v>13668829</v>
      </c>
      <c r="E56" s="10">
        <v>1130813</v>
      </c>
      <c r="F56" s="10">
        <v>1092881</v>
      </c>
      <c r="G56" s="10">
        <v>1256984</v>
      </c>
      <c r="H56" s="10">
        <v>1136248</v>
      </c>
      <c r="I56" s="10">
        <v>1067885</v>
      </c>
      <c r="J56" s="10">
        <v>1196381</v>
      </c>
      <c r="K56" s="10">
        <v>1314834</v>
      </c>
      <c r="L56" s="10">
        <v>1355657</v>
      </c>
      <c r="M56" s="10">
        <v>1157644</v>
      </c>
      <c r="N56" s="10">
        <v>1091405</v>
      </c>
      <c r="O56" s="10">
        <v>940793</v>
      </c>
      <c r="P56" s="10">
        <v>1068295</v>
      </c>
      <c r="Q56" s="6">
        <f t="shared" si="0"/>
        <v>13809820</v>
      </c>
      <c r="R56" s="15">
        <f t="shared" si="1"/>
        <v>1.0314782634269548E-2</v>
      </c>
    </row>
    <row r="57" spans="1:21">
      <c r="A57" s="1" t="s">
        <v>66</v>
      </c>
      <c r="B57" s="1" t="s">
        <v>75</v>
      </c>
      <c r="C57" s="7" t="s">
        <v>76</v>
      </c>
      <c r="D57" s="6">
        <f>'2011 pax'!Q57</f>
        <v>4624626</v>
      </c>
      <c r="E57" s="10">
        <v>399579</v>
      </c>
      <c r="F57" s="10">
        <v>411495</v>
      </c>
      <c r="G57" s="10">
        <v>437991</v>
      </c>
      <c r="H57" s="10">
        <v>388308</v>
      </c>
      <c r="I57" s="10">
        <v>385780</v>
      </c>
      <c r="J57" s="10">
        <v>386820</v>
      </c>
      <c r="K57" s="10">
        <v>382724</v>
      </c>
      <c r="L57" s="10">
        <v>410440</v>
      </c>
      <c r="M57" s="10">
        <v>363637</v>
      </c>
      <c r="N57" s="10">
        <v>383811</v>
      </c>
      <c r="O57" s="10">
        <v>356675</v>
      </c>
      <c r="P57" s="10">
        <v>378696</v>
      </c>
      <c r="Q57" s="6">
        <f t="shared" si="0"/>
        <v>4685956</v>
      </c>
      <c r="R57" s="15">
        <f t="shared" si="1"/>
        <v>1.3261612939078793E-2</v>
      </c>
    </row>
    <row r="58" spans="1:21">
      <c r="A58" s="1" t="s">
        <v>66</v>
      </c>
      <c r="B58" s="1" t="s">
        <v>533</v>
      </c>
      <c r="C58" s="7" t="s">
        <v>534</v>
      </c>
      <c r="D58" s="6">
        <v>1313432</v>
      </c>
      <c r="E58" s="10">
        <v>131745</v>
      </c>
      <c r="F58" s="10">
        <v>134990</v>
      </c>
      <c r="G58" s="10">
        <v>149702</v>
      </c>
      <c r="H58" s="10">
        <v>115247</v>
      </c>
      <c r="I58" s="10">
        <v>88064</v>
      </c>
      <c r="J58" s="10">
        <v>98259</v>
      </c>
      <c r="K58" s="10">
        <v>106980</v>
      </c>
      <c r="L58" s="10">
        <v>104428</v>
      </c>
      <c r="M58" s="10">
        <v>105553</v>
      </c>
      <c r="N58" s="10">
        <v>108124</v>
      </c>
      <c r="O58" s="10">
        <v>86516</v>
      </c>
      <c r="P58" s="10">
        <v>113232</v>
      </c>
      <c r="Q58" s="6">
        <f t="shared" si="0"/>
        <v>1342840</v>
      </c>
      <c r="R58" s="15">
        <f t="shared" si="1"/>
        <v>2.239019606648851E-2</v>
      </c>
    </row>
    <row r="59" spans="1:21">
      <c r="A59" s="1" t="s">
        <v>66</v>
      </c>
      <c r="B59" s="1" t="s">
        <v>67</v>
      </c>
      <c r="C59" s="7" t="s">
        <v>68</v>
      </c>
      <c r="D59" s="6">
        <f>'2011 pax'!Q59</f>
        <v>33435277</v>
      </c>
      <c r="E59" s="10">
        <v>2764028</v>
      </c>
      <c r="F59" s="10">
        <v>2621169</v>
      </c>
      <c r="G59" s="10">
        <v>2951030</v>
      </c>
      <c r="H59" s="10">
        <v>2825987</v>
      </c>
      <c r="I59" s="10">
        <v>2832779</v>
      </c>
      <c r="J59" s="10">
        <v>2972845</v>
      </c>
      <c r="K59" s="10">
        <v>3351065</v>
      </c>
      <c r="L59" s="10">
        <v>3523644</v>
      </c>
      <c r="M59" s="10">
        <v>2908905</v>
      </c>
      <c r="N59" s="10">
        <v>2827934</v>
      </c>
      <c r="O59" s="10">
        <v>2528817</v>
      </c>
      <c r="P59" s="10">
        <v>2803826</v>
      </c>
      <c r="Q59" s="6">
        <f t="shared" si="0"/>
        <v>34912029</v>
      </c>
      <c r="R59" s="15">
        <f t="shared" si="1"/>
        <v>4.4167482147672965E-2</v>
      </c>
    </row>
    <row r="60" spans="1:21">
      <c r="A60" s="1" t="s">
        <v>66</v>
      </c>
      <c r="B60" s="1" t="s">
        <v>69</v>
      </c>
      <c r="C60" s="7" t="s">
        <v>70</v>
      </c>
      <c r="D60" s="6">
        <f>'2011 pax'!Q60</f>
        <v>17032780</v>
      </c>
      <c r="E60" s="10">
        <v>1370513</v>
      </c>
      <c r="F60" s="10">
        <v>1293520</v>
      </c>
      <c r="G60" s="10">
        <v>1443150</v>
      </c>
      <c r="H60" s="10">
        <v>1385573</v>
      </c>
      <c r="I60" s="10">
        <v>1475940</v>
      </c>
      <c r="J60" s="10">
        <v>1545313</v>
      </c>
      <c r="K60" s="10">
        <v>1742739</v>
      </c>
      <c r="L60" s="10">
        <v>1825707</v>
      </c>
      <c r="M60" s="10">
        <v>1496728</v>
      </c>
      <c r="N60" s="10">
        <v>1378351</v>
      </c>
      <c r="O60" s="10">
        <v>1244543</v>
      </c>
      <c r="P60" s="10">
        <v>1394824</v>
      </c>
      <c r="Q60" s="6">
        <f t="shared" si="0"/>
        <v>17596901</v>
      </c>
      <c r="R60" s="15">
        <f t="shared" si="1"/>
        <v>3.3119725611438611E-2</v>
      </c>
    </row>
    <row r="61" spans="1:21">
      <c r="A61" s="1" t="s">
        <v>66</v>
      </c>
      <c r="B61" s="1" t="s">
        <v>81</v>
      </c>
      <c r="C61" s="1" t="s">
        <v>82</v>
      </c>
      <c r="D61" s="6">
        <f>'2011 pax'!Q61</f>
        <v>1499792</v>
      </c>
      <c r="E61" s="10">
        <v>111518</v>
      </c>
      <c r="F61" s="10">
        <v>109275</v>
      </c>
      <c r="G61" s="10">
        <v>123655</v>
      </c>
      <c r="H61" s="10">
        <v>122120</v>
      </c>
      <c r="I61" s="10">
        <v>129690</v>
      </c>
      <c r="J61" s="10">
        <v>124228</v>
      </c>
      <c r="K61" s="10">
        <v>137943</v>
      </c>
      <c r="L61" s="10">
        <v>153781</v>
      </c>
      <c r="M61" s="10">
        <v>126786</v>
      </c>
      <c r="N61" s="10">
        <v>131262</v>
      </c>
      <c r="O61" s="10">
        <v>111782</v>
      </c>
      <c r="P61" s="10">
        <v>124538</v>
      </c>
      <c r="Q61" s="6">
        <f t="shared" si="0"/>
        <v>1506578</v>
      </c>
      <c r="R61" s="15">
        <f t="shared" si="1"/>
        <v>4.5246274150014809E-3</v>
      </c>
    </row>
    <row r="62" spans="1:21">
      <c r="A62" s="1" t="s">
        <v>66</v>
      </c>
      <c r="B62" s="1" t="s">
        <v>77</v>
      </c>
      <c r="C62" s="7" t="s">
        <v>78</v>
      </c>
      <c r="D62" s="6">
        <f>'2011 pax'!Q62</f>
        <v>3389237</v>
      </c>
      <c r="E62" s="10">
        <v>300739</v>
      </c>
      <c r="F62" s="10">
        <v>298713</v>
      </c>
      <c r="G62" s="10">
        <v>310606</v>
      </c>
      <c r="H62" s="10">
        <v>276583</v>
      </c>
      <c r="I62" s="10">
        <v>280971</v>
      </c>
      <c r="J62" s="10">
        <v>295384</v>
      </c>
      <c r="K62" s="10">
        <v>321019</v>
      </c>
      <c r="L62" s="10">
        <v>335612</v>
      </c>
      <c r="M62" s="10">
        <v>281395</v>
      </c>
      <c r="N62" s="10">
        <v>296089</v>
      </c>
      <c r="O62" s="10">
        <v>265541</v>
      </c>
      <c r="P62" s="10">
        <v>275523</v>
      </c>
      <c r="Q62" s="6">
        <f t="shared" si="0"/>
        <v>3538175</v>
      </c>
      <c r="R62" s="15">
        <f t="shared" si="1"/>
        <v>4.3944404005975324E-2</v>
      </c>
    </row>
    <row r="63" spans="1:21">
      <c r="A63" s="1" t="s">
        <v>236</v>
      </c>
      <c r="B63" s="1" t="s">
        <v>457</v>
      </c>
      <c r="C63" s="1" t="s">
        <v>458</v>
      </c>
      <c r="D63" s="6">
        <f>'2011 pax'!Q63</f>
        <v>1325068</v>
      </c>
      <c r="E63" s="10">
        <v>131848</v>
      </c>
      <c r="F63" s="10">
        <v>127414</v>
      </c>
      <c r="G63" s="10">
        <v>119397</v>
      </c>
      <c r="H63" s="10">
        <f>1018+58983+59639</f>
        <v>119640</v>
      </c>
      <c r="I63" s="10">
        <f>1467+61867+62298</f>
        <v>125632</v>
      </c>
      <c r="J63" s="10">
        <f>1353+61229+59912</f>
        <v>122494</v>
      </c>
      <c r="K63" s="10">
        <f>1661+68226+70560</f>
        <v>140447</v>
      </c>
      <c r="L63" s="10">
        <f>1339+67654+64866</f>
        <v>133859</v>
      </c>
      <c r="M63" s="10">
        <f>1364+63895+63296</f>
        <v>128555</v>
      </c>
      <c r="N63" s="10">
        <f>1189+70171+69307</f>
        <v>140667</v>
      </c>
      <c r="O63" s="10">
        <f>73819+1179+73188</f>
        <v>148186</v>
      </c>
      <c r="P63" s="10">
        <f>1184+66491+71971</f>
        <v>139646</v>
      </c>
      <c r="Q63" s="6">
        <f t="shared" si="0"/>
        <v>1577785</v>
      </c>
      <c r="R63" s="15">
        <f t="shared" si="1"/>
        <v>0.19072002342521288</v>
      </c>
    </row>
    <row r="64" spans="1:21">
      <c r="A64" s="1" t="s">
        <v>236</v>
      </c>
      <c r="B64" s="1" t="s">
        <v>459</v>
      </c>
      <c r="C64" s="1" t="s">
        <v>460</v>
      </c>
      <c r="D64" s="6">
        <f>'2011 pax'!Q64</f>
        <v>448181</v>
      </c>
      <c r="E64" s="10">
        <v>52036</v>
      </c>
      <c r="F64" s="10">
        <v>53129</v>
      </c>
      <c r="G64" s="10">
        <v>37880</v>
      </c>
      <c r="H64" s="10">
        <f>1148+15853+15822</f>
        <v>32823</v>
      </c>
      <c r="I64" s="10">
        <f>710+16478+17159</f>
        <v>34347</v>
      </c>
      <c r="J64" s="10">
        <f>819+16116+16574</f>
        <v>33509</v>
      </c>
      <c r="K64" s="10">
        <f>1131+22296+23437</f>
        <v>46864</v>
      </c>
      <c r="L64" s="10">
        <f>1109+19850+18498</f>
        <v>39457</v>
      </c>
      <c r="M64" s="10">
        <f>1327+19399+18767</f>
        <v>39493</v>
      </c>
      <c r="N64" s="10">
        <f>993+19326+19348</f>
        <v>39667</v>
      </c>
      <c r="O64" s="10">
        <f>1179+20886+21110</f>
        <v>43175</v>
      </c>
      <c r="P64" s="10">
        <f>1255+21294+19828</f>
        <v>42377</v>
      </c>
      <c r="Q64" s="6">
        <f t="shared" si="0"/>
        <v>494757</v>
      </c>
      <c r="R64" s="15">
        <f t="shared" si="1"/>
        <v>0.10392229924963359</v>
      </c>
    </row>
    <row r="65" spans="1:18">
      <c r="A65" s="1" t="s">
        <v>236</v>
      </c>
      <c r="B65" s="1" t="s">
        <v>461</v>
      </c>
      <c r="C65" s="1" t="s">
        <v>462</v>
      </c>
      <c r="D65" s="6">
        <f>'2011 pax'!Q65</f>
        <v>333804</v>
      </c>
      <c r="E65" s="10">
        <v>40172</v>
      </c>
      <c r="F65" s="10">
        <v>37061</v>
      </c>
      <c r="G65" s="10">
        <v>21318</v>
      </c>
      <c r="H65" s="10">
        <f>13128+12523</f>
        <v>25651</v>
      </c>
      <c r="I65" s="10">
        <f>12716+12747</f>
        <v>25463</v>
      </c>
      <c r="J65" s="10">
        <f>10366+10701</f>
        <v>21067</v>
      </c>
      <c r="K65" s="10">
        <f>17230+16262</f>
        <v>33492</v>
      </c>
      <c r="L65" s="10">
        <f>13333+14415</f>
        <v>27748</v>
      </c>
      <c r="M65" s="10">
        <f>14760+14994</f>
        <v>29754</v>
      </c>
      <c r="N65" s="10">
        <f>13756+13211</f>
        <v>26967</v>
      </c>
      <c r="O65" s="10">
        <f>15381+15309</f>
        <v>30690</v>
      </c>
      <c r="P65" s="10">
        <f>17841+17236</f>
        <v>35077</v>
      </c>
      <c r="Q65" s="6">
        <f t="shared" si="0"/>
        <v>354460</v>
      </c>
      <c r="R65" s="15">
        <f t="shared" si="1"/>
        <v>6.188062455812382E-2</v>
      </c>
    </row>
    <row r="66" spans="1:18">
      <c r="A66" s="1" t="s">
        <v>236</v>
      </c>
      <c r="B66" s="1" t="s">
        <v>463</v>
      </c>
      <c r="C66" s="1" t="s">
        <v>464</v>
      </c>
      <c r="D66" s="6">
        <f>'2011 pax'!Q66</f>
        <v>734391</v>
      </c>
      <c r="E66" s="10">
        <v>76954</v>
      </c>
      <c r="F66" s="10">
        <v>76394</v>
      </c>
      <c r="G66" s="10">
        <v>75715</v>
      </c>
      <c r="H66" s="10">
        <f>38556+37563</f>
        <v>76119</v>
      </c>
      <c r="I66" s="10">
        <f>41626+41701</f>
        <v>83327</v>
      </c>
      <c r="J66" s="10">
        <f>43+40120+40041</f>
        <v>80204</v>
      </c>
      <c r="K66" s="10">
        <f>50993+48173</f>
        <v>99166</v>
      </c>
      <c r="L66" s="10">
        <f>46852+49856</f>
        <v>96708</v>
      </c>
      <c r="M66" s="10">
        <f>46089+46232</f>
        <v>92321</v>
      </c>
      <c r="N66" s="10">
        <f>52524+52150</f>
        <v>104674</v>
      </c>
      <c r="O66" s="10">
        <f>53885+55109</f>
        <v>108994</v>
      </c>
      <c r="P66" s="10">
        <f>47628+51410</f>
        <v>99038</v>
      </c>
      <c r="Q66" s="6">
        <f t="shared" si="0"/>
        <v>1069614</v>
      </c>
      <c r="R66" s="15">
        <f t="shared" si="1"/>
        <v>0.45646392725401053</v>
      </c>
    </row>
    <row r="67" spans="1:18">
      <c r="A67" s="1" t="s">
        <v>236</v>
      </c>
      <c r="B67" s="1" t="s">
        <v>465</v>
      </c>
      <c r="C67" s="1" t="s">
        <v>466</v>
      </c>
      <c r="D67" s="6">
        <f>'2011 pax'!Q67</f>
        <v>769746</v>
      </c>
      <c r="E67" s="10">
        <v>64322</v>
      </c>
      <c r="F67" s="10">
        <v>51574</v>
      </c>
      <c r="G67" s="10">
        <v>70097</v>
      </c>
      <c r="H67" s="10">
        <f>34456+34426</f>
        <v>68882</v>
      </c>
      <c r="I67" s="10">
        <f>36592+36795</f>
        <v>73387</v>
      </c>
      <c r="J67" s="10">
        <f>35539+34697</f>
        <v>70236</v>
      </c>
      <c r="K67" s="10">
        <f>37474+38190</f>
        <v>75664</v>
      </c>
      <c r="L67" s="10">
        <f>106+38212+39228</f>
        <v>77546</v>
      </c>
      <c r="M67" s="10">
        <f>33522+33743</f>
        <v>67265</v>
      </c>
      <c r="N67" s="10">
        <f>38845+38197</f>
        <v>77042</v>
      </c>
      <c r="O67" s="10">
        <f>41634+41262</f>
        <v>82896</v>
      </c>
      <c r="P67" s="10">
        <f>320+38938+36044</f>
        <v>75302</v>
      </c>
      <c r="Q67" s="6">
        <f t="shared" si="0"/>
        <v>854213</v>
      </c>
      <c r="R67" s="15">
        <f t="shared" si="1"/>
        <v>0.10973360043442892</v>
      </c>
    </row>
    <row r="68" spans="1:18">
      <c r="A68" s="1" t="s">
        <v>236</v>
      </c>
      <c r="B68" s="1" t="s">
        <v>467</v>
      </c>
      <c r="C68" s="1" t="s">
        <v>468</v>
      </c>
      <c r="D68" s="6">
        <f>'2011 pax'!Q68</f>
        <v>403340</v>
      </c>
      <c r="E68" s="10">
        <v>42428</v>
      </c>
      <c r="F68" s="10">
        <v>39425</v>
      </c>
      <c r="G68" s="10">
        <v>40773</v>
      </c>
      <c r="H68" s="10">
        <f>21085+19394</f>
        <v>40479</v>
      </c>
      <c r="I68" s="10">
        <f>21828+21505</f>
        <v>43333</v>
      </c>
      <c r="J68" s="10">
        <f>20807+20172</f>
        <v>40979</v>
      </c>
      <c r="K68" s="10">
        <f>22766+21600</f>
        <v>44366</v>
      </c>
      <c r="L68" s="10">
        <f>22465+22797</f>
        <v>45262</v>
      </c>
      <c r="M68" s="10">
        <f>20674+20671</f>
        <v>41345</v>
      </c>
      <c r="N68" s="10">
        <f>22969+22828</f>
        <v>45797</v>
      </c>
      <c r="O68" s="10">
        <f>24343+24693</f>
        <v>49036</v>
      </c>
      <c r="P68" s="10">
        <f>20446+20429</f>
        <v>40875</v>
      </c>
      <c r="Q68" s="6">
        <f t="shared" ref="Q68:Q131" si="2">SUM(E68:P68)</f>
        <v>514098</v>
      </c>
      <c r="R68" s="15">
        <f t="shared" ref="R68:R131" si="3">Q68/D68-1</f>
        <v>0.2746020726930134</v>
      </c>
    </row>
    <row r="69" spans="1:18">
      <c r="A69" s="1" t="s">
        <v>236</v>
      </c>
      <c r="B69" s="1" t="s">
        <v>469</v>
      </c>
      <c r="C69" s="1" t="s">
        <v>470</v>
      </c>
      <c r="D69" s="6">
        <f>'2011 pax'!Q69</f>
        <v>1060470</v>
      </c>
      <c r="E69" s="10">
        <v>107533</v>
      </c>
      <c r="F69" s="10">
        <v>114545</v>
      </c>
      <c r="G69" s="10">
        <v>88523</v>
      </c>
      <c r="H69" s="10">
        <f>3166+39552+40298</f>
        <v>83016</v>
      </c>
      <c r="I69" s="10">
        <f>3181+42068+41699</f>
        <v>86948</v>
      </c>
      <c r="J69" s="10">
        <f>3492+39791+39534</f>
        <v>82817</v>
      </c>
      <c r="K69" s="10">
        <f>4490+53241+55454</f>
        <v>113185</v>
      </c>
      <c r="L69" s="10">
        <f>3498+48443+45234</f>
        <v>97175</v>
      </c>
      <c r="M69" s="10">
        <f>3901+46593+45549</f>
        <v>96043</v>
      </c>
      <c r="N69" s="10">
        <f>3223+45677+45794</f>
        <v>94694</v>
      </c>
      <c r="O69" s="10">
        <f>3172+47969+47691</f>
        <v>98832</v>
      </c>
      <c r="P69" s="10">
        <f>3301+45484+46322</f>
        <v>95107</v>
      </c>
      <c r="Q69" s="6">
        <f t="shared" si="2"/>
        <v>1158418</v>
      </c>
      <c r="R69" s="15">
        <f t="shared" si="3"/>
        <v>9.2362820258941714E-2</v>
      </c>
    </row>
    <row r="70" spans="1:18">
      <c r="A70" s="1" t="s">
        <v>236</v>
      </c>
      <c r="B70" s="1" t="s">
        <v>471</v>
      </c>
      <c r="C70" s="1" t="s">
        <v>472</v>
      </c>
      <c r="D70" s="6">
        <f>'2011 pax'!Q70</f>
        <v>134150</v>
      </c>
      <c r="E70" s="10">
        <v>13552</v>
      </c>
      <c r="F70" s="10">
        <v>16770</v>
      </c>
      <c r="G70" s="10">
        <v>14256</v>
      </c>
      <c r="H70" s="10">
        <f>2928+5239+5272</f>
        <v>13439</v>
      </c>
      <c r="I70" s="10">
        <f>2915+4865+4643</f>
        <v>12423</v>
      </c>
      <c r="J70" s="10">
        <f>2263+3639+6742</f>
        <v>12644</v>
      </c>
      <c r="K70" s="10">
        <f>2638+5996+5729</f>
        <v>14363</v>
      </c>
      <c r="L70" s="10">
        <f>2517+5674+5571</f>
        <v>13762</v>
      </c>
      <c r="M70" s="10">
        <f>2616+5438+5244</f>
        <v>13298</v>
      </c>
      <c r="N70" s="10">
        <f>5236+5681+3323</f>
        <v>14240</v>
      </c>
      <c r="O70" s="10">
        <f>3539+5962+5728</f>
        <v>15229</v>
      </c>
      <c r="P70" s="10">
        <f>4057+6653+6333</f>
        <v>17043</v>
      </c>
      <c r="Q70" s="6">
        <f t="shared" si="2"/>
        <v>171019</v>
      </c>
      <c r="R70" s="15">
        <f t="shared" si="3"/>
        <v>0.2748341408870667</v>
      </c>
    </row>
    <row r="71" spans="1:18">
      <c r="A71" s="1" t="s">
        <v>236</v>
      </c>
      <c r="B71" s="1" t="s">
        <v>473</v>
      </c>
      <c r="C71" s="1" t="s">
        <v>474</v>
      </c>
      <c r="D71" s="6">
        <f>'2011 pax'!Q71</f>
        <v>507582</v>
      </c>
      <c r="E71" s="10">
        <v>58304</v>
      </c>
      <c r="F71" s="10">
        <v>58142</v>
      </c>
      <c r="G71" s="10">
        <v>48176</v>
      </c>
      <c r="H71" s="10">
        <f>22342+23076</f>
        <v>45418</v>
      </c>
      <c r="I71" s="10">
        <f>23063+23995</f>
        <v>47058</v>
      </c>
      <c r="J71" s="10">
        <f>22390+22187</f>
        <v>44577</v>
      </c>
      <c r="K71" s="10">
        <f>24979+25700</f>
        <v>50679</v>
      </c>
      <c r="L71" s="10">
        <f>24565+24763</f>
        <v>49328</v>
      </c>
      <c r="M71" s="10">
        <f>22871+23208</f>
        <v>46079</v>
      </c>
      <c r="N71" s="10">
        <f>25865+26299</f>
        <v>52164</v>
      </c>
      <c r="O71" s="10">
        <f>27122+27333</f>
        <v>54455</v>
      </c>
      <c r="P71" s="10">
        <f>26410+25020</f>
        <v>51430</v>
      </c>
      <c r="Q71" s="6">
        <f t="shared" si="2"/>
        <v>605810</v>
      </c>
      <c r="R71" s="15">
        <f t="shared" si="3"/>
        <v>0.19352144087063761</v>
      </c>
    </row>
    <row r="72" spans="1:18">
      <c r="A72" s="1" t="s">
        <v>236</v>
      </c>
      <c r="B72" s="1" t="s">
        <v>475</v>
      </c>
      <c r="C72" s="1" t="s">
        <v>476</v>
      </c>
      <c r="D72" s="6">
        <f>'2011 pax'!Q72</f>
        <v>106944</v>
      </c>
      <c r="E72" s="10">
        <v>9745</v>
      </c>
      <c r="F72" s="10">
        <v>9907</v>
      </c>
      <c r="G72" s="10">
        <v>10721</v>
      </c>
      <c r="H72" s="10">
        <f>5737+5805</f>
        <v>11542</v>
      </c>
      <c r="I72" s="10">
        <f>5819+5749</f>
        <v>11568</v>
      </c>
      <c r="J72" s="10">
        <f>4981+5026</f>
        <v>10007</v>
      </c>
      <c r="K72" s="10">
        <f>5737+5529</f>
        <v>11266</v>
      </c>
      <c r="L72" s="10">
        <f>4976+4943</f>
        <v>9919</v>
      </c>
      <c r="M72" s="10">
        <f>4946+4841</f>
        <v>9787</v>
      </c>
      <c r="N72" s="10">
        <f>2708+2518</f>
        <v>5226</v>
      </c>
      <c r="O72" s="10">
        <f>789+718</f>
        <v>1507</v>
      </c>
      <c r="P72" s="10">
        <f>2927+2219</f>
        <v>5146</v>
      </c>
      <c r="Q72" s="6">
        <f t="shared" si="2"/>
        <v>106341</v>
      </c>
      <c r="R72" s="15">
        <f t="shared" si="3"/>
        <v>-5.6384649910233842E-3</v>
      </c>
    </row>
    <row r="73" spans="1:18">
      <c r="A73" s="1" t="s">
        <v>236</v>
      </c>
      <c r="B73" s="1" t="s">
        <v>477</v>
      </c>
      <c r="C73" s="1" t="s">
        <v>478</v>
      </c>
      <c r="D73" s="6">
        <f>'2011 pax'!Q73</f>
        <v>929020</v>
      </c>
      <c r="E73" s="10">
        <v>122491</v>
      </c>
      <c r="F73" s="10">
        <v>120531</v>
      </c>
      <c r="G73" s="10">
        <v>84006</v>
      </c>
      <c r="H73" s="10">
        <f>39355+39715</f>
        <v>79070</v>
      </c>
      <c r="I73" s="10">
        <f>37085+37138</f>
        <v>74223</v>
      </c>
      <c r="J73" s="10">
        <f>34199+33628</f>
        <v>67827</v>
      </c>
      <c r="K73" s="10">
        <f>48386+48890</f>
        <v>97276</v>
      </c>
      <c r="L73" s="10">
        <f>41235+39674</f>
        <v>80909</v>
      </c>
      <c r="M73" s="10">
        <f>43947+42976</f>
        <v>86923</v>
      </c>
      <c r="N73" s="10">
        <f>46280+45162</f>
        <v>91442</v>
      </c>
      <c r="O73" s="10">
        <f>52722+52451</f>
        <v>105173</v>
      </c>
      <c r="P73" s="10">
        <f>55563+50482</f>
        <v>106045</v>
      </c>
      <c r="Q73" s="6">
        <f t="shared" si="2"/>
        <v>1115916</v>
      </c>
      <c r="R73" s="15">
        <f t="shared" si="3"/>
        <v>0.20117543217584122</v>
      </c>
    </row>
    <row r="74" spans="1:18">
      <c r="A74" s="1" t="s">
        <v>236</v>
      </c>
      <c r="B74" s="1" t="s">
        <v>479</v>
      </c>
      <c r="C74" s="1" t="s">
        <v>480</v>
      </c>
      <c r="D74" s="6">
        <f>'2011 pax'!Q74</f>
        <v>610062</v>
      </c>
      <c r="E74" s="10">
        <v>83948</v>
      </c>
      <c r="F74" s="10">
        <v>85080</v>
      </c>
      <c r="G74" s="10">
        <v>55853</v>
      </c>
      <c r="H74" s="10">
        <f>228+22416+23332</f>
        <v>45976</v>
      </c>
      <c r="I74" s="10">
        <f>181+18340+18293</f>
        <v>36814</v>
      </c>
      <c r="J74" s="10">
        <f>225+15624+15418</f>
        <v>31267</v>
      </c>
      <c r="K74" s="10">
        <f>234+25599+26516</f>
        <v>52349</v>
      </c>
      <c r="L74" s="10">
        <f>217+21034+20906</f>
        <v>42157</v>
      </c>
      <c r="M74" s="10">
        <f>200+24568+23707</f>
        <v>48475</v>
      </c>
      <c r="N74" s="10">
        <f>209+24473+26814</f>
        <v>51496</v>
      </c>
      <c r="O74" s="10">
        <f>291+31974+32804</f>
        <v>65069</v>
      </c>
      <c r="P74" s="10">
        <f>448+36673+38278</f>
        <v>75399</v>
      </c>
      <c r="Q74" s="6">
        <f t="shared" si="2"/>
        <v>673883</v>
      </c>
      <c r="R74" s="15">
        <f t="shared" si="3"/>
        <v>0.10461395726991674</v>
      </c>
    </row>
    <row r="75" spans="1:18">
      <c r="A75" s="1" t="s">
        <v>236</v>
      </c>
      <c r="B75" s="1" t="s">
        <v>481</v>
      </c>
      <c r="C75" s="1" t="s">
        <v>237</v>
      </c>
      <c r="D75" s="6">
        <f>'2011 pax'!Q75</f>
        <v>12105524</v>
      </c>
      <c r="E75" s="10">
        <v>1337874</v>
      </c>
      <c r="F75" s="10">
        <v>1293685</v>
      </c>
      <c r="G75" s="10">
        <v>1152703</v>
      </c>
      <c r="H75" s="10">
        <f>277838+1052670+273592</f>
        <v>1604100</v>
      </c>
      <c r="I75" s="10">
        <f>515594+280479+282359</f>
        <v>1078432</v>
      </c>
      <c r="J75" s="10">
        <f>504366+264776+263544</f>
        <v>1032686</v>
      </c>
      <c r="K75" s="10">
        <f>585190+330069+320557</f>
        <v>1235816</v>
      </c>
      <c r="L75" s="10">
        <f>541943+302038+311463</f>
        <v>1155444</v>
      </c>
      <c r="M75" s="10">
        <f>534482+296745+299852</f>
        <v>1131079</v>
      </c>
      <c r="N75" s="10">
        <f>535948+323151+319150</f>
        <v>1178249</v>
      </c>
      <c r="O75" s="10">
        <f>348109+542189+349189</f>
        <v>1239487</v>
      </c>
      <c r="P75" s="10">
        <f>591787+330364+332911</f>
        <v>1255062</v>
      </c>
      <c r="Q75" s="6">
        <f t="shared" si="2"/>
        <v>14694617</v>
      </c>
      <c r="R75" s="15">
        <f t="shared" si="3"/>
        <v>0.21387698706805258</v>
      </c>
    </row>
    <row r="76" spans="1:18">
      <c r="A76" s="1" t="s">
        <v>236</v>
      </c>
      <c r="B76" s="1" t="s">
        <v>482</v>
      </c>
      <c r="C76" s="1" t="s">
        <v>483</v>
      </c>
      <c r="D76" s="6">
        <f>'2011 pax'!Q76</f>
        <v>377322</v>
      </c>
      <c r="E76" s="10">
        <v>43096</v>
      </c>
      <c r="F76" s="10">
        <v>40738</v>
      </c>
      <c r="G76" s="10">
        <v>35678</v>
      </c>
      <c r="H76" s="10">
        <f>15786+16078</f>
        <v>31864</v>
      </c>
      <c r="I76" s="10">
        <f>15409+16231</f>
        <v>31640</v>
      </c>
      <c r="J76" s="10">
        <f>14571+14008</f>
        <v>28579</v>
      </c>
      <c r="K76" s="10">
        <f>16427+16572</f>
        <v>32999</v>
      </c>
      <c r="L76" s="10">
        <f>17036+16814</f>
        <v>33850</v>
      </c>
      <c r="M76" s="10">
        <f>16805+16626</f>
        <v>33431</v>
      </c>
      <c r="N76" s="10">
        <f>18737+18023</f>
        <v>36760</v>
      </c>
      <c r="O76" s="10">
        <f>20374+20230</f>
        <v>40604</v>
      </c>
      <c r="P76" s="10">
        <f>20886+18474</f>
        <v>39360</v>
      </c>
      <c r="Q76" s="6">
        <f t="shared" si="2"/>
        <v>428599</v>
      </c>
      <c r="R76" s="15">
        <f t="shared" si="3"/>
        <v>0.13589719125839461</v>
      </c>
    </row>
    <row r="77" spans="1:18">
      <c r="A77" s="1" t="s">
        <v>236</v>
      </c>
      <c r="B77" s="1" t="s">
        <v>484</v>
      </c>
      <c r="C77" s="1" t="s">
        <v>485</v>
      </c>
      <c r="D77" s="6">
        <f>'2011 pax'!Q77</f>
        <v>123346</v>
      </c>
      <c r="E77" s="10">
        <v>12693</v>
      </c>
      <c r="F77" s="10">
        <v>13268</v>
      </c>
      <c r="G77" s="10">
        <v>15498</v>
      </c>
      <c r="H77" s="10">
        <f>8180+8112</f>
        <v>16292</v>
      </c>
      <c r="I77" s="10">
        <f>8001+8412</f>
        <v>16413</v>
      </c>
      <c r="J77" s="10">
        <f>6742+6697</f>
        <v>13439</v>
      </c>
      <c r="K77" s="10">
        <f>4783+5145</f>
        <v>9928</v>
      </c>
      <c r="L77" s="10">
        <f>5793+5967</f>
        <v>11760</v>
      </c>
      <c r="M77" s="10">
        <f>6079+6096</f>
        <v>12175</v>
      </c>
      <c r="N77" s="10">
        <f>3716+4193</f>
        <v>7909</v>
      </c>
      <c r="O77" s="10">
        <f>6659+6575</f>
        <v>13234</v>
      </c>
      <c r="P77" s="10">
        <f>4155+4441</f>
        <v>8596</v>
      </c>
      <c r="Q77" s="6">
        <f t="shared" si="2"/>
        <v>151205</v>
      </c>
      <c r="R77" s="15">
        <f t="shared" si="3"/>
        <v>0.22586058729103486</v>
      </c>
    </row>
    <row r="78" spans="1:18">
      <c r="A78" s="1" t="s">
        <v>238</v>
      </c>
      <c r="B78" s="7" t="s">
        <v>264</v>
      </c>
      <c r="C78" s="7" t="s">
        <v>265</v>
      </c>
      <c r="D78" s="6">
        <f>'2011 pax'!Q78</f>
        <v>306911</v>
      </c>
      <c r="E78" s="10">
        <v>34081</v>
      </c>
      <c r="F78" s="10">
        <v>27355</v>
      </c>
      <c r="G78" s="10">
        <f>3932+23441</f>
        <v>27373</v>
      </c>
      <c r="H78" s="10">
        <v>24574</v>
      </c>
      <c r="I78" s="10">
        <v>26911</v>
      </c>
      <c r="J78" s="10">
        <v>26679</v>
      </c>
      <c r="K78" s="10">
        <v>26621</v>
      </c>
      <c r="L78" s="10">
        <v>28252</v>
      </c>
      <c r="M78" s="10">
        <v>25598</v>
      </c>
      <c r="N78" s="10">
        <v>26076</v>
      </c>
      <c r="O78" s="10">
        <v>26118</v>
      </c>
      <c r="P78" s="10">
        <v>24513</v>
      </c>
      <c r="Q78" s="6">
        <f t="shared" si="2"/>
        <v>324151</v>
      </c>
      <c r="R78" s="15">
        <f t="shared" si="3"/>
        <v>5.6172636366894624E-2</v>
      </c>
    </row>
    <row r="79" spans="1:18">
      <c r="A79" s="1" t="s">
        <v>238</v>
      </c>
      <c r="B79" s="7" t="s">
        <v>290</v>
      </c>
      <c r="C79" s="7" t="s">
        <v>291</v>
      </c>
      <c r="D79" s="6">
        <f>'2011 pax'!Q79</f>
        <v>202898</v>
      </c>
      <c r="E79" s="10">
        <v>14683</v>
      </c>
      <c r="F79" s="10">
        <v>15899</v>
      </c>
      <c r="G79" s="10">
        <v>16445</v>
      </c>
      <c r="H79" s="10">
        <v>14699</v>
      </c>
      <c r="I79" s="10">
        <v>16662</v>
      </c>
      <c r="J79" s="10">
        <v>17093</v>
      </c>
      <c r="K79" s="10">
        <v>17585</v>
      </c>
      <c r="L79" s="10">
        <v>17638</v>
      </c>
      <c r="M79" s="10">
        <v>17587</v>
      </c>
      <c r="N79" s="10">
        <v>18958</v>
      </c>
      <c r="O79" s="10">
        <v>18707</v>
      </c>
      <c r="P79" s="10">
        <v>17106</v>
      </c>
      <c r="Q79" s="6">
        <f t="shared" si="2"/>
        <v>203062</v>
      </c>
      <c r="R79" s="15">
        <f t="shared" si="3"/>
        <v>8.0828790821008134E-4</v>
      </c>
    </row>
    <row r="80" spans="1:18">
      <c r="A80" s="1" t="s">
        <v>238</v>
      </c>
      <c r="B80" s="7" t="s">
        <v>260</v>
      </c>
      <c r="C80" s="7" t="s">
        <v>261</v>
      </c>
      <c r="D80" s="6">
        <f>'2011 pax'!Q80</f>
        <v>1640217</v>
      </c>
      <c r="E80" s="10">
        <v>151145</v>
      </c>
      <c r="F80" s="10">
        <v>137500</v>
      </c>
      <c r="G80" s="10">
        <f>17939+121708</f>
        <v>139647</v>
      </c>
      <c r="H80" s="10">
        <v>135012</v>
      </c>
      <c r="I80" s="10">
        <v>136889</v>
      </c>
      <c r="J80" s="10">
        <v>164898</v>
      </c>
      <c r="K80" s="10">
        <v>181711</v>
      </c>
      <c r="L80" s="10">
        <v>181901</v>
      </c>
      <c r="M80" s="10">
        <v>165765</v>
      </c>
      <c r="N80" s="10">
        <v>169344</v>
      </c>
      <c r="O80" s="10">
        <v>169084</v>
      </c>
      <c r="P80" s="10">
        <v>185510</v>
      </c>
      <c r="Q80" s="6">
        <f t="shared" si="2"/>
        <v>1918406</v>
      </c>
      <c r="R80" s="15">
        <f t="shared" si="3"/>
        <v>0.16960499738754087</v>
      </c>
    </row>
    <row r="81" spans="1:18">
      <c r="A81" s="1" t="s">
        <v>238</v>
      </c>
      <c r="B81" s="3" t="s">
        <v>239</v>
      </c>
      <c r="C81" s="3" t="s">
        <v>240</v>
      </c>
      <c r="D81" s="6">
        <f>'2011 pax'!Q81</f>
        <v>20286144</v>
      </c>
      <c r="E81" s="10">
        <v>1460347</v>
      </c>
      <c r="F81" s="10">
        <v>1251196</v>
      </c>
      <c r="G81" s="10">
        <f>396087+958340</f>
        <v>1354427</v>
      </c>
      <c r="H81" s="10">
        <v>1652150</v>
      </c>
      <c r="I81" s="10">
        <v>1736051</v>
      </c>
      <c r="J81" s="10">
        <v>1877198</v>
      </c>
      <c r="K81" s="10">
        <v>2045779</v>
      </c>
      <c r="L81" s="10">
        <v>2029374</v>
      </c>
      <c r="M81" s="10">
        <v>1470178</v>
      </c>
      <c r="N81" s="10">
        <v>1958597</v>
      </c>
      <c r="O81" s="10">
        <v>1964684</v>
      </c>
      <c r="P81" s="10">
        <v>2050769</v>
      </c>
      <c r="Q81" s="6">
        <f t="shared" si="2"/>
        <v>20850750</v>
      </c>
      <c r="R81" s="15">
        <f t="shared" si="3"/>
        <v>2.7832100570714724E-2</v>
      </c>
    </row>
    <row r="82" spans="1:18">
      <c r="A82" s="1" t="s">
        <v>238</v>
      </c>
      <c r="B82" s="7" t="s">
        <v>298</v>
      </c>
      <c r="C82" s="7" t="s">
        <v>299</v>
      </c>
      <c r="D82" s="6">
        <f>'2011 pax'!Q82</f>
        <v>1268924</v>
      </c>
      <c r="E82" s="10">
        <v>110785</v>
      </c>
      <c r="F82" s="10">
        <v>99664</v>
      </c>
      <c r="G82" s="10">
        <f>5412+99704</f>
        <v>105116</v>
      </c>
      <c r="H82" s="10">
        <v>96011</v>
      </c>
      <c r="I82" s="10">
        <v>105532</v>
      </c>
      <c r="J82" s="10">
        <v>116656</v>
      </c>
      <c r="K82" s="10">
        <v>123798</v>
      </c>
      <c r="L82" s="10">
        <v>121431</v>
      </c>
      <c r="M82" s="10">
        <v>118239</v>
      </c>
      <c r="N82" s="10">
        <v>125492</v>
      </c>
      <c r="O82" s="10">
        <v>124892</v>
      </c>
      <c r="P82" s="10">
        <v>123044</v>
      </c>
      <c r="Q82" s="6">
        <f t="shared" si="2"/>
        <v>1370660</v>
      </c>
      <c r="R82" s="15">
        <f t="shared" si="3"/>
        <v>8.0175014421667523E-2</v>
      </c>
    </row>
    <row r="83" spans="1:18">
      <c r="A83" s="1" t="s">
        <v>238</v>
      </c>
      <c r="B83" s="7" t="s">
        <v>272</v>
      </c>
      <c r="C83" s="7" t="s">
        <v>273</v>
      </c>
      <c r="D83" s="6">
        <f>'2011 pax'!Q83</f>
        <v>3239878</v>
      </c>
      <c r="E83" s="10">
        <v>269017</v>
      </c>
      <c r="F83" s="10">
        <v>232303</v>
      </c>
      <c r="G83" s="10">
        <f>52130+211338</f>
        <v>263468</v>
      </c>
      <c r="H83" s="10">
        <v>257558</v>
      </c>
      <c r="I83" s="10">
        <v>270215</v>
      </c>
      <c r="J83" s="10">
        <v>306063</v>
      </c>
      <c r="K83" s="10">
        <v>356582</v>
      </c>
      <c r="L83" s="10">
        <v>356263</v>
      </c>
      <c r="M83" s="10">
        <v>299616</v>
      </c>
      <c r="N83" s="10">
        <v>337557</v>
      </c>
      <c r="O83" s="10">
        <v>332374</v>
      </c>
      <c r="P83" s="10">
        <v>362609</v>
      </c>
      <c r="Q83" s="6">
        <f t="shared" si="2"/>
        <v>3643625</v>
      </c>
      <c r="R83" s="15">
        <f t="shared" si="3"/>
        <v>0.124617964009756</v>
      </c>
    </row>
    <row r="84" spans="1:18">
      <c r="A84" s="1" t="s">
        <v>238</v>
      </c>
      <c r="B84" s="7" t="s">
        <v>254</v>
      </c>
      <c r="C84" s="7" t="s">
        <v>255</v>
      </c>
      <c r="D84" s="6">
        <f>'2011 pax'!Q84</f>
        <v>177457</v>
      </c>
      <c r="E84" s="10">
        <v>14325</v>
      </c>
      <c r="F84" s="10">
        <v>13651</v>
      </c>
      <c r="G84" s="10">
        <v>15202</v>
      </c>
      <c r="H84" s="10">
        <v>13025</v>
      </c>
      <c r="I84" s="10">
        <v>14246</v>
      </c>
      <c r="J84" s="10">
        <v>14456</v>
      </c>
      <c r="K84" s="10">
        <v>14716</v>
      </c>
      <c r="L84" s="10">
        <v>15071</v>
      </c>
      <c r="M84" s="10">
        <v>15175</v>
      </c>
      <c r="N84" s="10">
        <v>15983</v>
      </c>
      <c r="O84" s="10">
        <v>15490</v>
      </c>
      <c r="P84" s="10">
        <v>15305</v>
      </c>
      <c r="Q84" s="6">
        <f t="shared" si="2"/>
        <v>176645</v>
      </c>
      <c r="R84" s="15">
        <f t="shared" si="3"/>
        <v>-4.5757563804189605E-3</v>
      </c>
    </row>
    <row r="85" spans="1:18">
      <c r="A85" s="1" t="s">
        <v>238</v>
      </c>
      <c r="B85" s="7" t="s">
        <v>262</v>
      </c>
      <c r="C85" s="7" t="s">
        <v>263</v>
      </c>
      <c r="D85" s="6">
        <f>'2011 pax'!Q85</f>
        <v>2141264</v>
      </c>
      <c r="E85" s="10">
        <v>213398</v>
      </c>
      <c r="F85" s="10">
        <v>178257</v>
      </c>
      <c r="G85" s="10">
        <f>29149+154601</f>
        <v>183750</v>
      </c>
      <c r="H85" s="10">
        <v>177373</v>
      </c>
      <c r="I85" s="10">
        <v>177530</v>
      </c>
      <c r="J85" s="10">
        <v>234660</v>
      </c>
      <c r="K85" s="10">
        <v>271862</v>
      </c>
      <c r="L85" s="10">
        <v>280716</v>
      </c>
      <c r="M85" s="10">
        <v>252997</v>
      </c>
      <c r="N85" s="10">
        <v>269270</v>
      </c>
      <c r="O85" s="10">
        <v>270256</v>
      </c>
      <c r="P85" s="10">
        <v>297534</v>
      </c>
      <c r="Q85" s="6">
        <f t="shared" si="2"/>
        <v>2807603</v>
      </c>
      <c r="R85" s="15">
        <f t="shared" si="3"/>
        <v>0.31118955906417889</v>
      </c>
    </row>
    <row r="86" spans="1:18">
      <c r="A86" s="1" t="s">
        <v>238</v>
      </c>
      <c r="B86" s="7" t="s">
        <v>282</v>
      </c>
      <c r="C86" s="7" t="s">
        <v>283</v>
      </c>
      <c r="D86" s="6">
        <f>'2011 pax'!Q86</f>
        <v>790648</v>
      </c>
      <c r="E86" s="10">
        <v>83147</v>
      </c>
      <c r="F86" s="10">
        <v>62808</v>
      </c>
      <c r="G86" s="10">
        <f>2276+62496</f>
        <v>64772</v>
      </c>
      <c r="H86" s="10">
        <v>65801</v>
      </c>
      <c r="I86" s="10">
        <v>66671</v>
      </c>
      <c r="J86" s="10">
        <v>76099</v>
      </c>
      <c r="K86" s="10">
        <v>81314</v>
      </c>
      <c r="L86" s="10">
        <v>82597</v>
      </c>
      <c r="M86" s="10">
        <v>75641</v>
      </c>
      <c r="N86" s="10">
        <v>77790</v>
      </c>
      <c r="O86" s="10">
        <v>76784</v>
      </c>
      <c r="P86" s="10">
        <v>83345</v>
      </c>
      <c r="Q86" s="6">
        <f t="shared" si="2"/>
        <v>896769</v>
      </c>
      <c r="R86" s="15">
        <f t="shared" si="3"/>
        <v>0.13422028513320727</v>
      </c>
    </row>
    <row r="87" spans="1:18">
      <c r="A87" s="1" t="s">
        <v>238</v>
      </c>
      <c r="B87" s="7" t="s">
        <v>296</v>
      </c>
      <c r="C87" s="7" t="s">
        <v>297</v>
      </c>
      <c r="D87" s="6">
        <f>'2011 pax'!Q87</f>
        <v>335173</v>
      </c>
      <c r="E87" s="10">
        <v>31188</v>
      </c>
      <c r="F87" s="10">
        <v>32738</v>
      </c>
      <c r="G87" s="10">
        <v>33027</v>
      </c>
      <c r="H87" s="10">
        <v>30236</v>
      </c>
      <c r="I87" s="10">
        <v>31921</v>
      </c>
      <c r="J87" s="10">
        <v>31253</v>
      </c>
      <c r="K87" s="10">
        <v>31948</v>
      </c>
      <c r="L87" s="10">
        <v>34453</v>
      </c>
      <c r="M87" s="10">
        <v>34034</v>
      </c>
      <c r="N87" s="10">
        <v>38272</v>
      </c>
      <c r="O87" s="10">
        <v>39069</v>
      </c>
      <c r="P87" s="10">
        <v>36878</v>
      </c>
      <c r="Q87" s="6">
        <f t="shared" si="2"/>
        <v>405017</v>
      </c>
      <c r="R87" s="15">
        <f t="shared" si="3"/>
        <v>0.20838194007273847</v>
      </c>
    </row>
    <row r="88" spans="1:18">
      <c r="A88" s="1" t="s">
        <v>238</v>
      </c>
      <c r="B88" s="7" t="s">
        <v>292</v>
      </c>
      <c r="C88" s="7" t="s">
        <v>293</v>
      </c>
      <c r="D88" s="6">
        <f>'2011 pax'!Q88</f>
        <v>163006</v>
      </c>
      <c r="E88" s="10">
        <v>12417</v>
      </c>
      <c r="F88" s="10">
        <v>12836</v>
      </c>
      <c r="G88" s="10">
        <v>13900</v>
      </c>
      <c r="H88" s="10">
        <v>10849</v>
      </c>
      <c r="I88" s="10">
        <v>13509</v>
      </c>
      <c r="J88" s="10">
        <v>12737</v>
      </c>
      <c r="K88" s="10">
        <v>13399</v>
      </c>
      <c r="L88" s="10">
        <v>14021</v>
      </c>
      <c r="M88" s="10">
        <v>13124</v>
      </c>
      <c r="N88" s="10">
        <v>13497</v>
      </c>
      <c r="O88" s="10">
        <v>12992</v>
      </c>
      <c r="P88" s="10">
        <v>12240</v>
      </c>
      <c r="Q88" s="6">
        <f t="shared" si="2"/>
        <v>155521</v>
      </c>
      <c r="R88" s="15">
        <f t="shared" si="3"/>
        <v>-4.5918555145209372E-2</v>
      </c>
    </row>
    <row r="89" spans="1:18">
      <c r="A89" s="1" t="s">
        <v>238</v>
      </c>
      <c r="B89" s="7" t="s">
        <v>270</v>
      </c>
      <c r="C89" s="7" t="s">
        <v>271</v>
      </c>
      <c r="D89" s="6">
        <f>'2011 pax'!Q89</f>
        <v>153774</v>
      </c>
      <c r="E89" s="10">
        <v>14089</v>
      </c>
      <c r="F89" s="10">
        <v>11728</v>
      </c>
      <c r="G89" s="10">
        <v>11855</v>
      </c>
      <c r="H89" s="10">
        <v>11898</v>
      </c>
      <c r="I89" s="10">
        <v>10528</v>
      </c>
      <c r="J89" s="10">
        <v>13783</v>
      </c>
      <c r="K89" s="10">
        <v>15410</v>
      </c>
      <c r="L89" s="10">
        <v>13633</v>
      </c>
      <c r="M89" s="10">
        <v>12235</v>
      </c>
      <c r="N89" s="10">
        <v>14356</v>
      </c>
      <c r="O89" s="10">
        <v>14738</v>
      </c>
      <c r="P89" s="10">
        <v>15014</v>
      </c>
      <c r="Q89" s="6">
        <f t="shared" si="2"/>
        <v>159267</v>
      </c>
      <c r="R89" s="15">
        <f t="shared" si="3"/>
        <v>3.5721253267782638E-2</v>
      </c>
    </row>
    <row r="90" spans="1:18">
      <c r="A90" s="1" t="s">
        <v>238</v>
      </c>
      <c r="B90" s="7" t="s">
        <v>294</v>
      </c>
      <c r="C90" s="7" t="s">
        <v>295</v>
      </c>
      <c r="D90" s="6">
        <f>'2011 pax'!Q90</f>
        <v>220385</v>
      </c>
      <c r="E90" s="10">
        <v>19385</v>
      </c>
      <c r="F90" s="10">
        <v>18568</v>
      </c>
      <c r="G90" s="10">
        <f>931+19923</f>
        <v>20854</v>
      </c>
      <c r="H90" s="10">
        <v>16616</v>
      </c>
      <c r="I90" s="10">
        <v>17387</v>
      </c>
      <c r="J90" s="10">
        <v>9458</v>
      </c>
      <c r="K90" s="10">
        <v>19283</v>
      </c>
      <c r="L90" s="10">
        <v>21216</v>
      </c>
      <c r="M90" s="10">
        <v>18700</v>
      </c>
      <c r="N90" s="10">
        <v>17805</v>
      </c>
      <c r="O90" s="10">
        <v>17578</v>
      </c>
      <c r="P90" s="10">
        <v>17952</v>
      </c>
      <c r="Q90" s="6">
        <f t="shared" si="2"/>
        <v>214802</v>
      </c>
      <c r="R90" s="15">
        <f t="shared" si="3"/>
        <v>-2.5332940082129052E-2</v>
      </c>
    </row>
    <row r="91" spans="1:18">
      <c r="A91" s="1" t="s">
        <v>238</v>
      </c>
      <c r="B91" s="7" t="s">
        <v>256</v>
      </c>
      <c r="C91" s="7" t="s">
        <v>257</v>
      </c>
      <c r="D91" s="6">
        <f>'2011 pax'!Q91</f>
        <v>942503</v>
      </c>
      <c r="E91" s="10">
        <v>79856</v>
      </c>
      <c r="F91" s="10">
        <v>68358</v>
      </c>
      <c r="G91" s="10">
        <v>76183</v>
      </c>
      <c r="H91" s="10">
        <v>68980</v>
      </c>
      <c r="I91" s="10">
        <v>74112</v>
      </c>
      <c r="J91" s="10">
        <v>77457</v>
      </c>
      <c r="K91" s="10">
        <v>77812</v>
      </c>
      <c r="L91" s="10">
        <v>78155</v>
      </c>
      <c r="M91" s="10">
        <v>76481</v>
      </c>
      <c r="N91" s="10">
        <v>79933</v>
      </c>
      <c r="O91" s="10">
        <v>80465</v>
      </c>
      <c r="P91" s="10">
        <v>84820</v>
      </c>
      <c r="Q91" s="6">
        <f t="shared" si="2"/>
        <v>922612</v>
      </c>
      <c r="R91" s="15">
        <f t="shared" si="3"/>
        <v>-2.1104442107876542E-2</v>
      </c>
    </row>
    <row r="92" spans="1:18">
      <c r="A92" s="1" t="s">
        <v>238</v>
      </c>
      <c r="B92" s="7" t="s">
        <v>288</v>
      </c>
      <c r="C92" s="7" t="s">
        <v>289</v>
      </c>
      <c r="D92" s="6">
        <f>'2011 pax'!Q92</f>
        <v>568428</v>
      </c>
      <c r="E92" s="10">
        <v>53430</v>
      </c>
      <c r="F92" s="10">
        <v>44517</v>
      </c>
      <c r="G92" s="10">
        <v>44058</v>
      </c>
      <c r="H92" s="10">
        <v>41000</v>
      </c>
      <c r="I92" s="10">
        <v>43484</v>
      </c>
      <c r="J92" s="10">
        <v>46895</v>
      </c>
      <c r="K92" s="10">
        <v>49315</v>
      </c>
      <c r="L92" s="10">
        <v>45714</v>
      </c>
      <c r="M92" s="10">
        <v>44730</v>
      </c>
      <c r="N92" s="10">
        <v>50505</v>
      </c>
      <c r="O92" s="10">
        <v>48518</v>
      </c>
      <c r="P92" s="10">
        <v>52409</v>
      </c>
      <c r="Q92" s="6">
        <f t="shared" si="2"/>
        <v>564575</v>
      </c>
      <c r="R92" s="15">
        <f t="shared" si="3"/>
        <v>-6.7783430795105293E-3</v>
      </c>
    </row>
    <row r="93" spans="1:18">
      <c r="A93" s="1" t="s">
        <v>238</v>
      </c>
      <c r="B93" s="7" t="s">
        <v>274</v>
      </c>
      <c r="C93" s="7" t="s">
        <v>275</v>
      </c>
      <c r="D93" s="6">
        <f>'2011 pax'!Q93</f>
        <v>290010</v>
      </c>
      <c r="E93" s="10">
        <v>23303</v>
      </c>
      <c r="F93" s="10">
        <v>23867</v>
      </c>
      <c r="G93" s="10">
        <v>26457</v>
      </c>
      <c r="H93" s="10">
        <v>23397</v>
      </c>
      <c r="I93" s="10">
        <v>26306</v>
      </c>
      <c r="J93" s="10">
        <v>25147</v>
      </c>
      <c r="K93" s="10">
        <v>24842</v>
      </c>
      <c r="L93" s="10">
        <v>26522</v>
      </c>
      <c r="M93" s="10">
        <v>26078</v>
      </c>
      <c r="N93" s="10">
        <v>28224</v>
      </c>
      <c r="O93" s="10">
        <v>26544</v>
      </c>
      <c r="P93" s="10">
        <v>25722</v>
      </c>
      <c r="Q93" s="6">
        <f t="shared" si="2"/>
        <v>306409</v>
      </c>
      <c r="R93" s="15">
        <f t="shared" si="3"/>
        <v>5.6546325988759083E-2</v>
      </c>
    </row>
    <row r="94" spans="1:18">
      <c r="A94" s="1" t="s">
        <v>238</v>
      </c>
      <c r="B94" s="7" t="s">
        <v>524</v>
      </c>
      <c r="C94" s="7" t="s">
        <v>267</v>
      </c>
      <c r="D94" s="6">
        <f>'2011 pax'!Q94</f>
        <v>864921</v>
      </c>
      <c r="E94" s="10">
        <v>75057</v>
      </c>
      <c r="F94" s="10">
        <v>69215</v>
      </c>
      <c r="G94" s="10">
        <f>10550+61003</f>
        <v>71553</v>
      </c>
      <c r="H94" s="10">
        <v>66297</v>
      </c>
      <c r="I94" s="10">
        <v>72141</v>
      </c>
      <c r="J94" s="10">
        <v>86918</v>
      </c>
      <c r="K94" s="10">
        <v>92242</v>
      </c>
      <c r="L94" s="10">
        <v>95520</v>
      </c>
      <c r="M94" s="10">
        <v>83372</v>
      </c>
      <c r="N94" s="10">
        <v>89803</v>
      </c>
      <c r="O94" s="10">
        <v>91461</v>
      </c>
      <c r="P94" s="10">
        <v>94314</v>
      </c>
      <c r="Q94" s="6">
        <f t="shared" si="2"/>
        <v>987893</v>
      </c>
      <c r="R94" s="15">
        <f t="shared" si="3"/>
        <v>0.1421771468145645</v>
      </c>
    </row>
    <row r="95" spans="1:18">
      <c r="A95" s="1" t="s">
        <v>238</v>
      </c>
      <c r="B95" s="7" t="s">
        <v>280</v>
      </c>
      <c r="C95" s="7" t="s">
        <v>281</v>
      </c>
      <c r="D95" s="6">
        <f>'2011 pax'!Q95</f>
        <v>235318</v>
      </c>
      <c r="E95" s="10">
        <v>19942</v>
      </c>
      <c r="F95" s="10">
        <v>17665</v>
      </c>
      <c r="G95" s="10">
        <v>18441</v>
      </c>
      <c r="H95" s="10">
        <v>16748</v>
      </c>
      <c r="I95" s="10">
        <v>18438</v>
      </c>
      <c r="J95" s="10">
        <v>19238</v>
      </c>
      <c r="K95" s="10">
        <v>21389</v>
      </c>
      <c r="L95" s="10">
        <v>20150</v>
      </c>
      <c r="M95" s="10">
        <v>18915</v>
      </c>
      <c r="N95" s="10">
        <v>19874</v>
      </c>
      <c r="O95" s="10">
        <v>20357</v>
      </c>
      <c r="P95" s="10">
        <v>19181</v>
      </c>
      <c r="Q95" s="6">
        <f t="shared" si="2"/>
        <v>230338</v>
      </c>
      <c r="R95" s="15">
        <f t="shared" si="3"/>
        <v>-2.1162851970525032E-2</v>
      </c>
    </row>
    <row r="96" spans="1:18">
      <c r="A96" s="1" t="s">
        <v>238</v>
      </c>
      <c r="B96" s="7" t="s">
        <v>286</v>
      </c>
      <c r="C96" s="7" t="s">
        <v>287</v>
      </c>
      <c r="D96" s="6">
        <f>'2011 pax'!Q96</f>
        <v>284652</v>
      </c>
      <c r="E96" s="10">
        <v>25668</v>
      </c>
      <c r="F96" s="10">
        <v>20026</v>
      </c>
      <c r="G96" s="10">
        <v>22329</v>
      </c>
      <c r="H96" s="10">
        <v>22092</v>
      </c>
      <c r="I96" s="10">
        <v>22858</v>
      </c>
      <c r="J96" s="10">
        <v>26498</v>
      </c>
      <c r="K96" s="10">
        <v>26384</v>
      </c>
      <c r="L96" s="10">
        <v>24060</v>
      </c>
      <c r="M96" s="10">
        <v>24751</v>
      </c>
      <c r="N96" s="10">
        <v>27251</v>
      </c>
      <c r="O96" s="10">
        <v>27395</v>
      </c>
      <c r="P96" s="10">
        <v>33448</v>
      </c>
      <c r="Q96" s="6">
        <f t="shared" si="2"/>
        <v>302760</v>
      </c>
      <c r="R96" s="15">
        <f t="shared" si="3"/>
        <v>6.3614518780827023E-2</v>
      </c>
    </row>
    <row r="97" spans="1:19">
      <c r="A97" s="1" t="s">
        <v>238</v>
      </c>
      <c r="B97" s="7" t="s">
        <v>525</v>
      </c>
      <c r="C97" s="7" t="s">
        <v>259</v>
      </c>
      <c r="D97" s="6">
        <f>'2011 pax'!Q97</f>
        <v>3714907</v>
      </c>
      <c r="E97" s="10">
        <v>321180</v>
      </c>
      <c r="F97" s="10">
        <v>279933</v>
      </c>
      <c r="G97" s="10">
        <f>65064+244684</f>
        <v>309748</v>
      </c>
      <c r="H97" s="10">
        <v>300109</v>
      </c>
      <c r="I97" s="10">
        <v>336447</v>
      </c>
      <c r="J97" s="10">
        <v>430071</v>
      </c>
      <c r="K97" s="10">
        <v>460119</v>
      </c>
      <c r="L97" s="10">
        <v>503413</v>
      </c>
      <c r="M97" s="10">
        <v>424076</v>
      </c>
      <c r="N97" s="10">
        <v>512435</v>
      </c>
      <c r="O97" s="10">
        <v>526239</v>
      </c>
      <c r="P97" s="10">
        <v>582681</v>
      </c>
      <c r="Q97" s="6">
        <f t="shared" si="2"/>
        <v>4986451</v>
      </c>
      <c r="R97" s="15">
        <f t="shared" si="3"/>
        <v>0.34228151606487045</v>
      </c>
    </row>
    <row r="98" spans="1:19">
      <c r="A98" s="1" t="s">
        <v>238</v>
      </c>
      <c r="B98" s="7" t="s">
        <v>268</v>
      </c>
      <c r="C98" s="7" t="s">
        <v>269</v>
      </c>
      <c r="D98" s="6">
        <f>'2011 pax'!Q98</f>
        <v>1085696</v>
      </c>
      <c r="E98" s="10">
        <v>120565</v>
      </c>
      <c r="F98" s="10">
        <v>94079</v>
      </c>
      <c r="G98" s="10">
        <f>9729+83135</f>
        <v>92864</v>
      </c>
      <c r="H98" s="10">
        <v>84704</v>
      </c>
      <c r="I98" s="10">
        <v>86337</v>
      </c>
      <c r="J98" s="10">
        <v>106159</v>
      </c>
      <c r="K98" s="10">
        <v>116977</v>
      </c>
      <c r="L98" s="10">
        <v>113337</v>
      </c>
      <c r="M98" s="10">
        <v>103687</v>
      </c>
      <c r="N98" s="10">
        <v>112604</v>
      </c>
      <c r="O98" s="10">
        <v>112090</v>
      </c>
      <c r="P98" s="10">
        <v>133440</v>
      </c>
      <c r="Q98" s="6">
        <f t="shared" si="2"/>
        <v>1276843</v>
      </c>
      <c r="R98" s="15">
        <f t="shared" si="3"/>
        <v>0.17605941257958024</v>
      </c>
    </row>
    <row r="99" spans="1:19">
      <c r="A99" s="1" t="s">
        <v>238</v>
      </c>
      <c r="B99" s="7" t="s">
        <v>276</v>
      </c>
      <c r="C99" s="7" t="s">
        <v>277</v>
      </c>
      <c r="D99" s="6">
        <f>'2011 pax'!Q99</f>
        <v>866601</v>
      </c>
      <c r="E99" s="10">
        <v>98385</v>
      </c>
      <c r="F99" s="10">
        <v>76108</v>
      </c>
      <c r="G99" s="10">
        <f>1246+75646</f>
        <v>76892</v>
      </c>
      <c r="H99" s="10">
        <v>73178</v>
      </c>
      <c r="I99" s="10">
        <v>73328</v>
      </c>
      <c r="J99" s="10">
        <v>84468</v>
      </c>
      <c r="K99" s="10">
        <v>90259</v>
      </c>
      <c r="L99" s="10">
        <v>83826</v>
      </c>
      <c r="M99" s="10">
        <v>69484</v>
      </c>
      <c r="N99" s="10">
        <v>84930</v>
      </c>
      <c r="O99" s="10">
        <v>91090</v>
      </c>
      <c r="P99" s="10">
        <v>109864</v>
      </c>
      <c r="Q99" s="6">
        <f t="shared" si="2"/>
        <v>1011812</v>
      </c>
      <c r="R99" s="15">
        <f t="shared" si="3"/>
        <v>0.16756385003017527</v>
      </c>
    </row>
    <row r="100" spans="1:19">
      <c r="A100" s="1" t="s">
        <v>238</v>
      </c>
      <c r="B100" s="7" t="s">
        <v>284</v>
      </c>
      <c r="C100" s="7" t="s">
        <v>285</v>
      </c>
      <c r="D100" s="6">
        <f>'2011 pax'!Q100</f>
        <v>286199</v>
      </c>
      <c r="E100" s="10">
        <v>26123</v>
      </c>
      <c r="F100" s="10">
        <v>20921</v>
      </c>
      <c r="G100" s="10">
        <v>21240</v>
      </c>
      <c r="H100" s="10">
        <v>24565</v>
      </c>
      <c r="I100" s="10">
        <v>21909</v>
      </c>
      <c r="J100" s="10">
        <v>24202</v>
      </c>
      <c r="K100" s="10">
        <v>28902</v>
      </c>
      <c r="L100" s="10">
        <v>26225</v>
      </c>
      <c r="M100" s="10">
        <v>24902</v>
      </c>
      <c r="N100" s="10">
        <v>27477</v>
      </c>
      <c r="O100" s="10">
        <v>26876</v>
      </c>
      <c r="P100" s="10">
        <v>26572</v>
      </c>
      <c r="Q100" s="6">
        <f t="shared" si="2"/>
        <v>299914</v>
      </c>
      <c r="R100" s="15">
        <f t="shared" si="3"/>
        <v>4.7921201681347503E-2</v>
      </c>
    </row>
    <row r="101" spans="1:19">
      <c r="A101" s="1" t="s">
        <v>238</v>
      </c>
      <c r="B101" s="7" t="s">
        <v>278</v>
      </c>
      <c r="C101" s="7" t="s">
        <v>279</v>
      </c>
      <c r="D101" s="6">
        <f>'2011 pax'!Q101</f>
        <v>115816</v>
      </c>
      <c r="E101" s="10">
        <v>9926</v>
      </c>
      <c r="F101" s="10">
        <v>9960</v>
      </c>
      <c r="G101" s="10">
        <v>10347</v>
      </c>
      <c r="H101" s="10">
        <v>8870</v>
      </c>
      <c r="I101" s="10">
        <v>9988</v>
      </c>
      <c r="J101" s="10">
        <v>10033</v>
      </c>
      <c r="K101" s="10">
        <v>10275</v>
      </c>
      <c r="L101" s="10">
        <v>10751</v>
      </c>
      <c r="M101" s="10">
        <v>10890</v>
      </c>
      <c r="N101" s="10">
        <v>12942</v>
      </c>
      <c r="O101" s="10">
        <v>14667</v>
      </c>
      <c r="P101" s="10">
        <v>12200</v>
      </c>
      <c r="Q101" s="6">
        <f t="shared" si="2"/>
        <v>130849</v>
      </c>
      <c r="R101" s="15">
        <f t="shared" si="3"/>
        <v>0.12980071838088003</v>
      </c>
    </row>
    <row r="102" spans="1:19">
      <c r="A102" s="1" t="s">
        <v>241</v>
      </c>
      <c r="B102" s="3" t="s">
        <v>529</v>
      </c>
      <c r="C102" s="3" t="s">
        <v>250</v>
      </c>
      <c r="D102" s="6"/>
      <c r="E102" s="10">
        <v>24627</v>
      </c>
      <c r="F102" s="10">
        <v>24075</v>
      </c>
      <c r="G102" s="10">
        <v>21257</v>
      </c>
      <c r="H102" s="10">
        <v>11036</v>
      </c>
      <c r="I102" s="10">
        <v>6669</v>
      </c>
      <c r="J102" s="10">
        <v>6571</v>
      </c>
      <c r="K102" s="10">
        <v>8382</v>
      </c>
      <c r="L102" s="10">
        <v>8391</v>
      </c>
      <c r="M102" s="10">
        <v>5581</v>
      </c>
      <c r="N102" s="10">
        <v>5066</v>
      </c>
      <c r="O102" s="10">
        <v>8422</v>
      </c>
      <c r="P102" s="10">
        <v>9415</v>
      </c>
      <c r="Q102" s="6">
        <f t="shared" si="2"/>
        <v>139492</v>
      </c>
    </row>
    <row r="103" spans="1:19">
      <c r="A103" s="1" t="s">
        <v>241</v>
      </c>
      <c r="B103" s="3" t="s">
        <v>245</v>
      </c>
      <c r="C103" s="3" t="s">
        <v>246</v>
      </c>
      <c r="D103" s="6"/>
      <c r="E103" s="10">
        <v>79061</v>
      </c>
      <c r="F103" s="10">
        <v>77147</v>
      </c>
      <c r="G103" s="10">
        <v>96873</v>
      </c>
      <c r="H103" s="10">
        <v>91457</v>
      </c>
      <c r="I103" s="10">
        <v>82448</v>
      </c>
      <c r="J103" s="10"/>
      <c r="K103" s="10"/>
      <c r="L103" s="10"/>
      <c r="M103" s="10"/>
      <c r="N103" s="10"/>
      <c r="O103" s="10"/>
      <c r="P103" s="10"/>
      <c r="Q103" s="6">
        <f t="shared" si="2"/>
        <v>426986</v>
      </c>
    </row>
    <row r="104" spans="1:19">
      <c r="A104" s="1" t="s">
        <v>241</v>
      </c>
      <c r="B104" s="3" t="s">
        <v>530</v>
      </c>
      <c r="C104" s="3" t="s">
        <v>247</v>
      </c>
      <c r="D104" s="6"/>
      <c r="E104" s="10">
        <v>281897</v>
      </c>
      <c r="F104" s="10">
        <v>239086</v>
      </c>
      <c r="G104" s="10">
        <v>264166</v>
      </c>
      <c r="H104" s="10">
        <v>261996</v>
      </c>
      <c r="I104" s="10">
        <v>241164</v>
      </c>
      <c r="J104" s="10">
        <v>270660</v>
      </c>
      <c r="K104" s="10">
        <v>320914</v>
      </c>
      <c r="L104" s="10">
        <v>297136</v>
      </c>
      <c r="M104" s="10">
        <v>238802</v>
      </c>
      <c r="N104" s="10">
        <v>220708</v>
      </c>
      <c r="O104" s="10">
        <v>234812</v>
      </c>
      <c r="P104" s="10">
        <v>269992</v>
      </c>
      <c r="Q104" s="6">
        <f t="shared" si="2"/>
        <v>3141333</v>
      </c>
    </row>
    <row r="105" spans="1:19">
      <c r="A105" s="1" t="s">
        <v>241</v>
      </c>
      <c r="B105" s="3" t="s">
        <v>248</v>
      </c>
      <c r="C105" s="3" t="s">
        <v>249</v>
      </c>
      <c r="D105" s="6"/>
      <c r="E105" s="10">
        <v>19457</v>
      </c>
      <c r="F105" s="10">
        <v>17864</v>
      </c>
      <c r="G105" s="10">
        <v>16896</v>
      </c>
      <c r="H105" s="10">
        <v>14424</v>
      </c>
      <c r="I105" s="10">
        <v>7930</v>
      </c>
      <c r="J105" s="10"/>
      <c r="K105" s="10"/>
      <c r="L105" s="10"/>
      <c r="M105" s="10"/>
      <c r="N105" s="10"/>
      <c r="O105" s="10"/>
      <c r="P105" s="10"/>
      <c r="Q105" s="6">
        <f t="shared" si="2"/>
        <v>76571</v>
      </c>
    </row>
    <row r="106" spans="1:19">
      <c r="A106" s="1" t="s">
        <v>241</v>
      </c>
      <c r="B106" s="3" t="s">
        <v>531</v>
      </c>
      <c r="C106" s="3" t="s">
        <v>242</v>
      </c>
      <c r="D106" s="6"/>
      <c r="E106" s="10">
        <v>100260</v>
      </c>
      <c r="F106" s="10">
        <v>97123</v>
      </c>
      <c r="G106" s="10">
        <v>105452</v>
      </c>
      <c r="H106" s="10">
        <v>78341</v>
      </c>
      <c r="I106" s="10">
        <v>49381</v>
      </c>
      <c r="J106" s="10">
        <v>49408</v>
      </c>
      <c r="K106" s="10">
        <v>51768</v>
      </c>
      <c r="L106" s="10">
        <v>51527</v>
      </c>
      <c r="M106" s="10">
        <v>39997</v>
      </c>
      <c r="N106" s="10">
        <v>37986</v>
      </c>
      <c r="O106" s="10">
        <v>45755</v>
      </c>
      <c r="P106" s="10">
        <v>63132</v>
      </c>
      <c r="Q106" s="6">
        <f t="shared" si="2"/>
        <v>770130</v>
      </c>
    </row>
    <row r="107" spans="1:19">
      <c r="A107" s="1" t="s">
        <v>241</v>
      </c>
      <c r="B107" s="3" t="s">
        <v>243</v>
      </c>
      <c r="C107" s="3" t="s">
        <v>244</v>
      </c>
      <c r="D107" s="6"/>
      <c r="E107" s="10">
        <v>383727</v>
      </c>
      <c r="F107" s="10">
        <v>367929</v>
      </c>
      <c r="G107" s="10">
        <v>414098</v>
      </c>
      <c r="H107" s="10">
        <v>370436</v>
      </c>
      <c r="I107" s="10">
        <v>261605</v>
      </c>
      <c r="J107" s="10"/>
      <c r="K107" s="10"/>
      <c r="L107" s="10"/>
      <c r="M107" s="10"/>
      <c r="N107" s="10"/>
      <c r="O107" s="10"/>
      <c r="P107" s="10"/>
      <c r="Q107" s="6">
        <f t="shared" si="2"/>
        <v>1797795</v>
      </c>
    </row>
    <row r="108" spans="1:19">
      <c r="A108" s="3" t="s">
        <v>341</v>
      </c>
      <c r="B108" s="3" t="s">
        <v>342</v>
      </c>
      <c r="C108" s="3" t="s">
        <v>343</v>
      </c>
      <c r="D108" s="6">
        <f>'2011 pax'!Q108</f>
        <v>4159424</v>
      </c>
      <c r="E108" s="10">
        <v>342519</v>
      </c>
      <c r="F108" s="10">
        <v>316017</v>
      </c>
      <c r="G108" s="10">
        <v>343105</v>
      </c>
      <c r="H108" s="10">
        <v>298874</v>
      </c>
      <c r="I108" s="10">
        <v>298373</v>
      </c>
      <c r="J108" s="10">
        <v>298738</v>
      </c>
      <c r="K108" s="10">
        <v>324471</v>
      </c>
      <c r="L108" s="10">
        <v>340387</v>
      </c>
      <c r="M108" s="10">
        <v>309288</v>
      </c>
      <c r="N108" s="10"/>
      <c r="O108" s="10"/>
      <c r="P108" s="10"/>
      <c r="Q108" s="6">
        <f t="shared" si="2"/>
        <v>2871772</v>
      </c>
      <c r="S108" s="20"/>
    </row>
    <row r="109" spans="1:19">
      <c r="A109" s="1" t="s">
        <v>251</v>
      </c>
      <c r="B109" s="3" t="s">
        <v>361</v>
      </c>
      <c r="C109" s="3" t="s">
        <v>252</v>
      </c>
      <c r="D109" s="6"/>
      <c r="E109" s="10">
        <v>184340</v>
      </c>
      <c r="F109" s="10">
        <v>160443</v>
      </c>
      <c r="G109" s="10">
        <v>182855</v>
      </c>
      <c r="H109" s="10">
        <v>172987</v>
      </c>
      <c r="I109" s="10">
        <v>165888</v>
      </c>
      <c r="J109" s="10">
        <v>168861</v>
      </c>
      <c r="K109" s="10">
        <v>195388</v>
      </c>
      <c r="L109" s="10">
        <v>188708</v>
      </c>
      <c r="M109" s="10">
        <v>146489</v>
      </c>
      <c r="N109" s="10">
        <v>153908</v>
      </c>
      <c r="O109" s="10">
        <v>194770</v>
      </c>
      <c r="P109" s="10">
        <v>197103</v>
      </c>
      <c r="Q109" s="6">
        <f t="shared" si="2"/>
        <v>2111740</v>
      </c>
    </row>
    <row r="110" spans="1:19">
      <c r="A110" s="1" t="s">
        <v>334</v>
      </c>
      <c r="B110" s="7" t="s">
        <v>335</v>
      </c>
      <c r="C110" s="7" t="s">
        <v>336</v>
      </c>
      <c r="D110" s="6">
        <f>'2011 pax'!Q110</f>
        <v>2033020</v>
      </c>
      <c r="E110" s="10">
        <v>191059</v>
      </c>
      <c r="F110" s="10">
        <v>190370</v>
      </c>
      <c r="G110" s="10">
        <v>181858</v>
      </c>
      <c r="H110" s="10">
        <v>184415</v>
      </c>
      <c r="I110" s="10">
        <v>132480</v>
      </c>
      <c r="J110" s="10">
        <v>125375</v>
      </c>
      <c r="K110" s="10">
        <v>197322</v>
      </c>
      <c r="L110" s="10">
        <v>210760</v>
      </c>
      <c r="M110" s="22">
        <v>112490</v>
      </c>
      <c r="N110" s="10">
        <v>111251</v>
      </c>
      <c r="O110" s="10">
        <v>135932</v>
      </c>
      <c r="P110" s="10">
        <v>171347</v>
      </c>
      <c r="Q110" s="6">
        <f t="shared" si="2"/>
        <v>1944659</v>
      </c>
      <c r="R110" s="15">
        <f t="shared" si="3"/>
        <v>-4.3462927074008118E-2</v>
      </c>
    </row>
    <row r="111" spans="1:19">
      <c r="A111" s="1" t="s">
        <v>331</v>
      </c>
      <c r="B111" s="7" t="s">
        <v>332</v>
      </c>
      <c r="C111" s="7" t="s">
        <v>333</v>
      </c>
      <c r="D111" s="6">
        <f>'2011 pax'!Q111</f>
        <v>1727550</v>
      </c>
      <c r="E111" s="10">
        <v>157457</v>
      </c>
      <c r="F111" s="10">
        <v>159973</v>
      </c>
      <c r="G111" s="22">
        <v>148150</v>
      </c>
      <c r="H111" s="22">
        <v>148421</v>
      </c>
      <c r="I111" s="22">
        <v>115056</v>
      </c>
      <c r="J111" s="22">
        <v>104916</v>
      </c>
      <c r="K111" s="22">
        <v>173320</v>
      </c>
      <c r="L111" s="22">
        <v>186106</v>
      </c>
      <c r="M111" s="22">
        <v>94280</v>
      </c>
      <c r="N111" s="22">
        <v>92796</v>
      </c>
      <c r="O111" s="10">
        <v>113622</v>
      </c>
      <c r="P111" s="10">
        <v>144327</v>
      </c>
      <c r="Q111" s="6">
        <f t="shared" si="2"/>
        <v>1638424</v>
      </c>
      <c r="R111" s="15">
        <f t="shared" si="3"/>
        <v>-5.1590981447715012E-2</v>
      </c>
    </row>
    <row r="112" spans="1:19" ht="15.75">
      <c r="A112" s="1" t="s">
        <v>85</v>
      </c>
      <c r="B112" s="1" t="s">
        <v>364</v>
      </c>
      <c r="C112" s="1" t="s">
        <v>126</v>
      </c>
      <c r="D112" s="6">
        <f>'2011 pax'!Q112</f>
        <v>605326</v>
      </c>
      <c r="E112" s="10">
        <v>53560</v>
      </c>
      <c r="F112" s="10">
        <v>47991</v>
      </c>
      <c r="G112" s="10">
        <v>51117</v>
      </c>
      <c r="H112" s="10">
        <v>49345</v>
      </c>
      <c r="I112" s="21">
        <v>40814</v>
      </c>
      <c r="J112" s="10">
        <v>35682</v>
      </c>
      <c r="K112" s="10">
        <v>52552</v>
      </c>
      <c r="L112" s="10">
        <v>42977</v>
      </c>
      <c r="M112" s="10">
        <v>35652</v>
      </c>
      <c r="N112" s="10">
        <v>40330</v>
      </c>
      <c r="O112" s="10">
        <v>46330</v>
      </c>
      <c r="P112" s="10">
        <v>50601</v>
      </c>
      <c r="Q112" s="6">
        <f t="shared" si="2"/>
        <v>546951</v>
      </c>
      <c r="R112" s="15">
        <f t="shared" si="3"/>
        <v>-9.6435639638806192E-2</v>
      </c>
    </row>
    <row r="113" spans="1:18">
      <c r="A113" s="1" t="s">
        <v>85</v>
      </c>
      <c r="B113" s="1" t="s">
        <v>377</v>
      </c>
      <c r="C113" s="1" t="s">
        <v>121</v>
      </c>
      <c r="D113" s="6">
        <f>'2011 pax'!Q113</f>
        <v>328600</v>
      </c>
      <c r="E113" s="10">
        <v>27400</v>
      </c>
      <c r="F113" s="10">
        <v>25400</v>
      </c>
      <c r="G113" s="10">
        <v>30000</v>
      </c>
      <c r="H113" s="10">
        <v>33800</v>
      </c>
      <c r="I113" s="10">
        <v>36500</v>
      </c>
      <c r="J113" s="10">
        <v>35100</v>
      </c>
      <c r="K113" s="10">
        <v>41800</v>
      </c>
      <c r="L113" s="10">
        <v>37100</v>
      </c>
      <c r="M113" s="10">
        <v>31500</v>
      </c>
      <c r="N113" s="10">
        <v>33300</v>
      </c>
      <c r="O113" s="10">
        <v>33600</v>
      </c>
      <c r="P113" s="10">
        <v>34400</v>
      </c>
      <c r="Q113" s="6">
        <f t="shared" si="2"/>
        <v>399900</v>
      </c>
      <c r="R113" s="15">
        <f t="shared" si="3"/>
        <v>0.21698113207547176</v>
      </c>
    </row>
    <row r="114" spans="1:18">
      <c r="A114" s="1" t="s">
        <v>85</v>
      </c>
      <c r="B114" s="1" t="s">
        <v>88</v>
      </c>
      <c r="C114" s="1" t="s">
        <v>89</v>
      </c>
      <c r="D114" s="6">
        <f>'2011 pax'!Q114</f>
        <v>13022481</v>
      </c>
      <c r="E114" s="10">
        <v>1273995</v>
      </c>
      <c r="F114" s="10">
        <v>1223812</v>
      </c>
      <c r="G114" s="10">
        <v>1405167</v>
      </c>
      <c r="H114" s="10">
        <v>1292805</v>
      </c>
      <c r="I114" s="10">
        <v>1103211</v>
      </c>
      <c r="J114" s="10">
        <v>1172101</v>
      </c>
      <c r="K114" s="10">
        <v>1448237</v>
      </c>
      <c r="L114" s="10">
        <v>1254194</v>
      </c>
      <c r="M114" s="10">
        <v>868927</v>
      </c>
      <c r="N114" s="10">
        <v>933230</v>
      </c>
      <c r="O114" s="10">
        <v>1116031</v>
      </c>
      <c r="P114" s="10">
        <v>1371725</v>
      </c>
      <c r="Q114" s="6">
        <f t="shared" si="2"/>
        <v>14463435</v>
      </c>
      <c r="R114" s="15">
        <f t="shared" si="3"/>
        <v>0.11065126530036795</v>
      </c>
    </row>
    <row r="115" spans="1:18" ht="15.75">
      <c r="A115" s="1" t="s">
        <v>85</v>
      </c>
      <c r="B115" s="1" t="s">
        <v>365</v>
      </c>
      <c r="C115" s="1" t="s">
        <v>129</v>
      </c>
      <c r="D115" s="6">
        <f>'2011 pax'!Q115</f>
        <v>782133</v>
      </c>
      <c r="E115" s="10">
        <v>58963</v>
      </c>
      <c r="F115" s="10">
        <v>58311</v>
      </c>
      <c r="G115" s="10">
        <v>69266</v>
      </c>
      <c r="H115" s="10">
        <v>66746</v>
      </c>
      <c r="I115" s="10">
        <v>65813</v>
      </c>
      <c r="J115" s="10">
        <v>66928</v>
      </c>
      <c r="K115" s="10">
        <v>92048</v>
      </c>
      <c r="L115" s="10">
        <v>85487</v>
      </c>
      <c r="M115" s="10">
        <v>71168</v>
      </c>
      <c r="N115" s="10">
        <v>79208</v>
      </c>
      <c r="O115" s="10">
        <v>70592</v>
      </c>
      <c r="P115" s="10">
        <v>107952</v>
      </c>
      <c r="Q115" s="6">
        <f t="shared" si="2"/>
        <v>892482</v>
      </c>
      <c r="R115" s="15">
        <f t="shared" si="3"/>
        <v>0.14108725753804019</v>
      </c>
    </row>
    <row r="116" spans="1:18" ht="15.75">
      <c r="A116" s="1" t="s">
        <v>85</v>
      </c>
      <c r="B116" s="1" t="s">
        <v>366</v>
      </c>
      <c r="C116" s="1" t="s">
        <v>127</v>
      </c>
      <c r="D116" s="6">
        <f>'2011 pax'!Q116</f>
        <v>673364</v>
      </c>
      <c r="E116" s="10">
        <v>54307</v>
      </c>
      <c r="F116" s="10">
        <v>50886</v>
      </c>
      <c r="G116" s="10">
        <v>58401</v>
      </c>
      <c r="H116" s="10">
        <v>52590</v>
      </c>
      <c r="I116" s="10">
        <v>55067</v>
      </c>
      <c r="J116" s="10">
        <v>57639</v>
      </c>
      <c r="K116" s="10">
        <v>71086</v>
      </c>
      <c r="L116" s="10">
        <v>63454</v>
      </c>
      <c r="M116" s="10">
        <v>56298</v>
      </c>
      <c r="N116" s="10">
        <v>58604</v>
      </c>
      <c r="O116" s="10">
        <v>58293</v>
      </c>
      <c r="P116" s="10">
        <v>62769</v>
      </c>
      <c r="Q116" s="6">
        <f t="shared" si="2"/>
        <v>699394</v>
      </c>
      <c r="R116" s="15">
        <f t="shared" si="3"/>
        <v>3.865665524144446E-2</v>
      </c>
    </row>
    <row r="117" spans="1:18">
      <c r="A117" s="1" t="s">
        <v>85</v>
      </c>
      <c r="B117" s="1" t="s">
        <v>97</v>
      </c>
      <c r="C117" s="1" t="s">
        <v>98</v>
      </c>
      <c r="D117" s="6">
        <f>'2011 pax'!Q117</f>
        <v>441692</v>
      </c>
      <c r="E117" s="10">
        <v>43159</v>
      </c>
      <c r="F117" s="10">
        <v>47923</v>
      </c>
      <c r="G117" s="10">
        <v>65354</v>
      </c>
      <c r="H117" s="10">
        <v>45396</v>
      </c>
      <c r="I117" s="10">
        <v>32798</v>
      </c>
      <c r="J117" s="10">
        <v>43587</v>
      </c>
      <c r="K117" s="10">
        <v>47509</v>
      </c>
      <c r="L117" s="10">
        <v>30630</v>
      </c>
      <c r="M117" s="10">
        <v>15716</v>
      </c>
      <c r="N117" s="10">
        <v>17807</v>
      </c>
      <c r="O117" s="10">
        <v>27951</v>
      </c>
      <c r="P117" s="10">
        <v>39439</v>
      </c>
      <c r="Q117" s="6">
        <f t="shared" si="2"/>
        <v>457269</v>
      </c>
      <c r="R117" s="15">
        <f t="shared" si="3"/>
        <v>3.5266656403104335E-2</v>
      </c>
    </row>
    <row r="118" spans="1:18" ht="15.75">
      <c r="A118" s="1" t="s">
        <v>85</v>
      </c>
      <c r="B118" s="1" t="s">
        <v>367</v>
      </c>
      <c r="C118" s="1" t="s">
        <v>125</v>
      </c>
      <c r="D118" s="6">
        <f>'2011 pax'!Q118</f>
        <v>1070706</v>
      </c>
      <c r="E118" s="10">
        <v>83974</v>
      </c>
      <c r="F118" s="10">
        <v>83481</v>
      </c>
      <c r="G118" s="10">
        <v>95522</v>
      </c>
      <c r="H118" s="10">
        <v>98170</v>
      </c>
      <c r="I118" s="10">
        <v>97449</v>
      </c>
      <c r="J118" s="10">
        <v>94928</v>
      </c>
      <c r="K118" s="10">
        <v>112174</v>
      </c>
      <c r="L118" s="10">
        <v>102173</v>
      </c>
      <c r="M118" s="10">
        <v>90514</v>
      </c>
      <c r="N118" s="10">
        <v>100116</v>
      </c>
      <c r="O118" s="10">
        <v>101927</v>
      </c>
      <c r="P118" s="10">
        <v>107952</v>
      </c>
      <c r="Q118" s="6">
        <f t="shared" si="2"/>
        <v>1168380</v>
      </c>
      <c r="R118" s="15">
        <f t="shared" si="3"/>
        <v>9.1223921412600717E-2</v>
      </c>
    </row>
    <row r="119" spans="1:18" ht="15.75">
      <c r="A119" s="1" t="s">
        <v>85</v>
      </c>
      <c r="B119" s="1" t="s">
        <v>368</v>
      </c>
      <c r="C119" s="1" t="s">
        <v>136</v>
      </c>
      <c r="D119" s="6">
        <f>'2011 pax'!Q119</f>
        <v>227131</v>
      </c>
      <c r="E119" s="10">
        <v>20037</v>
      </c>
      <c r="F119" s="10">
        <v>17699</v>
      </c>
      <c r="G119" s="10">
        <v>20003</v>
      </c>
      <c r="H119" s="10">
        <v>18393</v>
      </c>
      <c r="I119" s="10">
        <v>19818</v>
      </c>
      <c r="J119" s="10">
        <v>20393</v>
      </c>
      <c r="K119" s="10">
        <v>23567</v>
      </c>
      <c r="L119" s="10">
        <v>21478</v>
      </c>
      <c r="M119" s="10">
        <v>17872</v>
      </c>
      <c r="N119" s="10">
        <v>21698</v>
      </c>
      <c r="O119" s="10">
        <v>20088</v>
      </c>
      <c r="P119" s="10">
        <v>20900</v>
      </c>
      <c r="Q119" s="6">
        <f t="shared" si="2"/>
        <v>241946</v>
      </c>
      <c r="R119" s="15">
        <f t="shared" si="3"/>
        <v>6.522667535475124E-2</v>
      </c>
    </row>
    <row r="120" spans="1:18">
      <c r="A120" s="1" t="s">
        <v>85</v>
      </c>
      <c r="B120" s="1" t="s">
        <v>105</v>
      </c>
      <c r="C120" s="1" t="s">
        <v>106</v>
      </c>
      <c r="D120" s="6">
        <f>'2011 pax'!Q120</f>
        <v>7200900</v>
      </c>
      <c r="E120" s="10">
        <v>617300</v>
      </c>
      <c r="F120" s="10">
        <v>536100</v>
      </c>
      <c r="G120" s="10">
        <v>589900</v>
      </c>
      <c r="H120" s="10">
        <v>573500</v>
      </c>
      <c r="I120" s="10">
        <v>606100</v>
      </c>
      <c r="J120" s="10">
        <v>622500</v>
      </c>
      <c r="K120" s="10">
        <v>725600</v>
      </c>
      <c r="L120" s="10">
        <v>682500</v>
      </c>
      <c r="M120" s="10">
        <v>579100</v>
      </c>
      <c r="N120" s="10">
        <v>605300</v>
      </c>
      <c r="O120" s="10">
        <v>611800</v>
      </c>
      <c r="P120" s="10">
        <v>680400</v>
      </c>
      <c r="Q120" s="6">
        <f t="shared" si="2"/>
        <v>7430100</v>
      </c>
      <c r="R120" s="15">
        <f t="shared" si="3"/>
        <v>3.1829354664000276E-2</v>
      </c>
    </row>
    <row r="121" spans="1:18">
      <c r="A121" s="1" t="s">
        <v>85</v>
      </c>
      <c r="B121" s="1" t="s">
        <v>113</v>
      </c>
      <c r="C121" s="1" t="s">
        <v>114</v>
      </c>
      <c r="D121" s="6">
        <f>'2011 pax'!Q121</f>
        <v>1201000</v>
      </c>
      <c r="E121" s="10">
        <v>100400</v>
      </c>
      <c r="F121" s="10">
        <v>95400</v>
      </c>
      <c r="G121" s="10">
        <v>110100</v>
      </c>
      <c r="H121" s="10">
        <v>105900</v>
      </c>
      <c r="I121" s="10">
        <v>107100</v>
      </c>
      <c r="J121" s="10">
        <v>107000</v>
      </c>
      <c r="K121" s="10">
        <v>115300</v>
      </c>
      <c r="L121" s="10">
        <v>106200</v>
      </c>
      <c r="M121" s="10">
        <v>104100</v>
      </c>
      <c r="N121" s="10">
        <v>115000</v>
      </c>
      <c r="O121" s="10">
        <v>109700</v>
      </c>
      <c r="P121" s="10">
        <v>112200</v>
      </c>
      <c r="Q121" s="6">
        <f t="shared" si="2"/>
        <v>1288400</v>
      </c>
      <c r="R121" s="15">
        <f t="shared" si="3"/>
        <v>7.2772689425478765E-2</v>
      </c>
    </row>
    <row r="122" spans="1:18">
      <c r="A122" s="1" t="s">
        <v>85</v>
      </c>
      <c r="B122" s="1" t="s">
        <v>99</v>
      </c>
      <c r="C122" s="1" t="s">
        <v>100</v>
      </c>
      <c r="D122" s="6">
        <f>'2011 pax'!Q122</f>
        <v>459640</v>
      </c>
      <c r="E122" s="10">
        <v>48655</v>
      </c>
      <c r="F122" s="10">
        <v>39202</v>
      </c>
      <c r="G122" s="10">
        <v>44005</v>
      </c>
      <c r="H122" s="10">
        <v>42972</v>
      </c>
      <c r="I122" s="10">
        <v>32898</v>
      </c>
      <c r="J122" s="10">
        <v>34638</v>
      </c>
      <c r="K122" s="10">
        <v>47346</v>
      </c>
      <c r="L122" s="10">
        <v>41440</v>
      </c>
      <c r="M122" s="10">
        <v>26486</v>
      </c>
      <c r="N122" s="10">
        <v>28904</v>
      </c>
      <c r="O122" s="10">
        <v>36461</v>
      </c>
      <c r="P122" s="10">
        <v>50255</v>
      </c>
      <c r="Q122" s="6">
        <f t="shared" si="2"/>
        <v>473262</v>
      </c>
      <c r="R122" s="15">
        <f t="shared" si="3"/>
        <v>2.9636237055086667E-2</v>
      </c>
    </row>
    <row r="123" spans="1:18">
      <c r="A123" s="1" t="s">
        <v>85</v>
      </c>
      <c r="B123" s="1" t="s">
        <v>381</v>
      </c>
      <c r="C123" s="1" t="s">
        <v>120</v>
      </c>
      <c r="D123" s="6">
        <f>'2011 pax'!Q123</f>
        <v>546500</v>
      </c>
      <c r="E123" s="10">
        <v>44000</v>
      </c>
      <c r="F123" s="10">
        <v>41700</v>
      </c>
      <c r="G123" s="10">
        <v>45100</v>
      </c>
      <c r="H123" s="10">
        <v>47300</v>
      </c>
      <c r="I123" s="10">
        <v>45700</v>
      </c>
      <c r="J123" s="10">
        <v>45900</v>
      </c>
      <c r="K123" s="10">
        <v>55100</v>
      </c>
      <c r="L123" s="10">
        <v>47300</v>
      </c>
      <c r="M123" s="10">
        <v>39200</v>
      </c>
      <c r="N123" s="10">
        <v>46200</v>
      </c>
      <c r="O123" s="10">
        <v>46000</v>
      </c>
      <c r="P123" s="10">
        <v>49800</v>
      </c>
      <c r="Q123" s="6">
        <f t="shared" si="2"/>
        <v>553300</v>
      </c>
      <c r="R123" s="15">
        <f t="shared" si="3"/>
        <v>1.2442817932296402E-2</v>
      </c>
    </row>
    <row r="124" spans="1:18">
      <c r="A124" s="1" t="s">
        <v>85</v>
      </c>
      <c r="B124" s="1" t="s">
        <v>380</v>
      </c>
      <c r="C124" s="1" t="s">
        <v>115</v>
      </c>
      <c r="D124" s="6">
        <f>'2011 pax'!Q124</f>
        <v>854200</v>
      </c>
      <c r="E124" s="10">
        <v>76700</v>
      </c>
      <c r="F124" s="10">
        <v>67000</v>
      </c>
      <c r="G124" s="10">
        <v>78600</v>
      </c>
      <c r="H124" s="10">
        <v>73600</v>
      </c>
      <c r="I124" s="10">
        <v>78300</v>
      </c>
      <c r="J124" s="10">
        <v>82900</v>
      </c>
      <c r="K124" s="10">
        <v>94500</v>
      </c>
      <c r="L124" s="10">
        <v>84000</v>
      </c>
      <c r="M124" s="10">
        <v>71200</v>
      </c>
      <c r="N124" s="10">
        <v>75400</v>
      </c>
      <c r="O124" s="10">
        <v>78600</v>
      </c>
      <c r="P124" s="10">
        <v>89400</v>
      </c>
      <c r="Q124" s="6">
        <f t="shared" si="2"/>
        <v>950200</v>
      </c>
      <c r="R124" s="15">
        <f t="shared" si="3"/>
        <v>0.11238585811285406</v>
      </c>
    </row>
    <row r="125" spans="1:18">
      <c r="A125" s="1" t="s">
        <v>85</v>
      </c>
      <c r="B125" s="1" t="s">
        <v>379</v>
      </c>
      <c r="C125" s="1" t="s">
        <v>123</v>
      </c>
      <c r="D125" s="6">
        <f>'2011 pax'!Q125</f>
        <v>205900</v>
      </c>
      <c r="E125" s="10">
        <v>13800</v>
      </c>
      <c r="F125" s="10">
        <v>13600</v>
      </c>
      <c r="G125" s="10">
        <v>15200</v>
      </c>
      <c r="H125" s="10">
        <v>15100</v>
      </c>
      <c r="I125" s="10">
        <v>15500</v>
      </c>
      <c r="J125" s="10">
        <v>14800</v>
      </c>
      <c r="K125" s="10">
        <v>17100</v>
      </c>
      <c r="L125" s="10">
        <v>16000</v>
      </c>
      <c r="M125" s="10">
        <v>13700</v>
      </c>
      <c r="N125" s="10">
        <v>15400</v>
      </c>
      <c r="O125" s="10">
        <v>16700</v>
      </c>
      <c r="P125" s="10">
        <v>16500</v>
      </c>
      <c r="Q125" s="6">
        <f t="shared" si="2"/>
        <v>183400</v>
      </c>
      <c r="R125" s="15">
        <f t="shared" si="3"/>
        <v>-0.10927634774162209</v>
      </c>
    </row>
    <row r="126" spans="1:18">
      <c r="A126" s="1" t="s">
        <v>85</v>
      </c>
      <c r="B126" s="1" t="s">
        <v>378</v>
      </c>
      <c r="C126" s="1" t="s">
        <v>122</v>
      </c>
      <c r="D126" s="6">
        <f>'2011 pax'!Q126</f>
        <v>157200</v>
      </c>
      <c r="E126" s="10">
        <v>23000</v>
      </c>
      <c r="F126" s="10">
        <v>23300</v>
      </c>
      <c r="G126" s="10">
        <v>20400</v>
      </c>
      <c r="H126" s="10">
        <v>12100</v>
      </c>
      <c r="I126" s="10">
        <v>7400</v>
      </c>
      <c r="J126" s="10">
        <v>7300</v>
      </c>
      <c r="K126" s="10">
        <v>11100</v>
      </c>
      <c r="L126" s="10">
        <v>10400</v>
      </c>
      <c r="M126" s="10">
        <v>8400</v>
      </c>
      <c r="N126" s="10">
        <v>11500</v>
      </c>
      <c r="O126" s="10">
        <v>13800</v>
      </c>
      <c r="P126" s="10">
        <v>19100</v>
      </c>
      <c r="Q126" s="6">
        <f t="shared" si="2"/>
        <v>167800</v>
      </c>
      <c r="R126" s="15">
        <f t="shared" si="3"/>
        <v>6.7430025445292641E-2</v>
      </c>
    </row>
    <row r="127" spans="1:18" ht="15.75">
      <c r="A127" s="1" t="s">
        <v>85</v>
      </c>
      <c r="B127" s="1" t="s">
        <v>369</v>
      </c>
      <c r="C127" s="1" t="s">
        <v>128</v>
      </c>
      <c r="D127" s="6">
        <f>'2011 pax'!Q127</f>
        <v>675594</v>
      </c>
      <c r="E127" s="10">
        <v>61130</v>
      </c>
      <c r="F127" s="10">
        <v>61448</v>
      </c>
      <c r="G127" s="10">
        <v>70413</v>
      </c>
      <c r="H127" s="10">
        <v>60538</v>
      </c>
      <c r="I127" s="10">
        <v>45765</v>
      </c>
      <c r="J127" s="10">
        <v>46793</v>
      </c>
      <c r="K127" s="10">
        <v>65080</v>
      </c>
      <c r="L127" s="10">
        <v>53730</v>
      </c>
      <c r="M127" s="10">
        <v>36347</v>
      </c>
      <c r="N127" s="10">
        <v>43283</v>
      </c>
      <c r="O127" s="10">
        <v>58949</v>
      </c>
      <c r="P127" s="10">
        <v>65931</v>
      </c>
      <c r="Q127" s="6">
        <f t="shared" si="2"/>
        <v>669407</v>
      </c>
      <c r="R127" s="15">
        <f t="shared" si="3"/>
        <v>-9.1578670029632825E-3</v>
      </c>
    </row>
    <row r="128" spans="1:18">
      <c r="A128" s="1" t="s">
        <v>85</v>
      </c>
      <c r="B128" s="1" t="s">
        <v>488</v>
      </c>
      <c r="C128" s="1" t="s">
        <v>90</v>
      </c>
      <c r="D128" s="6">
        <f>'2011 pax'!Q128</f>
        <v>1225593</v>
      </c>
      <c r="E128" s="10">
        <v>101497</v>
      </c>
      <c r="F128" s="10">
        <v>94759</v>
      </c>
      <c r="G128" s="10">
        <v>110723</v>
      </c>
      <c r="H128" s="10">
        <v>99340</v>
      </c>
      <c r="I128" s="10">
        <v>98463</v>
      </c>
      <c r="J128" s="10">
        <v>99259</v>
      </c>
      <c r="K128" s="10">
        <v>113964</v>
      </c>
      <c r="L128" s="10">
        <v>105851</v>
      </c>
      <c r="M128" s="10">
        <v>90960</v>
      </c>
      <c r="N128" s="10">
        <v>98921</v>
      </c>
      <c r="O128" s="10">
        <v>107998</v>
      </c>
      <c r="P128" s="10">
        <v>112003</v>
      </c>
      <c r="Q128" s="6">
        <f t="shared" si="2"/>
        <v>1233738</v>
      </c>
      <c r="R128" s="15">
        <f t="shared" si="3"/>
        <v>6.6457625002753762E-3</v>
      </c>
    </row>
    <row r="129" spans="1:18">
      <c r="A129" s="1" t="s">
        <v>85</v>
      </c>
      <c r="B129" s="1" t="s">
        <v>116</v>
      </c>
      <c r="C129" s="1" t="s">
        <v>117</v>
      </c>
      <c r="D129" s="6">
        <f>'2011 pax'!Q129</f>
        <v>493000</v>
      </c>
      <c r="E129" s="10">
        <v>40800</v>
      </c>
      <c r="F129" s="10">
        <v>35500</v>
      </c>
      <c r="G129" s="10">
        <v>42300</v>
      </c>
      <c r="H129" s="10">
        <v>40500</v>
      </c>
      <c r="I129" s="10">
        <v>39900</v>
      </c>
      <c r="J129" s="10">
        <v>47800</v>
      </c>
      <c r="K129" s="10">
        <v>59900</v>
      </c>
      <c r="L129" s="10">
        <v>51300</v>
      </c>
      <c r="M129" s="10">
        <v>39200</v>
      </c>
      <c r="N129" s="10">
        <v>40100</v>
      </c>
      <c r="O129" s="10">
        <v>40600</v>
      </c>
      <c r="P129" s="10">
        <v>43700</v>
      </c>
      <c r="Q129" s="6">
        <f t="shared" si="2"/>
        <v>521600</v>
      </c>
      <c r="R129" s="15">
        <f t="shared" si="3"/>
        <v>5.8012170385395523E-2</v>
      </c>
    </row>
    <row r="130" spans="1:18">
      <c r="A130" s="1" t="s">
        <v>85</v>
      </c>
      <c r="B130" s="1" t="s">
        <v>86</v>
      </c>
      <c r="C130" s="1" t="s">
        <v>87</v>
      </c>
      <c r="D130" s="6">
        <f>'2011 pax'!Q130</f>
        <v>26368861</v>
      </c>
      <c r="E130" s="10">
        <v>2294970</v>
      </c>
      <c r="F130" s="10">
        <v>2067707</v>
      </c>
      <c r="G130" s="10">
        <v>2427919</v>
      </c>
      <c r="H130" s="10">
        <v>2330013</v>
      </c>
      <c r="I130" s="10">
        <v>2378227</v>
      </c>
      <c r="J130" s="10">
        <v>2413304</v>
      </c>
      <c r="K130" s="10">
        <v>2869008</v>
      </c>
      <c r="L130" s="10">
        <v>2666327</v>
      </c>
      <c r="M130" s="10">
        <v>2311097</v>
      </c>
      <c r="N130" s="10">
        <v>2493537</v>
      </c>
      <c r="O130" s="10">
        <v>2518644</v>
      </c>
      <c r="P130" s="10">
        <v>2720800</v>
      </c>
      <c r="Q130" s="6">
        <f t="shared" si="2"/>
        <v>29491553</v>
      </c>
      <c r="R130" s="15">
        <f t="shared" si="3"/>
        <v>0.11842346925792513</v>
      </c>
    </row>
    <row r="131" spans="1:18">
      <c r="A131" s="1" t="s">
        <v>85</v>
      </c>
      <c r="B131" s="1" t="s">
        <v>103</v>
      </c>
      <c r="C131" s="1" t="s">
        <v>104</v>
      </c>
      <c r="D131" s="6">
        <f>'2011 pax'!Q131</f>
        <v>108521</v>
      </c>
      <c r="E131" s="10">
        <v>10083</v>
      </c>
      <c r="F131" s="10">
        <v>9972</v>
      </c>
      <c r="G131" s="10">
        <v>11694</v>
      </c>
      <c r="H131" s="10">
        <v>9761</v>
      </c>
      <c r="I131" s="10">
        <v>11213</v>
      </c>
      <c r="J131" s="10">
        <v>11630</v>
      </c>
      <c r="K131" s="10">
        <v>10965</v>
      </c>
      <c r="L131" s="10">
        <v>11331</v>
      </c>
      <c r="M131" s="10">
        <v>11124</v>
      </c>
      <c r="N131" s="10">
        <v>12438</v>
      </c>
      <c r="O131" s="10">
        <v>12033</v>
      </c>
      <c r="P131" s="10">
        <v>10991</v>
      </c>
      <c r="Q131" s="6">
        <f t="shared" si="2"/>
        <v>133235</v>
      </c>
      <c r="R131" s="15">
        <f t="shared" si="3"/>
        <v>0.22773472415477181</v>
      </c>
    </row>
    <row r="132" spans="1:18" ht="15.75">
      <c r="A132" s="1" t="s">
        <v>85</v>
      </c>
      <c r="B132" s="1" t="s">
        <v>370</v>
      </c>
      <c r="C132" s="1" t="s">
        <v>124</v>
      </c>
      <c r="D132" s="6">
        <f>'2011 pax'!Q132</f>
        <v>5582794</v>
      </c>
      <c r="E132" s="10">
        <v>410731</v>
      </c>
      <c r="F132" s="10">
        <v>403391</v>
      </c>
      <c r="G132" s="10">
        <v>474693</v>
      </c>
      <c r="H132" s="10">
        <v>473860</v>
      </c>
      <c r="I132" s="10">
        <v>505357</v>
      </c>
      <c r="J132" s="10">
        <v>523917</v>
      </c>
      <c r="K132" s="10">
        <v>659362</v>
      </c>
      <c r="L132" s="10">
        <v>609430</v>
      </c>
      <c r="M132" s="10">
        <v>502766</v>
      </c>
      <c r="N132" s="10">
        <v>521683</v>
      </c>
      <c r="O132" s="10">
        <v>503497</v>
      </c>
      <c r="P132" s="10">
        <v>517223</v>
      </c>
      <c r="Q132" s="6">
        <f t="shared" ref="Q132:Q198" si="4">SUM(E132:P132)</f>
        <v>6105910</v>
      </c>
      <c r="R132" s="15">
        <f t="shared" ref="R132:R198" si="5">Q132/D132-1</f>
        <v>9.3701469192665865E-2</v>
      </c>
    </row>
    <row r="133" spans="1:18">
      <c r="A133" s="1" t="s">
        <v>85</v>
      </c>
      <c r="B133" s="1" t="s">
        <v>118</v>
      </c>
      <c r="C133" s="1" t="s">
        <v>119</v>
      </c>
      <c r="D133" s="6">
        <f>'2011 pax'!Q133</f>
        <v>376200</v>
      </c>
      <c r="E133" s="10">
        <v>39000</v>
      </c>
      <c r="F133" s="10">
        <v>31400</v>
      </c>
      <c r="G133" s="10">
        <v>34700</v>
      </c>
      <c r="H133" s="10">
        <v>31300</v>
      </c>
      <c r="I133" s="10">
        <v>32000</v>
      </c>
      <c r="J133" s="10">
        <v>34900</v>
      </c>
      <c r="K133" s="10">
        <v>41700</v>
      </c>
      <c r="L133" s="10">
        <v>36000</v>
      </c>
      <c r="M133" s="10">
        <v>28800</v>
      </c>
      <c r="N133" s="10">
        <v>28100</v>
      </c>
      <c r="O133" s="10">
        <v>32000</v>
      </c>
      <c r="P133" s="10">
        <v>39700</v>
      </c>
      <c r="Q133" s="6">
        <f t="shared" si="4"/>
        <v>409600</v>
      </c>
      <c r="R133" s="15">
        <f t="shared" si="5"/>
        <v>8.8782562466773074E-2</v>
      </c>
    </row>
    <row r="134" spans="1:18">
      <c r="A134" s="1" t="s">
        <v>85</v>
      </c>
      <c r="B134" s="1" t="s">
        <v>95</v>
      </c>
      <c r="C134" s="1" t="s">
        <v>96</v>
      </c>
      <c r="D134" s="6">
        <f>'2011 pax'!Q134</f>
        <v>401320</v>
      </c>
      <c r="E134" s="10">
        <v>36247</v>
      </c>
      <c r="F134" s="10">
        <v>33263</v>
      </c>
      <c r="G134" s="10">
        <v>40245</v>
      </c>
      <c r="H134" s="10">
        <v>37349</v>
      </c>
      <c r="I134" s="10">
        <v>37819</v>
      </c>
      <c r="J134" s="10">
        <v>37995</v>
      </c>
      <c r="K134" s="10">
        <v>46891</v>
      </c>
      <c r="L134" s="10">
        <v>45793</v>
      </c>
      <c r="M134" s="10">
        <v>35796</v>
      </c>
      <c r="N134" s="10">
        <v>39358</v>
      </c>
      <c r="O134" s="10">
        <v>41238</v>
      </c>
      <c r="P134" s="10">
        <v>41139</v>
      </c>
      <c r="Q134" s="6">
        <f t="shared" si="4"/>
        <v>473133</v>
      </c>
      <c r="R134" s="15">
        <f t="shared" si="5"/>
        <v>0.1789419914282866</v>
      </c>
    </row>
    <row r="135" spans="1:18">
      <c r="A135" s="1" t="s">
        <v>85</v>
      </c>
      <c r="B135" s="1" t="s">
        <v>109</v>
      </c>
      <c r="C135" s="1" t="s">
        <v>110</v>
      </c>
      <c r="D135" s="6">
        <f>'2011 pax'!Q135</f>
        <v>2534600</v>
      </c>
      <c r="E135" s="10">
        <v>286800</v>
      </c>
      <c r="F135" s="10">
        <v>277700</v>
      </c>
      <c r="G135" s="10">
        <v>327200</v>
      </c>
      <c r="H135" s="10">
        <v>240800</v>
      </c>
      <c r="I135" s="10">
        <v>165100</v>
      </c>
      <c r="J135" s="10">
        <v>168700</v>
      </c>
      <c r="K135" s="10">
        <v>200100</v>
      </c>
      <c r="L135" s="10">
        <v>167300</v>
      </c>
      <c r="M135" s="10">
        <v>112400</v>
      </c>
      <c r="N135" s="10">
        <v>151000</v>
      </c>
      <c r="O135" s="10">
        <v>225800</v>
      </c>
      <c r="P135" s="10">
        <v>274300</v>
      </c>
      <c r="Q135" s="6">
        <f t="shared" si="4"/>
        <v>2597200</v>
      </c>
      <c r="R135" s="15">
        <f t="shared" si="5"/>
        <v>2.4698177227175933E-2</v>
      </c>
    </row>
    <row r="136" spans="1:18" ht="15.75">
      <c r="A136" s="1" t="s">
        <v>85</v>
      </c>
      <c r="B136" s="1" t="s">
        <v>371</v>
      </c>
      <c r="C136" s="1" t="s">
        <v>135</v>
      </c>
      <c r="D136" s="6">
        <f>'2011 pax'!Q136</f>
        <v>216599</v>
      </c>
      <c r="E136" s="10">
        <v>19354</v>
      </c>
      <c r="F136" s="10">
        <v>18000</v>
      </c>
      <c r="G136" s="10">
        <v>22867</v>
      </c>
      <c r="H136" s="10">
        <v>23000</v>
      </c>
      <c r="I136" s="10">
        <v>22539</v>
      </c>
      <c r="J136" s="10">
        <v>26145</v>
      </c>
      <c r="K136" s="10">
        <v>28586</v>
      </c>
      <c r="L136" s="10">
        <v>27008</v>
      </c>
      <c r="M136" s="10">
        <v>25722</v>
      </c>
      <c r="N136" s="10">
        <v>27990</v>
      </c>
      <c r="O136" s="10">
        <v>29206</v>
      </c>
      <c r="P136" s="10">
        <v>32517</v>
      </c>
      <c r="Q136" s="6">
        <f t="shared" si="4"/>
        <v>302934</v>
      </c>
      <c r="R136" s="15">
        <f t="shared" si="5"/>
        <v>0.39859371465242233</v>
      </c>
    </row>
    <row r="137" spans="1:18">
      <c r="A137" s="1" t="s">
        <v>85</v>
      </c>
      <c r="B137" s="1" t="s">
        <v>111</v>
      </c>
      <c r="C137" s="1" t="s">
        <v>112</v>
      </c>
      <c r="D137" s="6">
        <f>'2011 pax'!Q137</f>
        <v>2806600</v>
      </c>
      <c r="E137" s="10">
        <v>248400</v>
      </c>
      <c r="F137" s="10">
        <v>251900</v>
      </c>
      <c r="G137" s="10">
        <v>306700</v>
      </c>
      <c r="H137" s="10">
        <v>279300</v>
      </c>
      <c r="I137" s="10">
        <v>233500</v>
      </c>
      <c r="J137" s="10">
        <v>242300</v>
      </c>
      <c r="K137" s="10">
        <v>283800</v>
      </c>
      <c r="L137" s="10">
        <v>241100</v>
      </c>
      <c r="M137" s="10">
        <v>168300</v>
      </c>
      <c r="N137" s="10">
        <v>223200</v>
      </c>
      <c r="O137" s="10">
        <v>258600</v>
      </c>
      <c r="P137" s="10">
        <v>280500</v>
      </c>
      <c r="Q137" s="6">
        <f t="shared" si="4"/>
        <v>3017600</v>
      </c>
      <c r="R137" s="15">
        <f t="shared" si="5"/>
        <v>7.5179933015036005E-2</v>
      </c>
    </row>
    <row r="138" spans="1:18" ht="15.75">
      <c r="A138" s="1" t="s">
        <v>85</v>
      </c>
      <c r="B138" s="1" t="s">
        <v>372</v>
      </c>
      <c r="C138" s="1" t="s">
        <v>134</v>
      </c>
      <c r="D138" s="6">
        <f>'2011 pax'!Q138</f>
        <v>248645</v>
      </c>
      <c r="E138" s="10">
        <v>19475</v>
      </c>
      <c r="F138" s="10">
        <v>21566</v>
      </c>
      <c r="G138" s="10">
        <v>23883</v>
      </c>
      <c r="H138" s="10">
        <v>20082</v>
      </c>
      <c r="I138" s="10">
        <v>23485</v>
      </c>
      <c r="J138" s="10">
        <v>22509</v>
      </c>
      <c r="K138" s="10">
        <v>26338</v>
      </c>
      <c r="L138" s="10">
        <v>24113</v>
      </c>
      <c r="M138" s="10">
        <v>22900</v>
      </c>
      <c r="N138" s="10">
        <v>23843</v>
      </c>
      <c r="O138" s="10">
        <v>22439</v>
      </c>
      <c r="P138" s="10">
        <v>20474</v>
      </c>
      <c r="Q138" s="6">
        <f t="shared" si="4"/>
        <v>271107</v>
      </c>
      <c r="R138" s="15">
        <f t="shared" si="5"/>
        <v>9.0337629954352572E-2</v>
      </c>
    </row>
    <row r="139" spans="1:18" ht="15.75">
      <c r="A139" s="1" t="s">
        <v>85</v>
      </c>
      <c r="B139" s="1" t="s">
        <v>373</v>
      </c>
      <c r="C139" s="1" t="s">
        <v>131</v>
      </c>
      <c r="D139" s="6">
        <f>'2011 pax'!Q139</f>
        <v>548083</v>
      </c>
      <c r="E139" s="10">
        <v>45589</v>
      </c>
      <c r="F139" s="10">
        <v>44697</v>
      </c>
      <c r="G139" s="10">
        <v>49076</v>
      </c>
      <c r="H139" s="10">
        <v>46950</v>
      </c>
      <c r="I139" s="10">
        <v>48207</v>
      </c>
      <c r="J139" s="10">
        <v>49396</v>
      </c>
      <c r="K139" s="10">
        <v>54884</v>
      </c>
      <c r="L139" s="10">
        <v>51377</v>
      </c>
      <c r="M139" s="10">
        <v>47525</v>
      </c>
      <c r="N139" s="10">
        <v>53144</v>
      </c>
      <c r="O139" s="10">
        <v>51889</v>
      </c>
      <c r="P139" s="10">
        <v>52063</v>
      </c>
      <c r="Q139" s="6">
        <f t="shared" si="4"/>
        <v>594797</v>
      </c>
      <c r="R139" s="15">
        <f t="shared" si="5"/>
        <v>8.5231616379271014E-2</v>
      </c>
    </row>
    <row r="140" spans="1:18">
      <c r="A140" s="1" t="s">
        <v>85</v>
      </c>
      <c r="B140" s="1" t="s">
        <v>101</v>
      </c>
      <c r="C140" s="1" t="s">
        <v>102</v>
      </c>
      <c r="D140" s="6">
        <f>'2011 pax'!Q140</f>
        <v>161892</v>
      </c>
      <c r="E140" s="10">
        <v>13213</v>
      </c>
      <c r="F140" s="10">
        <v>12254</v>
      </c>
      <c r="G140" s="10">
        <v>14372</v>
      </c>
      <c r="H140" s="10">
        <v>70993</v>
      </c>
      <c r="I140" s="10">
        <v>13254</v>
      </c>
      <c r="J140" s="10">
        <v>12874</v>
      </c>
      <c r="K140" s="10">
        <v>13383</v>
      </c>
      <c r="L140" s="10">
        <v>13121</v>
      </c>
      <c r="M140" s="10">
        <v>11544</v>
      </c>
      <c r="N140" s="10">
        <v>12783</v>
      </c>
      <c r="O140" s="10">
        <v>13654</v>
      </c>
      <c r="P140" s="10">
        <v>15314</v>
      </c>
      <c r="Q140" s="6">
        <f t="shared" si="4"/>
        <v>216759</v>
      </c>
      <c r="R140" s="15">
        <f t="shared" si="5"/>
        <v>0.33891112593580908</v>
      </c>
    </row>
    <row r="141" spans="1:18">
      <c r="A141" s="1" t="s">
        <v>85</v>
      </c>
      <c r="B141" s="1" t="s">
        <v>107</v>
      </c>
      <c r="C141" s="1" t="s">
        <v>108</v>
      </c>
      <c r="D141" s="6">
        <f>'2011 pax'!Q141</f>
        <v>3500700</v>
      </c>
      <c r="E141" s="10">
        <v>306600</v>
      </c>
      <c r="F141" s="10">
        <v>253700</v>
      </c>
      <c r="G141" s="10">
        <v>293000</v>
      </c>
      <c r="H141" s="10">
        <v>297200</v>
      </c>
      <c r="I141" s="10">
        <v>297000</v>
      </c>
      <c r="J141" s="10">
        <v>330200</v>
      </c>
      <c r="K141" s="10">
        <v>390600</v>
      </c>
      <c r="L141" s="10">
        <v>345200</v>
      </c>
      <c r="M141" s="10">
        <v>276100</v>
      </c>
      <c r="N141" s="10">
        <v>277100</v>
      </c>
      <c r="O141" s="10">
        <v>300100</v>
      </c>
      <c r="P141" s="10">
        <v>388600</v>
      </c>
      <c r="Q141" s="6">
        <f t="shared" si="4"/>
        <v>3755400</v>
      </c>
      <c r="R141" s="15">
        <f t="shared" si="5"/>
        <v>7.2756877195989444E-2</v>
      </c>
    </row>
    <row r="142" spans="1:18" ht="15.75">
      <c r="A142" s="1" t="s">
        <v>85</v>
      </c>
      <c r="B142" s="1" t="s">
        <v>374</v>
      </c>
      <c r="C142" s="1" t="s">
        <v>132</v>
      </c>
      <c r="D142" s="6">
        <f>'2011 pax'!Q142</f>
        <v>375669</v>
      </c>
      <c r="E142" s="10">
        <v>31198</v>
      </c>
      <c r="F142" s="10">
        <v>29353</v>
      </c>
      <c r="G142" s="10">
        <v>34010</v>
      </c>
      <c r="H142" s="10">
        <v>30685</v>
      </c>
      <c r="I142" s="10">
        <v>35988</v>
      </c>
      <c r="J142" s="10">
        <v>33983</v>
      </c>
      <c r="K142" s="10">
        <v>38722</v>
      </c>
      <c r="L142" s="10">
        <v>39255</v>
      </c>
      <c r="M142" s="10">
        <v>34182</v>
      </c>
      <c r="N142" s="10">
        <v>37614</v>
      </c>
      <c r="O142" s="10">
        <v>35856</v>
      </c>
      <c r="P142" s="10">
        <v>34398</v>
      </c>
      <c r="Q142" s="6">
        <f t="shared" si="4"/>
        <v>415244</v>
      </c>
      <c r="R142" s="15">
        <f t="shared" si="5"/>
        <v>0.10534539714482705</v>
      </c>
    </row>
    <row r="143" spans="1:18">
      <c r="A143" s="1" t="s">
        <v>85</v>
      </c>
      <c r="B143" s="1" t="s">
        <v>91</v>
      </c>
      <c r="C143" s="1" t="s">
        <v>92</v>
      </c>
      <c r="D143" s="6">
        <f>'2011 pax'!Q143</f>
        <v>867438</v>
      </c>
      <c r="E143" s="10">
        <v>64867</v>
      </c>
      <c r="F143" s="10">
        <v>64008</v>
      </c>
      <c r="G143" s="10">
        <v>71374</v>
      </c>
      <c r="H143" s="10">
        <v>73937</v>
      </c>
      <c r="I143" s="10">
        <v>72274</v>
      </c>
      <c r="J143" s="10">
        <v>72552</v>
      </c>
      <c r="K143" s="10">
        <v>85455</v>
      </c>
      <c r="L143" s="10">
        <v>80114</v>
      </c>
      <c r="M143" s="10">
        <v>71246</v>
      </c>
      <c r="N143" s="10">
        <v>82696</v>
      </c>
      <c r="O143" s="10">
        <v>76679</v>
      </c>
      <c r="P143" s="10">
        <v>82294</v>
      </c>
      <c r="Q143" s="6">
        <f t="shared" si="4"/>
        <v>897496</v>
      </c>
      <c r="R143" s="15">
        <f t="shared" si="5"/>
        <v>3.4651467885889353E-2</v>
      </c>
    </row>
    <row r="144" spans="1:18">
      <c r="A144" s="1" t="s">
        <v>85</v>
      </c>
      <c r="B144" s="1" t="s">
        <v>93</v>
      </c>
      <c r="C144" s="1" t="s">
        <v>94</v>
      </c>
      <c r="D144" s="6">
        <f>'2011 pax'!Q144</f>
        <v>851264</v>
      </c>
      <c r="E144" s="10">
        <v>71252</v>
      </c>
      <c r="F144" s="10">
        <v>68593</v>
      </c>
      <c r="G144" s="10">
        <v>80862</v>
      </c>
      <c r="H144" s="10">
        <v>73937</v>
      </c>
      <c r="I144" s="10">
        <v>81006</v>
      </c>
      <c r="J144" s="10">
        <v>79732</v>
      </c>
      <c r="K144" s="10">
        <v>85434</v>
      </c>
      <c r="L144" s="10">
        <v>82006</v>
      </c>
      <c r="M144" s="10">
        <v>79127</v>
      </c>
      <c r="N144" s="10">
        <v>86986</v>
      </c>
      <c r="O144" s="10">
        <v>84251</v>
      </c>
      <c r="P144" s="10">
        <v>86908</v>
      </c>
      <c r="Q144" s="6">
        <f t="shared" si="4"/>
        <v>960094</v>
      </c>
      <c r="R144" s="15">
        <f t="shared" si="5"/>
        <v>0.12784518081347263</v>
      </c>
    </row>
    <row r="145" spans="1:18" ht="15.75">
      <c r="A145" s="1" t="s">
        <v>85</v>
      </c>
      <c r="B145" s="1" t="s">
        <v>375</v>
      </c>
      <c r="C145" s="1" t="s">
        <v>133</v>
      </c>
      <c r="D145" s="6">
        <f>'2011 pax'!Q145</f>
        <v>248029</v>
      </c>
      <c r="E145" s="10">
        <v>24246</v>
      </c>
      <c r="F145" s="10">
        <v>17831</v>
      </c>
      <c r="G145" s="10">
        <v>22378</v>
      </c>
      <c r="H145" s="10">
        <v>19717</v>
      </c>
      <c r="I145" s="10">
        <v>20194</v>
      </c>
      <c r="J145" s="10">
        <v>22925</v>
      </c>
      <c r="K145" s="10">
        <v>24893</v>
      </c>
      <c r="L145" s="10">
        <v>25558</v>
      </c>
      <c r="M145" s="10">
        <v>22321</v>
      </c>
      <c r="N145" s="10">
        <v>22132</v>
      </c>
      <c r="O145" s="10">
        <v>21148</v>
      </c>
      <c r="P145" s="10">
        <v>21921</v>
      </c>
      <c r="Q145" s="6">
        <f t="shared" si="4"/>
        <v>265264</v>
      </c>
      <c r="R145" s="15">
        <f t="shared" si="5"/>
        <v>6.9487842147490708E-2</v>
      </c>
    </row>
    <row r="146" spans="1:18" ht="15.75">
      <c r="A146" s="1" t="s">
        <v>85</v>
      </c>
      <c r="B146" s="1" t="s">
        <v>376</v>
      </c>
      <c r="C146" s="1" t="s">
        <v>130</v>
      </c>
      <c r="D146" s="6">
        <f>'2011 pax'!Q146</f>
        <v>480613</v>
      </c>
      <c r="E146" s="10">
        <v>57093</v>
      </c>
      <c r="F146" s="10">
        <v>49942</v>
      </c>
      <c r="G146" s="10">
        <v>59813</v>
      </c>
      <c r="H146" s="10">
        <v>41124</v>
      </c>
      <c r="I146" s="10">
        <v>26815</v>
      </c>
      <c r="J146" s="10">
        <v>28178</v>
      </c>
      <c r="K146" s="10">
        <v>37195</v>
      </c>
      <c r="L146" s="10">
        <v>30752</v>
      </c>
      <c r="M146" s="10">
        <v>19793</v>
      </c>
      <c r="N146" s="10">
        <v>24988</v>
      </c>
      <c r="O146" s="10">
        <v>34305</v>
      </c>
      <c r="P146" s="10">
        <v>47908</v>
      </c>
      <c r="Q146" s="6">
        <f t="shared" si="4"/>
        <v>457906</v>
      </c>
      <c r="R146" s="15">
        <f t="shared" si="5"/>
        <v>-4.7245913031898845E-2</v>
      </c>
    </row>
    <row r="147" spans="1:18">
      <c r="A147" s="1" t="s">
        <v>512</v>
      </c>
      <c r="B147" s="1" t="s">
        <v>513</v>
      </c>
      <c r="C147" s="1" t="s">
        <v>514</v>
      </c>
      <c r="D147" s="6">
        <f>'2011 pax'!Q147</f>
        <v>5844561</v>
      </c>
      <c r="E147" s="10">
        <v>596192</v>
      </c>
      <c r="F147" s="10">
        <v>548606</v>
      </c>
      <c r="G147" s="10">
        <v>569964</v>
      </c>
      <c r="H147" s="10">
        <v>539730</v>
      </c>
      <c r="I147" s="10">
        <v>523857</v>
      </c>
      <c r="J147" s="10">
        <v>557618</v>
      </c>
      <c r="K147" s="10">
        <v>632680</v>
      </c>
      <c r="L147" s="10">
        <v>599396</v>
      </c>
      <c r="M147" s="10">
        <v>564064</v>
      </c>
      <c r="N147" s="10">
        <v>570387</v>
      </c>
      <c r="O147" s="10">
        <v>603558</v>
      </c>
      <c r="P147" s="10">
        <v>656556</v>
      </c>
      <c r="Q147" s="6">
        <f t="shared" si="4"/>
        <v>6962608</v>
      </c>
      <c r="R147" s="15">
        <f>Q147/D147-1</f>
        <v>0.19129700246092041</v>
      </c>
    </row>
    <row r="148" spans="1:18">
      <c r="A148" s="1" t="s">
        <v>414</v>
      </c>
      <c r="B148" s="1" t="s">
        <v>415</v>
      </c>
      <c r="C148" s="1" t="s">
        <v>416</v>
      </c>
      <c r="D148" s="6">
        <f>'2011 pax'!Q148</f>
        <v>823207</v>
      </c>
      <c r="E148" s="10">
        <v>94993</v>
      </c>
      <c r="F148" s="10">
        <v>77778</v>
      </c>
      <c r="G148" s="10">
        <v>75531</v>
      </c>
      <c r="H148" s="10">
        <v>76436</v>
      </c>
      <c r="I148" s="10">
        <v>72162</v>
      </c>
      <c r="J148" s="10">
        <v>65464</v>
      </c>
      <c r="K148" s="10">
        <v>77891</v>
      </c>
      <c r="L148" s="10">
        <v>65076</v>
      </c>
      <c r="M148" s="10">
        <v>61239</v>
      </c>
      <c r="N148" s="10">
        <v>64239</v>
      </c>
      <c r="O148" s="10">
        <v>65922</v>
      </c>
      <c r="P148" s="10">
        <v>72081</v>
      </c>
      <c r="Q148" s="6">
        <f t="shared" si="4"/>
        <v>868812</v>
      </c>
      <c r="R148" s="15">
        <f t="shared" si="5"/>
        <v>5.5399188782408348E-2</v>
      </c>
    </row>
    <row r="149" spans="1:18">
      <c r="A149" s="1" t="s">
        <v>414</v>
      </c>
      <c r="B149" s="1" t="s">
        <v>508</v>
      </c>
      <c r="C149" s="1" t="s">
        <v>509</v>
      </c>
      <c r="D149" s="6">
        <f>'2011 pax'!Q149</f>
        <v>59155</v>
      </c>
      <c r="E149" s="10">
        <v>4705</v>
      </c>
      <c r="F149" s="10">
        <v>5160</v>
      </c>
      <c r="G149" s="10">
        <v>6188</v>
      </c>
      <c r="H149" s="10">
        <v>5976</v>
      </c>
      <c r="I149" s="10">
        <v>5911</v>
      </c>
      <c r="J149" s="10">
        <v>5094</v>
      </c>
      <c r="K149" s="10">
        <v>5121</v>
      </c>
      <c r="L149" s="10">
        <v>5105</v>
      </c>
      <c r="M149" s="10">
        <v>4637</v>
      </c>
      <c r="N149" s="10">
        <v>4780</v>
      </c>
      <c r="O149" s="10">
        <v>5730</v>
      </c>
      <c r="P149" s="10">
        <v>4872</v>
      </c>
      <c r="Q149" s="6">
        <f t="shared" si="4"/>
        <v>63279</v>
      </c>
      <c r="R149" s="15">
        <f t="shared" si="5"/>
        <v>6.9715155101005788E-2</v>
      </c>
    </row>
    <row r="150" spans="1:18">
      <c r="A150" s="1" t="s">
        <v>253</v>
      </c>
      <c r="B150" s="7" t="s">
        <v>304</v>
      </c>
      <c r="C150" s="7" t="s">
        <v>305</v>
      </c>
      <c r="D150" s="6">
        <f>'2011 pax'!Q150</f>
        <v>1002231</v>
      </c>
      <c r="E150" s="10">
        <v>82623</v>
      </c>
      <c r="F150" s="10">
        <v>84410</v>
      </c>
      <c r="G150" s="10">
        <v>86103</v>
      </c>
      <c r="H150" s="10">
        <f>43367+455+41360+460</f>
        <v>85642</v>
      </c>
      <c r="I150" s="10">
        <f>45711+437+371+47043</f>
        <v>93562</v>
      </c>
      <c r="J150" s="10">
        <f>42786+41504</f>
        <v>84290</v>
      </c>
      <c r="K150" s="10">
        <f>48947+50600</f>
        <v>99547</v>
      </c>
      <c r="L150" s="10">
        <f>55143+54908</f>
        <v>110051</v>
      </c>
      <c r="M150" s="10">
        <f>47797+48280+1000</f>
        <v>97077</v>
      </c>
      <c r="N150" s="10">
        <f>51090+50930</f>
        <v>102020</v>
      </c>
      <c r="O150" s="10">
        <f>47565+47612</f>
        <v>95177</v>
      </c>
      <c r="P150" s="10">
        <f>46324+47877</f>
        <v>94201</v>
      </c>
      <c r="Q150" s="6">
        <f t="shared" si="4"/>
        <v>1114703</v>
      </c>
      <c r="R150" s="15">
        <f t="shared" si="5"/>
        <v>0.11222163353558212</v>
      </c>
    </row>
    <row r="151" spans="1:18">
      <c r="A151" s="1" t="s">
        <v>253</v>
      </c>
      <c r="B151" s="7" t="s">
        <v>324</v>
      </c>
      <c r="C151" s="7" t="s">
        <v>325</v>
      </c>
      <c r="D151" s="6">
        <f>'2011 pax'!Q151</f>
        <v>194414</v>
      </c>
      <c r="E151" s="10">
        <v>14580</v>
      </c>
      <c r="F151" s="10">
        <v>18824</v>
      </c>
      <c r="G151" s="10">
        <v>19170</v>
      </c>
      <c r="H151" s="10">
        <f>7915+8179</f>
        <v>16094</v>
      </c>
      <c r="I151" s="10">
        <f>10105+10150</f>
        <v>20255</v>
      </c>
      <c r="J151" s="10">
        <f>8766+8627</f>
        <v>17393</v>
      </c>
      <c r="K151" s="10">
        <f>9391+9571</f>
        <v>18962</v>
      </c>
      <c r="L151" s="10">
        <f>10397+9884</f>
        <v>20281</v>
      </c>
      <c r="M151" s="10">
        <f>9271+9350</f>
        <v>18621</v>
      </c>
      <c r="N151" s="10">
        <f>10017+9700</f>
        <v>19717</v>
      </c>
      <c r="O151" s="10">
        <f>9357+9610</f>
        <v>18967</v>
      </c>
      <c r="P151" s="10">
        <f>9966+9432</f>
        <v>19398</v>
      </c>
      <c r="Q151" s="6">
        <f t="shared" si="4"/>
        <v>222262</v>
      </c>
      <c r="R151" s="15">
        <f t="shared" si="5"/>
        <v>0.14324071311736808</v>
      </c>
    </row>
    <row r="152" spans="1:18">
      <c r="A152" s="1" t="s">
        <v>253</v>
      </c>
      <c r="B152" s="7" t="s">
        <v>320</v>
      </c>
      <c r="C152" s="7" t="s">
        <v>321</v>
      </c>
      <c r="D152" s="6">
        <f>'2011 pax'!Q152</f>
        <v>301801</v>
      </c>
      <c r="E152" s="10">
        <v>27697</v>
      </c>
      <c r="F152" s="10">
        <v>30043</v>
      </c>
      <c r="G152" s="10">
        <v>28921</v>
      </c>
      <c r="H152" s="10">
        <f>13607+13780</f>
        <v>27387</v>
      </c>
      <c r="I152" s="10">
        <f>15399+15322</f>
        <v>30721</v>
      </c>
      <c r="J152" s="10">
        <f>15320+15058</f>
        <v>30378</v>
      </c>
      <c r="K152" s="10">
        <f>15393+15793</f>
        <v>31186</v>
      </c>
      <c r="L152" s="10">
        <f>17134+16147</f>
        <v>33281</v>
      </c>
      <c r="M152" s="10">
        <f>15650+15761</f>
        <v>31411</v>
      </c>
      <c r="N152" s="10">
        <f>16121+15042</f>
        <v>31163</v>
      </c>
      <c r="O152" s="10">
        <f>14900+14718</f>
        <v>29618</v>
      </c>
      <c r="P152" s="10">
        <f>15257+17050</f>
        <v>32307</v>
      </c>
      <c r="Q152" s="6">
        <f t="shared" si="4"/>
        <v>364113</v>
      </c>
      <c r="R152" s="15">
        <f t="shared" si="5"/>
        <v>0.20646717539040615</v>
      </c>
    </row>
    <row r="153" spans="1:18">
      <c r="A153" s="1" t="s">
        <v>253</v>
      </c>
      <c r="B153" s="7" t="s">
        <v>302</v>
      </c>
      <c r="C153" s="1" t="s">
        <v>303</v>
      </c>
      <c r="D153" s="6">
        <f>'2011 pax'!Q153</f>
        <v>1594444</v>
      </c>
      <c r="E153" s="10">
        <v>127324</v>
      </c>
      <c r="F153" s="10">
        <v>118904</v>
      </c>
      <c r="G153" s="10">
        <v>129885</v>
      </c>
      <c r="H153" s="10">
        <f>70962+540+75794+458</f>
        <v>147754</v>
      </c>
      <c r="I153" s="10">
        <f>76757+77046</f>
        <v>153803</v>
      </c>
      <c r="J153" s="10">
        <f>79165+75806</f>
        <v>154971</v>
      </c>
      <c r="K153" s="10">
        <f>90105+95489</f>
        <v>185594</v>
      </c>
      <c r="L153" s="10">
        <f>98290+91272</f>
        <v>189562</v>
      </c>
      <c r="M153" s="10">
        <f>83513+87352+284944+287077</f>
        <v>742886</v>
      </c>
      <c r="N153" s="10">
        <f>94646+94046</f>
        <v>188692</v>
      </c>
      <c r="O153" s="10">
        <f>80315+82390</f>
        <v>162705</v>
      </c>
      <c r="P153" s="10">
        <f>72140+83664</f>
        <v>155804</v>
      </c>
      <c r="Q153" s="6">
        <f t="shared" si="4"/>
        <v>2457884</v>
      </c>
      <c r="R153" s="15">
        <f t="shared" si="5"/>
        <v>0.54153046453810849</v>
      </c>
    </row>
    <row r="154" spans="1:18">
      <c r="A154" s="1" t="s">
        <v>253</v>
      </c>
      <c r="B154" s="7" t="s">
        <v>306</v>
      </c>
      <c r="C154" s="7" t="s">
        <v>307</v>
      </c>
      <c r="D154" s="6">
        <f>'2011 pax'!Q154</f>
        <v>649637</v>
      </c>
      <c r="E154" s="10">
        <v>63608</v>
      </c>
      <c r="F154" s="10">
        <v>64068</v>
      </c>
      <c r="G154" s="10">
        <v>59117</v>
      </c>
      <c r="H154" s="10">
        <f>25951+27507</f>
        <v>53458</v>
      </c>
      <c r="I154" s="10">
        <f>28234+27024</f>
        <v>55258</v>
      </c>
      <c r="J154" s="10">
        <f>29887+28903</f>
        <v>58790</v>
      </c>
      <c r="K154" s="10">
        <f>32448+31379</f>
        <v>63827</v>
      </c>
      <c r="L154" s="10">
        <f>35148+33103</f>
        <v>68251</v>
      </c>
      <c r="M154" s="10">
        <f>29988+28761+3000</f>
        <v>61749</v>
      </c>
      <c r="N154" s="10">
        <f>32674+30515</f>
        <v>63189</v>
      </c>
      <c r="O154" s="10">
        <f>29650+30355</f>
        <v>60005</v>
      </c>
      <c r="P154" s="10">
        <f>33129+34543</f>
        <v>67672</v>
      </c>
      <c r="Q154" s="6">
        <f t="shared" si="4"/>
        <v>738992</v>
      </c>
      <c r="R154" s="15">
        <f t="shared" si="5"/>
        <v>0.13754604494510003</v>
      </c>
    </row>
    <row r="155" spans="1:18">
      <c r="A155" s="1" t="s">
        <v>253</v>
      </c>
      <c r="B155" s="7" t="s">
        <v>310</v>
      </c>
      <c r="C155" s="7" t="s">
        <v>311</v>
      </c>
      <c r="D155" s="6">
        <f>'2011 pax'!Q155</f>
        <v>251322</v>
      </c>
      <c r="E155" s="10">
        <v>19772</v>
      </c>
      <c r="F155" s="10">
        <v>27299</v>
      </c>
      <c r="G155" s="10">
        <v>24676</v>
      </c>
      <c r="H155" s="10">
        <f>10700+13708</f>
        <v>24408</v>
      </c>
      <c r="I155" s="10">
        <f>16141+11909</f>
        <v>28050</v>
      </c>
      <c r="J155" s="10">
        <f>11727+14659</f>
        <v>26386</v>
      </c>
      <c r="K155" s="10">
        <f>15378+12323</f>
        <v>27701</v>
      </c>
      <c r="L155" s="10">
        <f>15440+12077</f>
        <v>27517</v>
      </c>
      <c r="M155" s="10">
        <f>15483+11972</f>
        <v>27455</v>
      </c>
      <c r="N155" s="10">
        <f>16454+13132</f>
        <v>29586</v>
      </c>
      <c r="O155" s="10">
        <f>12290+15624</f>
        <v>27914</v>
      </c>
      <c r="P155" s="10">
        <f>14824+13270</f>
        <v>28094</v>
      </c>
      <c r="Q155" s="6">
        <f t="shared" si="4"/>
        <v>318858</v>
      </c>
      <c r="R155" s="15">
        <f t="shared" si="5"/>
        <v>0.26872299281399958</v>
      </c>
    </row>
    <row r="156" spans="1:18">
      <c r="A156" s="1" t="s">
        <v>253</v>
      </c>
      <c r="B156" s="7" t="s">
        <v>300</v>
      </c>
      <c r="C156" s="7" t="s">
        <v>301</v>
      </c>
      <c r="D156" s="6">
        <f>'2011 pax'!Q156</f>
        <v>11331389</v>
      </c>
      <c r="E156" s="10">
        <v>1039980</v>
      </c>
      <c r="F156" s="10">
        <v>1039895</v>
      </c>
      <c r="G156" s="10">
        <v>1076434</v>
      </c>
      <c r="H156" s="10">
        <f>257186+268175+261531+256365</f>
        <v>1043257</v>
      </c>
      <c r="I156" s="10">
        <f>275219+280843+270099+271173</f>
        <v>1097334</v>
      </c>
      <c r="J156" s="10">
        <f>268013+274306+495000</f>
        <v>1037319</v>
      </c>
      <c r="K156" s="10">
        <f>312603+305333+498473</f>
        <v>1116409</v>
      </c>
      <c r="L156" s="10">
        <f>313054+332911+500000</f>
        <v>1145965</v>
      </c>
      <c r="M156" s="10">
        <f>289037+290209+500000</f>
        <v>1079246</v>
      </c>
      <c r="N156" s="10">
        <f>310098+321684+485000</f>
        <v>1116782</v>
      </c>
      <c r="O156" s="10">
        <f>284828+294157+485000</f>
        <v>1063985</v>
      </c>
      <c r="P156" s="10">
        <f>306669+286870+500000</f>
        <v>1093539</v>
      </c>
      <c r="Q156" s="6">
        <f t="shared" si="4"/>
        <v>12950145</v>
      </c>
      <c r="R156" s="15">
        <f t="shared" si="5"/>
        <v>0.14285591995826818</v>
      </c>
    </row>
    <row r="157" spans="1:18">
      <c r="A157" s="1" t="s">
        <v>253</v>
      </c>
      <c r="B157" s="7" t="s">
        <v>312</v>
      </c>
      <c r="C157" s="7" t="s">
        <v>313</v>
      </c>
      <c r="D157" s="6">
        <f>'2011 pax'!Q157</f>
        <v>520708</v>
      </c>
      <c r="E157" s="10">
        <v>54149</v>
      </c>
      <c r="F157" s="10">
        <v>53482</v>
      </c>
      <c r="G157" s="10">
        <v>48873</v>
      </c>
      <c r="H157" s="10">
        <f>23058+22795</f>
        <v>45853</v>
      </c>
      <c r="I157" s="10">
        <f>24367+24131</f>
        <v>48498</v>
      </c>
      <c r="J157" s="10">
        <f>24126+23330</f>
        <v>47456</v>
      </c>
      <c r="K157" s="10">
        <f>26350+28103</f>
        <v>54453</v>
      </c>
      <c r="L157" s="10">
        <f>28254+26200</f>
        <v>54454</v>
      </c>
      <c r="M157" s="10">
        <f>24998+25394</f>
        <v>50392</v>
      </c>
      <c r="N157" s="10">
        <f>29401+28659</f>
        <v>58060</v>
      </c>
      <c r="O157" s="10">
        <f>27316+27574</f>
        <v>54890</v>
      </c>
      <c r="P157" s="10">
        <f>26576+30897</f>
        <v>57473</v>
      </c>
      <c r="Q157" s="6">
        <f t="shared" si="4"/>
        <v>628033</v>
      </c>
      <c r="R157" s="15">
        <f t="shared" si="5"/>
        <v>0.20611359917650574</v>
      </c>
    </row>
    <row r="158" spans="1:18">
      <c r="A158" s="1" t="s">
        <v>253</v>
      </c>
      <c r="B158" s="7" t="s">
        <v>314</v>
      </c>
      <c r="C158" s="7" t="s">
        <v>315</v>
      </c>
      <c r="D158" s="6">
        <f>'2011 pax'!Q158</f>
        <v>294451</v>
      </c>
      <c r="E158" s="10">
        <v>25742</v>
      </c>
      <c r="F158" s="10">
        <v>39327</v>
      </c>
      <c r="G158" s="10">
        <v>25531</v>
      </c>
      <c r="H158" s="10">
        <f>12123+11911</f>
        <v>24034</v>
      </c>
      <c r="I158" s="10">
        <f>12866+13196</f>
        <v>26062</v>
      </c>
      <c r="J158" s="10">
        <f>13428+12794</f>
        <v>26222</v>
      </c>
      <c r="K158" s="10">
        <f>14489+14496</f>
        <v>28985</v>
      </c>
      <c r="L158" s="10">
        <f>15038+14731</f>
        <v>29769</v>
      </c>
      <c r="M158" s="10">
        <f>13395+13547</f>
        <v>26942</v>
      </c>
      <c r="N158" s="10">
        <f>15044+14654</f>
        <v>29698</v>
      </c>
      <c r="O158" s="10">
        <f>12290+15624</f>
        <v>27914</v>
      </c>
      <c r="P158" s="10">
        <f>14610+15164</f>
        <v>29774</v>
      </c>
      <c r="Q158" s="6">
        <f t="shared" si="4"/>
        <v>340000</v>
      </c>
      <c r="R158" s="15">
        <f t="shared" si="5"/>
        <v>0.15469127291128237</v>
      </c>
    </row>
    <row r="159" spans="1:18">
      <c r="A159" s="1" t="s">
        <v>253</v>
      </c>
      <c r="B159" s="7" t="s">
        <v>308</v>
      </c>
      <c r="C159" s="7" t="s">
        <v>309</v>
      </c>
      <c r="D159" s="6">
        <f>'2011 pax'!Q159</f>
        <v>194135</v>
      </c>
      <c r="E159" s="10">
        <v>15332</v>
      </c>
      <c r="F159" s="10">
        <v>12936</v>
      </c>
      <c r="G159" s="10">
        <v>15015</v>
      </c>
      <c r="H159" s="10">
        <f>9244+8999</f>
        <v>18243</v>
      </c>
      <c r="I159" s="10">
        <f>11280+10682</f>
        <v>21962</v>
      </c>
      <c r="J159" s="10">
        <f>10439+10410</f>
        <v>20849</v>
      </c>
      <c r="K159" s="10">
        <f>12396+12780</f>
        <v>25176</v>
      </c>
      <c r="L159" s="10">
        <f>13843+12904</f>
        <v>26747</v>
      </c>
      <c r="M159" s="10">
        <f>11001+10778</f>
        <v>21779</v>
      </c>
      <c r="N159" s="10">
        <f>10757+10739</f>
        <v>21496</v>
      </c>
      <c r="O159" s="10">
        <f>10033+10355</f>
        <v>20388</v>
      </c>
      <c r="P159" s="10">
        <f>10091+9413</f>
        <v>19504</v>
      </c>
      <c r="Q159" s="6">
        <f t="shared" si="4"/>
        <v>239427</v>
      </c>
      <c r="R159" s="15">
        <f t="shared" si="5"/>
        <v>0.23330156849614969</v>
      </c>
    </row>
    <row r="160" spans="1:18">
      <c r="A160" s="1" t="s">
        <v>253</v>
      </c>
      <c r="B160" s="7" t="s">
        <v>322</v>
      </c>
      <c r="C160" s="7" t="s">
        <v>323</v>
      </c>
      <c r="D160" s="6">
        <f>'2011 pax'!Q160</f>
        <v>249342</v>
      </c>
      <c r="E160" s="10">
        <v>22054</v>
      </c>
      <c r="F160" s="10">
        <v>24401</v>
      </c>
      <c r="G160" s="10">
        <v>23275</v>
      </c>
      <c r="H160" s="10">
        <f>10332+10722</f>
        <v>21054</v>
      </c>
      <c r="I160" s="10">
        <f>12032+11775</f>
        <v>23807</v>
      </c>
      <c r="J160" s="10">
        <f>10497+10801</f>
        <v>21298</v>
      </c>
      <c r="K160" s="10">
        <f>11896+11898</f>
        <v>23794</v>
      </c>
      <c r="L160" s="10">
        <f>12784+12198</f>
        <v>24982</v>
      </c>
      <c r="M160" s="10">
        <f>11482+11648</f>
        <v>23130</v>
      </c>
      <c r="N160" s="10">
        <f>12312+11747</f>
        <v>24059</v>
      </c>
      <c r="O160" s="10">
        <f>11719+11960</f>
        <v>23679</v>
      </c>
      <c r="P160" s="10">
        <f>12653+12029</f>
        <v>24682</v>
      </c>
      <c r="Q160" s="6">
        <f t="shared" si="4"/>
        <v>280215</v>
      </c>
      <c r="R160" s="15">
        <f t="shared" si="5"/>
        <v>0.12381788868301369</v>
      </c>
    </row>
    <row r="161" spans="1:21">
      <c r="A161" s="1" t="s">
        <v>253</v>
      </c>
      <c r="B161" s="7" t="s">
        <v>318</v>
      </c>
      <c r="C161" s="7" t="s">
        <v>319</v>
      </c>
      <c r="D161" s="6">
        <f>'2011 pax'!Q161</f>
        <v>365771</v>
      </c>
      <c r="E161" s="10">
        <v>32420</v>
      </c>
      <c r="F161" s="10">
        <v>34440</v>
      </c>
      <c r="G161" s="10">
        <v>32470</v>
      </c>
      <c r="H161" s="10">
        <f>15366+14945</f>
        <v>30311</v>
      </c>
      <c r="I161" s="10">
        <f>16398+16621</f>
        <v>33019</v>
      </c>
      <c r="J161" s="10">
        <f>17289+15585</f>
        <v>32874</v>
      </c>
      <c r="K161" s="10">
        <f>19511+20247</f>
        <v>39758</v>
      </c>
      <c r="L161" s="10">
        <f>21344+20444</f>
        <v>41788</v>
      </c>
      <c r="M161" s="10">
        <f>18667+17866</f>
        <v>36533</v>
      </c>
      <c r="N161" s="10">
        <f>20403+19578</f>
        <v>39981</v>
      </c>
      <c r="O161" s="10">
        <f>17393+18128</f>
        <v>35521</v>
      </c>
      <c r="P161" s="10">
        <f>18839+21483</f>
        <v>40322</v>
      </c>
      <c r="Q161" s="6">
        <f t="shared" si="4"/>
        <v>429437</v>
      </c>
      <c r="R161" s="15">
        <f t="shared" si="5"/>
        <v>0.17405972589407037</v>
      </c>
    </row>
    <row r="162" spans="1:21">
      <c r="A162" s="1" t="s">
        <v>253</v>
      </c>
      <c r="B162" s="7" t="s">
        <v>316</v>
      </c>
      <c r="C162" s="7" t="s">
        <v>317</v>
      </c>
      <c r="D162" s="6">
        <f>'2011 pax'!Q162</f>
        <v>334521</v>
      </c>
      <c r="E162" s="10">
        <v>28589</v>
      </c>
      <c r="F162" s="10">
        <v>31670</v>
      </c>
      <c r="G162" s="10">
        <v>33480</v>
      </c>
      <c r="H162" s="10">
        <f>14712+14291</f>
        <v>29003</v>
      </c>
      <c r="I162" s="10">
        <f>16206+15998</f>
        <v>32204</v>
      </c>
      <c r="J162" s="10">
        <f>16200+15771</f>
        <v>31971</v>
      </c>
      <c r="K162" s="10">
        <f>16597+16774</f>
        <v>33371</v>
      </c>
      <c r="L162" s="10">
        <f>17889+17640</f>
        <v>35529</v>
      </c>
      <c r="M162" s="10">
        <f>16305+15982</f>
        <v>32287</v>
      </c>
      <c r="N162" s="10">
        <f>18619+18309</f>
        <v>36928</v>
      </c>
      <c r="O162" s="10">
        <f>16993+17088</f>
        <v>34081</v>
      </c>
      <c r="P162" s="10">
        <f>16243+18294</f>
        <v>34537</v>
      </c>
      <c r="Q162" s="6">
        <f t="shared" si="4"/>
        <v>393650</v>
      </c>
      <c r="R162" s="15">
        <f t="shared" si="5"/>
        <v>0.17675721404635292</v>
      </c>
    </row>
    <row r="163" spans="1:21">
      <c r="A163" s="1" t="s">
        <v>326</v>
      </c>
      <c r="B163" s="7" t="s">
        <v>327</v>
      </c>
      <c r="C163" s="7" t="s">
        <v>328</v>
      </c>
      <c r="D163" s="6">
        <f>'2011 pax'!Q163</f>
        <v>2359859</v>
      </c>
      <c r="E163" s="10">
        <f>94094+109371</f>
        <v>203465</v>
      </c>
      <c r="F163" s="10">
        <f>105531+105163</f>
        <v>210694</v>
      </c>
      <c r="G163" s="10">
        <f>101353+111126</f>
        <v>212479</v>
      </c>
      <c r="H163" s="10">
        <f>103413+99394</f>
        <v>202807</v>
      </c>
      <c r="I163" s="10">
        <f>88537+93395</f>
        <v>181932</v>
      </c>
      <c r="J163" s="10">
        <f>35901+37929</f>
        <v>73830</v>
      </c>
      <c r="K163" s="10">
        <f>52067+50713</f>
        <v>102780</v>
      </c>
      <c r="L163" s="10">
        <f>52400+52425</f>
        <v>104825</v>
      </c>
      <c r="M163" s="10">
        <f>40586+41375</f>
        <v>81961</v>
      </c>
      <c r="N163" s="10">
        <f>43984+38584</f>
        <v>82568</v>
      </c>
      <c r="O163" s="10"/>
      <c r="P163" s="10"/>
      <c r="Q163" s="6">
        <f t="shared" si="4"/>
        <v>1457341</v>
      </c>
      <c r="R163" s="15">
        <f t="shared" si="5"/>
        <v>-0.38244573086781875</v>
      </c>
    </row>
    <row r="164" spans="1:21">
      <c r="A164" s="1" t="s">
        <v>326</v>
      </c>
      <c r="B164" s="7" t="s">
        <v>329</v>
      </c>
      <c r="C164" s="7" t="s">
        <v>330</v>
      </c>
      <c r="D164" s="6">
        <f>'2011 pax'!Q164</f>
        <v>245740</v>
      </c>
      <c r="E164" s="10">
        <f>25898+28676</f>
        <v>54574</v>
      </c>
      <c r="F164" s="10">
        <f>25668+23319</f>
        <v>48987</v>
      </c>
      <c r="G164" s="10">
        <f>13192+13506</f>
        <v>26698</v>
      </c>
      <c r="H164" s="10">
        <f>8410+8070</f>
        <v>16480</v>
      </c>
      <c r="I164" s="10">
        <f>5332+5604</f>
        <v>10936</v>
      </c>
      <c r="J164" s="10">
        <f>1442+1400</f>
        <v>2842</v>
      </c>
      <c r="K164" s="10">
        <f>3739+3663</f>
        <v>7402</v>
      </c>
      <c r="L164" s="10">
        <f>2386+2851</f>
        <v>5237</v>
      </c>
      <c r="M164" s="10">
        <f>4955+4538</f>
        <v>9493</v>
      </c>
      <c r="N164" s="10">
        <f>4560+3849</f>
        <v>8409</v>
      </c>
      <c r="O164" s="10"/>
      <c r="P164" s="10"/>
      <c r="Q164" s="6">
        <f t="shared" si="4"/>
        <v>191058</v>
      </c>
      <c r="R164" s="15">
        <f t="shared" si="5"/>
        <v>-0.22251973630666555</v>
      </c>
    </row>
    <row r="165" spans="1:21">
      <c r="A165" s="1" t="s">
        <v>16</v>
      </c>
      <c r="B165" s="1" t="s">
        <v>353</v>
      </c>
      <c r="C165" s="1" t="s">
        <v>354</v>
      </c>
      <c r="D165" s="6">
        <f>'2011 pax'!Q165</f>
        <v>5697625</v>
      </c>
      <c r="E165" s="10">
        <v>374123</v>
      </c>
      <c r="F165" s="10">
        <v>366444</v>
      </c>
      <c r="G165" s="10">
        <v>463678</v>
      </c>
      <c r="H165" s="10">
        <v>440507</v>
      </c>
      <c r="I165" s="10">
        <v>490336</v>
      </c>
      <c r="J165" s="10">
        <v>505348</v>
      </c>
      <c r="K165" s="10">
        <v>525139</v>
      </c>
      <c r="L165" s="10">
        <v>499358</v>
      </c>
      <c r="M165" s="10">
        <v>434773</v>
      </c>
      <c r="N165" s="10">
        <v>462760</v>
      </c>
      <c r="O165" s="10">
        <v>407937</v>
      </c>
      <c r="P165" s="10">
        <v>416904</v>
      </c>
      <c r="Q165" s="6">
        <f t="shared" si="4"/>
        <v>5387307</v>
      </c>
      <c r="R165" s="15">
        <f t="shared" si="5"/>
        <v>-5.446444790592575E-2</v>
      </c>
    </row>
    <row r="166" spans="1:21">
      <c r="A166" s="1" t="s">
        <v>16</v>
      </c>
      <c r="B166" s="1" t="s">
        <v>17</v>
      </c>
      <c r="C166" s="1" t="s">
        <v>18</v>
      </c>
      <c r="D166" s="6">
        <f>'2011 pax'!Q166</f>
        <v>92472851</v>
      </c>
      <c r="E166" s="10">
        <v>6800851</v>
      </c>
      <c r="F166" s="10">
        <v>6736786</v>
      </c>
      <c r="G166" s="10">
        <v>8220525</v>
      </c>
      <c r="H166" s="10">
        <v>7985909</v>
      </c>
      <c r="I166" s="10">
        <v>8461608</v>
      </c>
      <c r="J166" s="10">
        <v>8755765</v>
      </c>
      <c r="K166" s="10">
        <v>8906208</v>
      </c>
      <c r="L166" s="10">
        <v>8537189</v>
      </c>
      <c r="M166" s="10">
        <v>7599914</v>
      </c>
      <c r="N166" s="10">
        <v>8270232</v>
      </c>
      <c r="O166" s="10">
        <v>7784500</v>
      </c>
      <c r="P166" s="10">
        <v>7440100</v>
      </c>
      <c r="Q166" s="6">
        <f t="shared" si="4"/>
        <v>95499587</v>
      </c>
      <c r="R166" s="15">
        <f t="shared" si="5"/>
        <v>3.2731076929811476E-2</v>
      </c>
    </row>
    <row r="167" spans="1:21" ht="15.75">
      <c r="A167" s="1" t="s">
        <v>16</v>
      </c>
      <c r="B167" s="1" t="s">
        <v>382</v>
      </c>
      <c r="C167" s="1" t="s">
        <v>348</v>
      </c>
      <c r="D167" s="6">
        <f>'2011 pax'!Q167</f>
        <v>9080875</v>
      </c>
      <c r="E167" s="10">
        <v>659886</v>
      </c>
      <c r="F167" s="10">
        <v>655559</v>
      </c>
      <c r="G167" s="10">
        <v>825958</v>
      </c>
      <c r="H167" s="10">
        <v>775363</v>
      </c>
      <c r="I167" s="10">
        <v>829642</v>
      </c>
      <c r="J167" s="10">
        <v>844994</v>
      </c>
      <c r="K167" s="10">
        <v>867248</v>
      </c>
      <c r="L167" s="10">
        <v>838994</v>
      </c>
      <c r="M167" s="10">
        <v>717212</v>
      </c>
      <c r="N167" s="10">
        <v>821961</v>
      </c>
      <c r="O167" s="10">
        <v>807115</v>
      </c>
      <c r="P167" s="10">
        <v>786382</v>
      </c>
      <c r="Q167" s="6">
        <f t="shared" si="4"/>
        <v>9430314</v>
      </c>
      <c r="R167" s="15">
        <f t="shared" si="5"/>
        <v>3.8480763142318297E-2</v>
      </c>
      <c r="T167" s="13"/>
      <c r="U167" s="13"/>
    </row>
    <row r="168" spans="1:21" ht="15.75">
      <c r="A168" s="1" t="s">
        <v>16</v>
      </c>
      <c r="B168" s="1" t="s">
        <v>383</v>
      </c>
      <c r="C168" s="1" t="s">
        <v>53</v>
      </c>
      <c r="D168" s="6">
        <f>'2011 pax'!Q168</f>
        <v>22391785</v>
      </c>
      <c r="E168" s="10">
        <v>1522469</v>
      </c>
      <c r="F168" s="10">
        <v>1507692</v>
      </c>
      <c r="G168" s="10">
        <v>1902429</v>
      </c>
      <c r="H168" s="10">
        <v>1953527</v>
      </c>
      <c r="I168" s="10">
        <v>2058726</v>
      </c>
      <c r="J168" s="10">
        <v>2189148</v>
      </c>
      <c r="K168" s="10">
        <v>2222339</v>
      </c>
      <c r="L168" s="10">
        <v>2140891</v>
      </c>
      <c r="M168" s="10">
        <v>1780337</v>
      </c>
      <c r="N168" s="10">
        <v>1857782</v>
      </c>
      <c r="O168" s="10">
        <v>1828154</v>
      </c>
      <c r="P168" s="10">
        <v>1716393</v>
      </c>
      <c r="Q168" s="6">
        <f t="shared" si="4"/>
        <v>22679887</v>
      </c>
      <c r="R168" s="15">
        <f t="shared" si="5"/>
        <v>1.2866415071420167E-2</v>
      </c>
      <c r="U168" s="13"/>
    </row>
    <row r="169" spans="1:21" ht="15.75">
      <c r="A169" s="1" t="s">
        <v>16</v>
      </c>
      <c r="B169" s="1" t="s">
        <v>489</v>
      </c>
      <c r="C169" s="1" t="s">
        <v>431</v>
      </c>
      <c r="D169" s="6">
        <f>'2011 pax'!Q169</f>
        <v>1127936</v>
      </c>
      <c r="E169" s="10">
        <v>78449</v>
      </c>
      <c r="F169" s="10">
        <v>76062</v>
      </c>
      <c r="G169" s="10">
        <v>95357</v>
      </c>
      <c r="H169" s="10">
        <v>90376</v>
      </c>
      <c r="I169" s="10">
        <v>105198</v>
      </c>
      <c r="J169" s="10">
        <v>110337</v>
      </c>
      <c r="K169" s="10">
        <v>98905</v>
      </c>
      <c r="L169" s="10">
        <v>104479</v>
      </c>
      <c r="M169" s="10">
        <v>94715</v>
      </c>
      <c r="N169" s="10">
        <v>105146</v>
      </c>
      <c r="O169" s="10">
        <v>93165</v>
      </c>
      <c r="P169" s="10">
        <v>82834</v>
      </c>
      <c r="Q169" s="6">
        <f t="shared" si="4"/>
        <v>1135023</v>
      </c>
      <c r="R169" s="15">
        <f t="shared" si="5"/>
        <v>6.2831579096687129E-3</v>
      </c>
    </row>
    <row r="170" spans="1:21">
      <c r="A170" s="1" t="s">
        <v>16</v>
      </c>
      <c r="B170" s="1" t="s">
        <v>423</v>
      </c>
      <c r="C170" s="1" t="s">
        <v>424</v>
      </c>
      <c r="D170" s="6">
        <f>'2011 pax'!Q170</f>
        <v>2781706</v>
      </c>
      <c r="E170" s="10">
        <v>198069</v>
      </c>
      <c r="F170" s="10">
        <v>189151</v>
      </c>
      <c r="G170" s="10">
        <v>218017</v>
      </c>
      <c r="H170" s="10">
        <v>195733</v>
      </c>
      <c r="I170" s="10">
        <v>218152</v>
      </c>
      <c r="J170" s="10">
        <v>233753</v>
      </c>
      <c r="K170" s="10">
        <v>242372</v>
      </c>
      <c r="L170" s="10">
        <v>250184</v>
      </c>
      <c r="M170" s="10">
        <v>207233</v>
      </c>
      <c r="N170" s="10">
        <v>216900</v>
      </c>
      <c r="O170" s="10">
        <v>219413</v>
      </c>
      <c r="P170" s="10">
        <v>220839</v>
      </c>
      <c r="Q170" s="6">
        <f t="shared" si="4"/>
        <v>2609816</v>
      </c>
      <c r="R170" s="15">
        <f t="shared" si="5"/>
        <v>-6.179301479020427E-2</v>
      </c>
      <c r="S170" s="13"/>
    </row>
    <row r="171" spans="1:21" ht="15.75">
      <c r="A171" s="1" t="s">
        <v>16</v>
      </c>
      <c r="B171" s="1" t="s">
        <v>452</v>
      </c>
      <c r="C171" s="1" t="s">
        <v>48</v>
      </c>
      <c r="D171" s="6">
        <f>'2011 pax'!Q171</f>
        <v>28805375</v>
      </c>
      <c r="E171" s="10">
        <v>1976261</v>
      </c>
      <c r="F171" s="10">
        <v>1967339</v>
      </c>
      <c r="G171" s="10">
        <v>2443052</v>
      </c>
      <c r="H171" s="10">
        <v>2531784</v>
      </c>
      <c r="I171" s="10">
        <v>2615014</v>
      </c>
      <c r="J171" s="10">
        <v>2724946</v>
      </c>
      <c r="K171" s="10">
        <v>2842235</v>
      </c>
      <c r="L171" s="10">
        <v>2886141</v>
      </c>
      <c r="M171" s="10">
        <v>2404093</v>
      </c>
      <c r="N171" s="10">
        <v>2473745</v>
      </c>
      <c r="O171" s="10">
        <v>2318381</v>
      </c>
      <c r="P171" s="10">
        <v>2142256</v>
      </c>
      <c r="Q171" s="6">
        <f t="shared" si="4"/>
        <v>29325247</v>
      </c>
      <c r="R171" s="15">
        <f t="shared" si="5"/>
        <v>1.8047742825774593E-2</v>
      </c>
      <c r="S171" s="13"/>
    </row>
    <row r="172" spans="1:21">
      <c r="A172" s="1" t="s">
        <v>16</v>
      </c>
      <c r="B172" s="1" t="s">
        <v>535</v>
      </c>
      <c r="C172" s="1" t="s">
        <v>536</v>
      </c>
      <c r="D172" s="6">
        <v>5154768</v>
      </c>
      <c r="E172" s="10">
        <v>337364</v>
      </c>
      <c r="F172" s="10">
        <v>354166</v>
      </c>
      <c r="G172" s="10">
        <v>435888</v>
      </c>
      <c r="H172" s="10">
        <v>446342</v>
      </c>
      <c r="I172" s="10">
        <v>476882</v>
      </c>
      <c r="J172" s="10">
        <v>452369</v>
      </c>
      <c r="K172" s="10">
        <v>509534</v>
      </c>
      <c r="L172" s="10">
        <v>522696</v>
      </c>
      <c r="M172" s="10">
        <v>420751</v>
      </c>
      <c r="N172" s="10">
        <v>439503</v>
      </c>
      <c r="O172" s="10">
        <v>403089</v>
      </c>
      <c r="P172" s="10">
        <v>379329</v>
      </c>
      <c r="Q172" s="6">
        <f t="shared" si="4"/>
        <v>5177913</v>
      </c>
      <c r="R172" s="15">
        <f t="shared" si="5"/>
        <v>4.4900177854754197E-3</v>
      </c>
      <c r="S172" s="13"/>
    </row>
    <row r="173" spans="1:21" ht="15.75">
      <c r="A173" s="1" t="s">
        <v>16</v>
      </c>
      <c r="B173" s="1" t="s">
        <v>417</v>
      </c>
      <c r="C173" s="1" t="s">
        <v>407</v>
      </c>
      <c r="D173" s="6">
        <f>'2011 pax'!Q173</f>
        <v>4301568</v>
      </c>
      <c r="E173" s="10">
        <v>334530</v>
      </c>
      <c r="F173" s="10">
        <v>309259</v>
      </c>
      <c r="G173" s="10">
        <v>332740</v>
      </c>
      <c r="H173" s="10">
        <v>338821</v>
      </c>
      <c r="I173" s="10">
        <v>344566</v>
      </c>
      <c r="J173" s="10">
        <v>342944</v>
      </c>
      <c r="K173" s="10">
        <v>347501</v>
      </c>
      <c r="L173" s="10">
        <v>362763</v>
      </c>
      <c r="M173" s="10">
        <v>324176</v>
      </c>
      <c r="N173" s="10">
        <v>344348</v>
      </c>
      <c r="O173" s="10">
        <v>344802</v>
      </c>
      <c r="P173" s="10">
        <v>330966</v>
      </c>
      <c r="Q173" s="6">
        <f t="shared" si="4"/>
        <v>4057416</v>
      </c>
      <c r="R173" s="15">
        <f t="shared" si="5"/>
        <v>-5.675883770755219E-2</v>
      </c>
      <c r="T173" s="13"/>
    </row>
    <row r="174" spans="1:21">
      <c r="A174" s="1" t="s">
        <v>16</v>
      </c>
      <c r="B174" s="1" t="s">
        <v>439</v>
      </c>
      <c r="C174" s="1" t="s">
        <v>440</v>
      </c>
      <c r="D174" s="6">
        <f>'2011 pax'!Q174</f>
        <v>2520829</v>
      </c>
      <c r="E174" s="10">
        <v>165385</v>
      </c>
      <c r="F174" s="10">
        <v>169836</v>
      </c>
      <c r="G174" s="10">
        <v>228987</v>
      </c>
      <c r="H174" s="10">
        <f>121660+118673</f>
        <v>240333</v>
      </c>
      <c r="I174" s="10">
        <f>121887+122669</f>
        <v>244556</v>
      </c>
      <c r="J174" s="10">
        <f>118400+116892</f>
        <v>235292</v>
      </c>
      <c r="K174" s="10">
        <f>112540+112220</f>
        <v>224760</v>
      </c>
      <c r="L174" s="10">
        <f>116470+115750</f>
        <v>232220</v>
      </c>
      <c r="M174" s="10">
        <f>106540+107677</f>
        <v>214217</v>
      </c>
      <c r="N174" s="10">
        <f>116420+116935</f>
        <v>233355</v>
      </c>
      <c r="O174" s="10">
        <f>109562+107278</f>
        <v>216840</v>
      </c>
      <c r="P174" s="10">
        <f>94803+92639</f>
        <v>187442</v>
      </c>
      <c r="Q174" s="6">
        <f t="shared" si="4"/>
        <v>2593223</v>
      </c>
      <c r="R174" s="15">
        <f t="shared" si="5"/>
        <v>2.8718330358782795E-2</v>
      </c>
    </row>
    <row r="175" spans="1:21">
      <c r="A175" s="1" t="s">
        <v>16</v>
      </c>
      <c r="B175" s="1" t="s">
        <v>34</v>
      </c>
      <c r="C175" s="1" t="s">
        <v>35</v>
      </c>
      <c r="D175" s="6">
        <f>'2011 pax'!Q175</f>
        <v>39143708</v>
      </c>
      <c r="E175" s="10">
        <v>3143524</v>
      </c>
      <c r="F175" s="10">
        <v>3063224</v>
      </c>
      <c r="G175" s="10">
        <v>3540758</v>
      </c>
      <c r="H175" s="10">
        <f>1707525+1720736</f>
        <v>3428261</v>
      </c>
      <c r="I175" s="10">
        <f>1813883+1810627</f>
        <v>3624510</v>
      </c>
      <c r="J175" s="10">
        <f>1792175+1779812</f>
        <v>3571987</v>
      </c>
      <c r="K175" s="10">
        <f>1803901+1820304</f>
        <v>3624205</v>
      </c>
      <c r="L175" s="10">
        <f>1835868+1855396</f>
        <v>3691264</v>
      </c>
      <c r="M175" s="10">
        <f>1613166+1609576</f>
        <v>3222742</v>
      </c>
      <c r="N175" s="10">
        <f>1737166+1745360</f>
        <v>3482526</v>
      </c>
      <c r="O175" s="10">
        <f>1721931+1722195</f>
        <v>3444126</v>
      </c>
      <c r="P175" s="10">
        <f>1696273+1692635</f>
        <v>3388908</v>
      </c>
      <c r="Q175" s="6">
        <f t="shared" si="4"/>
        <v>41226035</v>
      </c>
      <c r="R175" s="15">
        <f t="shared" si="5"/>
        <v>5.3196978681733453E-2</v>
      </c>
    </row>
    <row r="176" spans="1:21" ht="15.75">
      <c r="A176" s="1" t="s">
        <v>16</v>
      </c>
      <c r="B176" s="1" t="s">
        <v>384</v>
      </c>
      <c r="C176" s="1" t="s">
        <v>57</v>
      </c>
      <c r="D176" s="6">
        <f>'2011 pax'!Q176</f>
        <v>18880130</v>
      </c>
      <c r="E176" s="10">
        <v>1267251</v>
      </c>
      <c r="F176" s="10">
        <v>1230251</v>
      </c>
      <c r="G176" s="10">
        <v>1659634</v>
      </c>
      <c r="H176" s="10">
        <v>1635337</v>
      </c>
      <c r="I176" s="10">
        <v>1721165</v>
      </c>
      <c r="J176" s="10">
        <v>1848183</v>
      </c>
      <c r="K176" s="10">
        <v>1894074</v>
      </c>
      <c r="L176" s="10">
        <v>1835955</v>
      </c>
      <c r="M176" s="10">
        <v>1588168</v>
      </c>
      <c r="N176" s="10">
        <v>1751941</v>
      </c>
      <c r="O176" s="10">
        <v>1558619</v>
      </c>
      <c r="P176" s="10">
        <v>1525549</v>
      </c>
      <c r="Q176" s="6">
        <f t="shared" si="4"/>
        <v>19516127</v>
      </c>
      <c r="R176" s="15">
        <f t="shared" si="5"/>
        <v>3.3686049831224585E-2</v>
      </c>
      <c r="S176" s="13"/>
    </row>
    <row r="177" spans="1:21" ht="15.75">
      <c r="A177" s="1" t="s">
        <v>16</v>
      </c>
      <c r="B177" s="1" t="s">
        <v>385</v>
      </c>
      <c r="C177" s="1" t="s">
        <v>19</v>
      </c>
      <c r="D177" s="6">
        <f>'2011 pax'!Q177</f>
        <v>66778446</v>
      </c>
      <c r="E177" s="10">
        <v>4781528</v>
      </c>
      <c r="F177" s="10">
        <v>4668495</v>
      </c>
      <c r="G177" s="10">
        <v>5794881</v>
      </c>
      <c r="H177" s="10">
        <v>5705366</v>
      </c>
      <c r="I177" s="10">
        <v>6027675</v>
      </c>
      <c r="J177" s="10">
        <v>6361165</v>
      </c>
      <c r="K177" s="10">
        <v>6221531</v>
      </c>
      <c r="L177" s="10">
        <v>6242731</v>
      </c>
      <c r="M177" s="10">
        <v>5804905</v>
      </c>
      <c r="N177" s="10">
        <v>5793365</v>
      </c>
      <c r="O177" s="10">
        <v>5193366</v>
      </c>
      <c r="P177" s="10">
        <v>4985519</v>
      </c>
      <c r="Q177" s="6">
        <f t="shared" si="4"/>
        <v>67580527</v>
      </c>
      <c r="R177" s="15">
        <f t="shared" si="5"/>
        <v>1.2011076148732203E-2</v>
      </c>
      <c r="S177" s="13"/>
    </row>
    <row r="178" spans="1:21">
      <c r="A178" s="1" t="s">
        <v>16</v>
      </c>
      <c r="B178" s="1" t="s">
        <v>349</v>
      </c>
      <c r="C178" s="1" t="s">
        <v>350</v>
      </c>
      <c r="D178" s="6">
        <f>'2011 pax'!Q178</f>
        <v>7034930</v>
      </c>
      <c r="E178" s="10">
        <v>424537</v>
      </c>
      <c r="F178" s="10">
        <v>435318</v>
      </c>
      <c r="G178" s="10">
        <v>558607</v>
      </c>
      <c r="H178" s="10">
        <v>523070</v>
      </c>
      <c r="I178" s="10">
        <v>538433</v>
      </c>
      <c r="J178" s="10">
        <v>574055</v>
      </c>
      <c r="K178" s="10">
        <v>566133</v>
      </c>
      <c r="L178" s="10">
        <v>554117</v>
      </c>
      <c r="M178" s="10">
        <v>462056</v>
      </c>
      <c r="N178" s="10">
        <v>514934</v>
      </c>
      <c r="O178" s="10">
        <v>469119</v>
      </c>
      <c r="P178" s="10">
        <v>418438</v>
      </c>
      <c r="Q178" s="6">
        <f t="shared" si="4"/>
        <v>6038817</v>
      </c>
      <c r="R178" s="15">
        <f t="shared" si="5"/>
        <v>-0.14159529661275949</v>
      </c>
      <c r="S178" s="13"/>
      <c r="U178" s="13"/>
    </row>
    <row r="179" spans="1:21">
      <c r="A179" s="1" t="s">
        <v>16</v>
      </c>
      <c r="B179" s="1" t="s">
        <v>544</v>
      </c>
      <c r="C179" s="1" t="s">
        <v>543</v>
      </c>
      <c r="D179" s="6">
        <v>9176824</v>
      </c>
      <c r="E179" s="38">
        <v>586867</v>
      </c>
      <c r="F179" s="39">
        <v>619025</v>
      </c>
      <c r="G179" s="39">
        <v>773215</v>
      </c>
      <c r="H179" s="10">
        <v>782945</v>
      </c>
      <c r="I179" s="10">
        <v>797903</v>
      </c>
      <c r="J179" s="10">
        <v>860085</v>
      </c>
      <c r="K179" s="10">
        <v>856375</v>
      </c>
      <c r="L179" s="10">
        <v>838297</v>
      </c>
      <c r="M179" s="10">
        <v>714717</v>
      </c>
      <c r="N179" s="39">
        <v>769802</v>
      </c>
      <c r="O179" s="39">
        <v>717401</v>
      </c>
      <c r="P179" s="39">
        <v>693842</v>
      </c>
      <c r="Q179" s="6">
        <f t="shared" si="4"/>
        <v>9010474</v>
      </c>
      <c r="R179" s="15">
        <f t="shared" si="5"/>
        <v>-1.8127186486305069E-2</v>
      </c>
      <c r="S179" s="13"/>
      <c r="U179" s="13"/>
    </row>
    <row r="180" spans="1:21" ht="15.75">
      <c r="A180" s="1" t="s">
        <v>16</v>
      </c>
      <c r="B180" s="1" t="s">
        <v>451</v>
      </c>
      <c r="C180" s="1" t="s">
        <v>434</v>
      </c>
      <c r="D180" s="6">
        <f>'2011 pax'!Q180</f>
        <v>1635263</v>
      </c>
      <c r="E180" s="10">
        <v>109693</v>
      </c>
      <c r="F180" s="10">
        <v>108177</v>
      </c>
      <c r="G180" s="10">
        <f>64249+61829</f>
        <v>126078</v>
      </c>
      <c r="H180" s="10">
        <f>61029+61579+5511+1743</f>
        <v>129862</v>
      </c>
      <c r="I180" s="10">
        <f>73098+71157+5210</f>
        <v>149465</v>
      </c>
      <c r="J180" s="10">
        <f>81320+83279</f>
        <v>164599</v>
      </c>
      <c r="K180" s="10">
        <f>82022+83661+6147</f>
        <v>171830</v>
      </c>
      <c r="L180" s="10">
        <f>79457+80731+6341</f>
        <v>166529</v>
      </c>
      <c r="M180" s="10">
        <f>68257+66916+3710</f>
        <v>138883</v>
      </c>
      <c r="N180" s="10">
        <f>71820+70004+4762</f>
        <v>146586</v>
      </c>
      <c r="O180" s="10">
        <f>64983+64443+4836</f>
        <v>134262</v>
      </c>
      <c r="P180" s="10">
        <f>66314+65113+4047</f>
        <v>135474</v>
      </c>
      <c r="Q180" s="6">
        <f t="shared" si="4"/>
        <v>1681438</v>
      </c>
      <c r="R180" s="15">
        <f t="shared" si="5"/>
        <v>2.8237048107857987E-2</v>
      </c>
    </row>
    <row r="181" spans="1:21">
      <c r="A181" s="1" t="s">
        <v>16</v>
      </c>
      <c r="B181" s="1" t="s">
        <v>517</v>
      </c>
      <c r="C181" s="1" t="s">
        <v>518</v>
      </c>
      <c r="D181" s="6">
        <f>'2011 pax'!Q181</f>
        <v>996158</v>
      </c>
      <c r="E181" s="10">
        <v>73796</v>
      </c>
      <c r="F181" s="10">
        <v>72919</v>
      </c>
      <c r="G181" s="10">
        <v>84923</v>
      </c>
      <c r="H181" s="10">
        <v>89341</v>
      </c>
      <c r="I181" s="10">
        <v>88660</v>
      </c>
      <c r="J181" s="10">
        <v>89075</v>
      </c>
      <c r="K181" s="10">
        <v>84604</v>
      </c>
      <c r="L181" s="10">
        <v>92248</v>
      </c>
      <c r="M181" s="10">
        <v>81045</v>
      </c>
      <c r="N181" s="10">
        <v>90678</v>
      </c>
      <c r="O181" s="10">
        <v>86441</v>
      </c>
      <c r="P181" s="10">
        <v>78043</v>
      </c>
      <c r="Q181" s="6">
        <f t="shared" si="4"/>
        <v>1011773</v>
      </c>
      <c r="R181" s="15">
        <f t="shared" si="5"/>
        <v>1.5675224211420202E-2</v>
      </c>
    </row>
    <row r="182" spans="1:21">
      <c r="A182" s="1" t="s">
        <v>16</v>
      </c>
      <c r="B182" s="1" t="s">
        <v>403</v>
      </c>
      <c r="C182" s="1" t="s">
        <v>404</v>
      </c>
      <c r="D182" s="6">
        <f>'2011 pax'!Q182</f>
        <v>6373904</v>
      </c>
      <c r="E182" s="10">
        <v>446829</v>
      </c>
      <c r="F182" s="10">
        <v>454641</v>
      </c>
      <c r="G182" s="10">
        <v>581548</v>
      </c>
      <c r="H182" s="10">
        <v>524678</v>
      </c>
      <c r="I182" s="10">
        <v>548138</v>
      </c>
      <c r="J182" s="10">
        <v>596773</v>
      </c>
      <c r="K182" s="10">
        <v>583845</v>
      </c>
      <c r="L182" s="10">
        <v>548514</v>
      </c>
      <c r="M182" s="10">
        <v>498904</v>
      </c>
      <c r="N182" s="10">
        <v>539997</v>
      </c>
      <c r="O182" s="10">
        <v>520042</v>
      </c>
      <c r="P182" s="10">
        <v>489130</v>
      </c>
      <c r="Q182" s="6">
        <f t="shared" si="4"/>
        <v>6333039</v>
      </c>
      <c r="R182" s="15">
        <f t="shared" si="5"/>
        <v>-6.4112983188953088E-3</v>
      </c>
    </row>
    <row r="183" spans="1:21">
      <c r="A183" s="1" t="s">
        <v>16</v>
      </c>
      <c r="B183" s="1" t="s">
        <v>22</v>
      </c>
      <c r="C183" s="1" t="s">
        <v>23</v>
      </c>
      <c r="D183" s="6">
        <f>'2011 pax'!Q183</f>
        <v>57805986</v>
      </c>
      <c r="E183" s="10">
        <v>4363803</v>
      </c>
      <c r="F183" s="10">
        <v>4255766</v>
      </c>
      <c r="G183" s="10">
        <v>5009142</v>
      </c>
      <c r="H183" s="10">
        <v>4636562</v>
      </c>
      <c r="I183" s="10">
        <v>5167053</v>
      </c>
      <c r="J183" s="10">
        <v>5298743</v>
      </c>
      <c r="K183" s="10">
        <v>5444431</v>
      </c>
      <c r="L183" s="10">
        <v>5238432</v>
      </c>
      <c r="M183" s="10">
        <v>4592608</v>
      </c>
      <c r="N183" s="10">
        <v>4972955</v>
      </c>
      <c r="O183" s="10">
        <v>4767803</v>
      </c>
      <c r="P183" s="10">
        <v>4843335</v>
      </c>
      <c r="Q183" s="6">
        <f t="shared" si="4"/>
        <v>58590633</v>
      </c>
      <c r="R183" s="15">
        <f t="shared" si="5"/>
        <v>1.3573801855053524E-2</v>
      </c>
      <c r="S183" s="17"/>
    </row>
    <row r="184" spans="1:21" ht="15.75">
      <c r="A184" s="1" t="s">
        <v>16</v>
      </c>
      <c r="B184" s="1" t="s">
        <v>505</v>
      </c>
      <c r="C184" s="1" t="s">
        <v>495</v>
      </c>
      <c r="D184" s="6">
        <f>'2011 pax'!Q184</f>
        <v>7980020</v>
      </c>
      <c r="E184" s="10">
        <v>614568</v>
      </c>
      <c r="F184" s="10">
        <v>620947</v>
      </c>
      <c r="G184" s="10">
        <v>695266</v>
      </c>
      <c r="H184" s="10">
        <v>671088</v>
      </c>
      <c r="I184" s="10">
        <v>708483</v>
      </c>
      <c r="J184" s="10">
        <v>715260</v>
      </c>
      <c r="K184" s="10">
        <v>714989</v>
      </c>
      <c r="L184" s="10">
        <v>704335</v>
      </c>
      <c r="M184" s="10">
        <v>644597</v>
      </c>
      <c r="N184" s="10">
        <v>732399</v>
      </c>
      <c r="O184" s="12">
        <v>685145</v>
      </c>
      <c r="P184" s="10">
        <v>657524</v>
      </c>
      <c r="Q184" s="6">
        <f t="shared" si="4"/>
        <v>8164601</v>
      </c>
      <c r="R184" s="15">
        <f t="shared" si="5"/>
        <v>2.3130393156909346E-2</v>
      </c>
      <c r="S184" s="13"/>
    </row>
    <row r="185" spans="1:21" ht="15.75">
      <c r="A185" s="1" t="s">
        <v>16</v>
      </c>
      <c r="B185" s="1" t="s">
        <v>386</v>
      </c>
      <c r="C185" s="1" t="s">
        <v>24</v>
      </c>
      <c r="D185" s="6">
        <f>'2011 pax'!Q185</f>
        <v>52849132</v>
      </c>
      <c r="E185" s="10">
        <v>3905138</v>
      </c>
      <c r="F185" s="10">
        <v>3759019</v>
      </c>
      <c r="G185" s="10">
        <v>4458044</v>
      </c>
      <c r="H185" s="10">
        <v>4137759</v>
      </c>
      <c r="I185" s="10">
        <v>4534029</v>
      </c>
      <c r="J185" s="10">
        <v>4820245</v>
      </c>
      <c r="K185" s="10">
        <v>5094102</v>
      </c>
      <c r="L185" s="10">
        <v>5083518</v>
      </c>
      <c r="M185" s="10">
        <v>4379049</v>
      </c>
      <c r="N185" s="10">
        <v>4505553</v>
      </c>
      <c r="O185" s="10">
        <v>4179802</v>
      </c>
      <c r="P185" s="10">
        <v>4308760</v>
      </c>
      <c r="Q185" s="6">
        <f t="shared" si="4"/>
        <v>53165018</v>
      </c>
      <c r="R185" s="15">
        <f t="shared" si="5"/>
        <v>5.9771274956796905E-3</v>
      </c>
      <c r="S185" s="13"/>
    </row>
    <row r="186" spans="1:21">
      <c r="A186" s="1" t="s">
        <v>16</v>
      </c>
      <c r="B186" s="1" t="s">
        <v>437</v>
      </c>
      <c r="C186" s="1" t="s">
        <v>438</v>
      </c>
      <c r="D186" s="6">
        <f>'2011 pax'!Q186</f>
        <v>1912996</v>
      </c>
      <c r="E186" s="10">
        <v>149670</v>
      </c>
      <c r="F186" s="10">
        <v>152735</v>
      </c>
      <c r="G186" s="10">
        <v>179040</v>
      </c>
      <c r="H186" s="10">
        <v>158430</v>
      </c>
      <c r="I186" s="10">
        <v>180631</v>
      </c>
      <c r="J186" s="10">
        <v>191968</v>
      </c>
      <c r="K186" s="10">
        <v>184178</v>
      </c>
      <c r="L186" s="10">
        <v>186140</v>
      </c>
      <c r="M186" s="10">
        <v>163254</v>
      </c>
      <c r="N186" s="10">
        <v>188879</v>
      </c>
      <c r="O186" s="10">
        <v>178444</v>
      </c>
      <c r="P186" s="10">
        <v>166793</v>
      </c>
      <c r="Q186" s="6">
        <f t="shared" si="4"/>
        <v>2080162</v>
      </c>
      <c r="R186" s="15">
        <f t="shared" si="5"/>
        <v>8.7384395994555053E-2</v>
      </c>
    </row>
    <row r="187" spans="1:21">
      <c r="A187" s="1" t="s">
        <v>16</v>
      </c>
      <c r="B187" s="1" t="s">
        <v>42</v>
      </c>
      <c r="C187" s="1" t="s">
        <v>43</v>
      </c>
      <c r="D187" s="6">
        <f>'2011 pax'!Q187</f>
        <v>32407730</v>
      </c>
      <c r="E187" s="10">
        <v>2267903</v>
      </c>
      <c r="F187" s="10">
        <v>2253016</v>
      </c>
      <c r="G187" s="10">
        <v>2845304</v>
      </c>
      <c r="H187" s="10">
        <v>2707046</v>
      </c>
      <c r="I187" s="10">
        <v>2772135</v>
      </c>
      <c r="J187" s="10">
        <v>2975001</v>
      </c>
      <c r="K187" s="10">
        <v>3026740</v>
      </c>
      <c r="L187" s="10">
        <v>3047988</v>
      </c>
      <c r="M187" s="10">
        <v>2560387</v>
      </c>
      <c r="N187" s="10">
        <v>2754322</v>
      </c>
      <c r="O187" s="10">
        <v>2584233</v>
      </c>
      <c r="P187" s="10">
        <v>2414667</v>
      </c>
      <c r="Q187" s="6">
        <f t="shared" si="4"/>
        <v>32208742</v>
      </c>
      <c r="R187" s="15">
        <f t="shared" si="5"/>
        <v>-6.140140022149021E-3</v>
      </c>
      <c r="S187" s="13"/>
    </row>
    <row r="188" spans="1:21">
      <c r="A188" s="1" t="s">
        <v>16</v>
      </c>
      <c r="B188" s="1" t="s">
        <v>421</v>
      </c>
      <c r="C188" s="1" t="s">
        <v>422</v>
      </c>
      <c r="D188" s="6">
        <f>'2011 pax'!Q188</f>
        <v>2947636</v>
      </c>
      <c r="E188" s="10">
        <v>202933</v>
      </c>
      <c r="F188" s="10">
        <v>196240</v>
      </c>
      <c r="G188" s="10">
        <v>243215</v>
      </c>
      <c r="H188" s="10">
        <v>236719</v>
      </c>
      <c r="I188" s="10">
        <v>253643</v>
      </c>
      <c r="J188" s="10">
        <v>271895</v>
      </c>
      <c r="K188" s="10">
        <v>278348</v>
      </c>
      <c r="L188" s="10">
        <v>262420</v>
      </c>
      <c r="M188" s="10">
        <v>221451</v>
      </c>
      <c r="N188" s="10">
        <v>240830</v>
      </c>
      <c r="O188" s="10">
        <v>238556</v>
      </c>
      <c r="P188" s="10">
        <v>244049</v>
      </c>
      <c r="Q188" s="6">
        <f t="shared" si="4"/>
        <v>2890299</v>
      </c>
      <c r="R188" s="15">
        <f t="shared" si="5"/>
        <v>-1.9451859049082088E-2</v>
      </c>
      <c r="S188" s="23"/>
    </row>
    <row r="189" spans="1:21">
      <c r="A189" s="1" t="s">
        <v>16</v>
      </c>
      <c r="B189" s="1" t="s">
        <v>51</v>
      </c>
      <c r="C189" s="1" t="s">
        <v>52</v>
      </c>
      <c r="D189" s="6">
        <f>'2011 pax'!Q189</f>
        <v>23347842</v>
      </c>
      <c r="E189" s="10">
        <v>2049674</v>
      </c>
      <c r="F189" s="10">
        <v>2006399</v>
      </c>
      <c r="G189" s="10">
        <v>2350454</v>
      </c>
      <c r="H189" s="10">
        <v>2109766</v>
      </c>
      <c r="I189" s="10">
        <v>1869074</v>
      </c>
      <c r="J189" s="10">
        <v>1907074</v>
      </c>
      <c r="K189" s="10">
        <v>2070444</v>
      </c>
      <c r="L189" s="10">
        <v>1924268</v>
      </c>
      <c r="M189" s="10">
        <v>1518293</v>
      </c>
      <c r="N189" s="10">
        <v>1698367</v>
      </c>
      <c r="O189" s="10">
        <v>1917776</v>
      </c>
      <c r="P189" s="10">
        <v>2147564</v>
      </c>
      <c r="Q189" s="6">
        <f t="shared" si="4"/>
        <v>23569153</v>
      </c>
      <c r="R189" s="15">
        <f t="shared" si="5"/>
        <v>9.4788631857283256E-3</v>
      </c>
      <c r="S189" s="13"/>
    </row>
    <row r="190" spans="1:21">
      <c r="A190" s="1" t="s">
        <v>16</v>
      </c>
      <c r="B190" s="1" t="s">
        <v>398</v>
      </c>
      <c r="C190" s="1" t="s">
        <v>399</v>
      </c>
      <c r="D190" s="6">
        <f>'2011 pax'!Q190</f>
        <v>7537745</v>
      </c>
      <c r="E190" s="10">
        <v>704427</v>
      </c>
      <c r="F190" s="10">
        <v>781849</v>
      </c>
      <c r="G190" s="10">
        <v>1024221</v>
      </c>
      <c r="H190" s="10">
        <v>790322</v>
      </c>
      <c r="I190" s="10">
        <v>531946</v>
      </c>
      <c r="J190" s="10">
        <v>454044</v>
      </c>
      <c r="K190" s="10">
        <v>464896</v>
      </c>
      <c r="L190" s="10">
        <v>421211</v>
      </c>
      <c r="M190" s="10">
        <v>354640</v>
      </c>
      <c r="N190" s="10">
        <v>484768</v>
      </c>
      <c r="O190" s="10">
        <v>658629</v>
      </c>
      <c r="P190" s="10">
        <v>679672</v>
      </c>
      <c r="Q190" s="6">
        <f t="shared" si="4"/>
        <v>7350625</v>
      </c>
      <c r="R190" s="15">
        <f t="shared" si="5"/>
        <v>-2.4824400400915714E-2</v>
      </c>
    </row>
    <row r="191" spans="1:21">
      <c r="A191" s="1" t="s">
        <v>16</v>
      </c>
      <c r="B191" s="1" t="s">
        <v>537</v>
      </c>
      <c r="C191" s="1" t="s">
        <v>538</v>
      </c>
      <c r="D191" s="6">
        <v>1261557</v>
      </c>
      <c r="E191" s="10">
        <v>95103</v>
      </c>
      <c r="F191" s="10">
        <v>84355</v>
      </c>
      <c r="G191" s="10">
        <v>101045</v>
      </c>
      <c r="H191" s="10">
        <v>103711</v>
      </c>
      <c r="I191" s="10">
        <v>111366</v>
      </c>
      <c r="J191" s="10">
        <v>123375</v>
      </c>
      <c r="K191" s="10">
        <v>130223</v>
      </c>
      <c r="L191" s="10">
        <v>123749</v>
      </c>
      <c r="M191" s="10">
        <v>108045</v>
      </c>
      <c r="N191" s="10">
        <v>113784</v>
      </c>
      <c r="O191" s="10">
        <v>109338</v>
      </c>
      <c r="P191" s="10">
        <v>112503</v>
      </c>
      <c r="Q191" s="6">
        <f t="shared" si="4"/>
        <v>1316597</v>
      </c>
      <c r="R191" s="15">
        <f t="shared" si="5"/>
        <v>4.3628627164686185E-2</v>
      </c>
    </row>
    <row r="192" spans="1:21">
      <c r="A192" s="1" t="s">
        <v>16</v>
      </c>
      <c r="B192" s="1" t="s">
        <v>432</v>
      </c>
      <c r="C192" s="1" t="s">
        <v>433</v>
      </c>
      <c r="D192" s="6">
        <f>'2011 pax'!Q192</f>
        <v>2275332</v>
      </c>
      <c r="E192" s="10">
        <v>158722</v>
      </c>
      <c r="F192" s="10">
        <v>161843</v>
      </c>
      <c r="G192" s="10">
        <v>196386</v>
      </c>
      <c r="H192" s="10">
        <v>169790</v>
      </c>
      <c r="I192" s="10">
        <v>180332</v>
      </c>
      <c r="J192" s="10">
        <v>192902</v>
      </c>
      <c r="K192" s="10">
        <v>204305</v>
      </c>
      <c r="L192" s="10">
        <v>200058</v>
      </c>
      <c r="M192" s="10">
        <v>164564</v>
      </c>
      <c r="N192" s="10">
        <v>175537</v>
      </c>
      <c r="O192" s="10">
        <v>167701</v>
      </c>
      <c r="P192" s="10">
        <v>162816</v>
      </c>
      <c r="Q192" s="6">
        <f t="shared" si="4"/>
        <v>2134956</v>
      </c>
      <c r="R192" s="15">
        <f t="shared" si="5"/>
        <v>-6.1694732900517413E-2</v>
      </c>
    </row>
    <row r="193" spans="1:19">
      <c r="A193" s="1" t="s">
        <v>16</v>
      </c>
      <c r="B193" s="1" t="s">
        <v>447</v>
      </c>
      <c r="C193" s="1" t="s">
        <v>448</v>
      </c>
      <c r="D193" s="6">
        <f>'2011 pax'!Q193</f>
        <v>1753898</v>
      </c>
      <c r="E193" s="10">
        <v>127716</v>
      </c>
      <c r="F193" s="10">
        <v>123362</v>
      </c>
      <c r="G193" s="10">
        <v>158986</v>
      </c>
      <c r="H193" s="10">
        <v>157047</v>
      </c>
      <c r="I193" s="10">
        <v>167956</v>
      </c>
      <c r="J193" s="10">
        <v>171478</v>
      </c>
      <c r="K193" s="10">
        <v>167607</v>
      </c>
      <c r="L193" s="10">
        <v>162703</v>
      </c>
      <c r="M193" s="10">
        <v>153048</v>
      </c>
      <c r="N193" s="10">
        <v>171943</v>
      </c>
      <c r="O193" s="10">
        <v>157266</v>
      </c>
      <c r="P193" s="10">
        <v>145719</v>
      </c>
      <c r="Q193" s="6">
        <f t="shared" si="4"/>
        <v>1864831</v>
      </c>
      <c r="R193" s="15">
        <f t="shared" si="5"/>
        <v>6.3249402188724879E-2</v>
      </c>
    </row>
    <row r="194" spans="1:19">
      <c r="A194" s="1" t="s">
        <v>16</v>
      </c>
      <c r="B194" s="1" t="s">
        <v>496</v>
      </c>
      <c r="C194" s="1" t="s">
        <v>497</v>
      </c>
      <c r="D194" s="6">
        <f>'2011 pax'!Q194</f>
        <v>5607756</v>
      </c>
      <c r="E194" s="10">
        <v>391051</v>
      </c>
      <c r="F194" s="10">
        <v>399011</v>
      </c>
      <c r="G194" s="10">
        <v>471126</v>
      </c>
      <c r="H194" s="10">
        <v>466374</v>
      </c>
      <c r="I194" s="10">
        <v>480016</v>
      </c>
      <c r="J194" s="10">
        <v>467278</v>
      </c>
      <c r="K194" s="10">
        <v>480974</v>
      </c>
      <c r="L194" s="10">
        <v>481682</v>
      </c>
      <c r="M194" s="10">
        <v>413022</v>
      </c>
      <c r="N194" s="10">
        <v>461507</v>
      </c>
      <c r="O194" s="10">
        <v>451706</v>
      </c>
      <c r="P194" s="10">
        <v>421065</v>
      </c>
      <c r="Q194" s="6">
        <f t="shared" si="4"/>
        <v>5384812</v>
      </c>
      <c r="R194" s="15">
        <f t="shared" si="5"/>
        <v>-3.9756366004512267E-2</v>
      </c>
    </row>
    <row r="195" spans="1:19">
      <c r="A195" s="1" t="s">
        <v>16</v>
      </c>
      <c r="B195" s="1" t="s">
        <v>26</v>
      </c>
      <c r="C195" s="1" t="s">
        <v>27</v>
      </c>
      <c r="D195" s="6">
        <f>'2011 pax'!Q195</f>
        <v>40170689</v>
      </c>
      <c r="E195" s="10">
        <v>3083801</v>
      </c>
      <c r="F195" s="10">
        <v>2915479</v>
      </c>
      <c r="G195" s="10">
        <v>3426852</v>
      </c>
      <c r="H195" s="10">
        <v>3335958</v>
      </c>
      <c r="I195" s="10">
        <v>3472982</v>
      </c>
      <c r="J195" s="10">
        <v>3660266</v>
      </c>
      <c r="K195" s="10">
        <v>3779722</v>
      </c>
      <c r="L195" s="10">
        <v>3561380</v>
      </c>
      <c r="M195" s="10">
        <v>2956710</v>
      </c>
      <c r="N195" s="10">
        <v>3200963</v>
      </c>
      <c r="O195" s="10">
        <v>3170108</v>
      </c>
      <c r="P195" s="10">
        <v>3285332</v>
      </c>
      <c r="Q195" s="6">
        <f t="shared" si="4"/>
        <v>39849553</v>
      </c>
      <c r="R195" s="15">
        <f t="shared" si="5"/>
        <v>-7.9942865804467633E-3</v>
      </c>
      <c r="S195" s="13"/>
    </row>
    <row r="196" spans="1:19">
      <c r="A196" s="1" t="s">
        <v>16</v>
      </c>
      <c r="B196" s="7" t="s">
        <v>64</v>
      </c>
      <c r="C196" s="7" t="s">
        <v>65</v>
      </c>
      <c r="D196" s="6">
        <f>'2011 pax'!Q196</f>
        <v>9829979</v>
      </c>
      <c r="E196" s="10">
        <v>773171</v>
      </c>
      <c r="F196" s="10">
        <v>749912</v>
      </c>
      <c r="G196" s="10">
        <v>880944</v>
      </c>
      <c r="H196" s="10">
        <v>822376</v>
      </c>
      <c r="I196" s="10">
        <v>899411</v>
      </c>
      <c r="J196" s="10">
        <v>971696</v>
      </c>
      <c r="K196" s="10">
        <v>972413</v>
      </c>
      <c r="L196" s="10">
        <v>910302</v>
      </c>
      <c r="M196" s="10">
        <v>798718</v>
      </c>
      <c r="N196" s="10">
        <v>901168</v>
      </c>
      <c r="O196" s="10">
        <v>883471</v>
      </c>
      <c r="P196" s="10">
        <v>871458</v>
      </c>
      <c r="Q196" s="6">
        <f t="shared" si="4"/>
        <v>10435040</v>
      </c>
      <c r="R196" s="15">
        <f t="shared" si="5"/>
        <v>6.1552623866236056E-2</v>
      </c>
      <c r="S196" s="13"/>
    </row>
    <row r="197" spans="1:19">
      <c r="A197" s="1" t="s">
        <v>16</v>
      </c>
      <c r="B197" s="1" t="s">
        <v>351</v>
      </c>
      <c r="C197" s="1" t="s">
        <v>352</v>
      </c>
      <c r="D197" s="6">
        <f>'2011 pax'!Q197</f>
        <v>7478835</v>
      </c>
      <c r="E197" s="10">
        <v>539043</v>
      </c>
      <c r="F197" s="10">
        <v>562297</v>
      </c>
      <c r="G197" s="10">
        <v>699055</v>
      </c>
      <c r="H197" s="10">
        <v>627404</v>
      </c>
      <c r="I197" s="10">
        <v>633038</v>
      </c>
      <c r="J197" s="10">
        <v>676213</v>
      </c>
      <c r="K197" s="10">
        <v>657058</v>
      </c>
      <c r="L197" s="10">
        <v>616039</v>
      </c>
      <c r="M197" s="10">
        <v>559269</v>
      </c>
      <c r="N197" s="10">
        <v>650921</v>
      </c>
      <c r="O197" s="10">
        <v>583743</v>
      </c>
      <c r="P197" s="10">
        <v>529653</v>
      </c>
      <c r="Q197" s="6">
        <f t="shared" si="4"/>
        <v>7333733</v>
      </c>
      <c r="R197" s="15">
        <f t="shared" si="5"/>
        <v>-1.9401684888087467E-2</v>
      </c>
      <c r="S197" s="13"/>
    </row>
    <row r="198" spans="1:19">
      <c r="A198" s="1" t="s">
        <v>16</v>
      </c>
      <c r="B198" s="1" t="s">
        <v>449</v>
      </c>
      <c r="C198" s="1" t="s">
        <v>450</v>
      </c>
      <c r="D198" s="6">
        <f>'2011 pax'!Q198</f>
        <v>1227174</v>
      </c>
      <c r="E198" s="10">
        <v>87825</v>
      </c>
      <c r="F198" s="10">
        <v>85447</v>
      </c>
      <c r="G198" s="10">
        <v>103880</v>
      </c>
      <c r="H198" s="10">
        <v>100898</v>
      </c>
      <c r="I198" s="10">
        <v>114202</v>
      </c>
      <c r="J198" s="10">
        <v>110339</v>
      </c>
      <c r="K198" s="10">
        <v>113141</v>
      </c>
      <c r="L198" s="10">
        <v>99056</v>
      </c>
      <c r="M198" s="10">
        <v>94857</v>
      </c>
      <c r="N198" s="10">
        <v>107623</v>
      </c>
      <c r="O198" s="10">
        <f>107538</f>
        <v>107538</v>
      </c>
      <c r="P198" s="10">
        <v>97802</v>
      </c>
      <c r="Q198" s="6">
        <f t="shared" si="4"/>
        <v>1222608</v>
      </c>
      <c r="R198" s="15">
        <f t="shared" si="5"/>
        <v>-3.7207437576088909E-3</v>
      </c>
    </row>
    <row r="199" spans="1:19">
      <c r="A199" s="1" t="s">
        <v>16</v>
      </c>
      <c r="B199" s="1" t="s">
        <v>486</v>
      </c>
      <c r="C199" s="1" t="s">
        <v>487</v>
      </c>
      <c r="D199" s="6">
        <f>'2011 pax'!Q199</f>
        <v>5515257</v>
      </c>
      <c r="E199" s="10">
        <v>380255</v>
      </c>
      <c r="F199" s="10">
        <v>387273</v>
      </c>
      <c r="G199" s="10">
        <v>470829</v>
      </c>
      <c r="H199" s="10">
        <v>451967</v>
      </c>
      <c r="I199" s="10">
        <v>467811</v>
      </c>
      <c r="J199" s="10">
        <v>461002</v>
      </c>
      <c r="K199" s="10">
        <f>228885+230079</f>
        <v>458964</v>
      </c>
      <c r="L199" s="10">
        <v>449123</v>
      </c>
      <c r="M199" s="10">
        <v>389510</v>
      </c>
      <c r="N199" s="10">
        <v>439159</v>
      </c>
      <c r="O199" s="10">
        <v>425781</v>
      </c>
      <c r="P199" s="10">
        <f>205638+207772</f>
        <v>413410</v>
      </c>
      <c r="Q199" s="6">
        <f t="shared" ref="Q199:Q253" si="6">SUM(E199:P199)</f>
        <v>5195084</v>
      </c>
      <c r="R199" s="15">
        <f t="shared" ref="R199:R253" si="7">Q199/D199-1</f>
        <v>-5.805223582509389E-2</v>
      </c>
      <c r="S199" s="18"/>
    </row>
    <row r="200" spans="1:19" ht="15.75">
      <c r="A200" s="1" t="s">
        <v>16</v>
      </c>
      <c r="B200" s="1" t="s">
        <v>418</v>
      </c>
      <c r="C200" s="1" t="s">
        <v>506</v>
      </c>
      <c r="D200" s="6">
        <f>'2011 pax'!Q200</f>
        <v>10158452</v>
      </c>
      <c r="E200" s="10">
        <v>723853</v>
      </c>
      <c r="F200" s="10">
        <v>697350</v>
      </c>
      <c r="G200" s="10">
        <v>878871</v>
      </c>
      <c r="H200" s="10">
        <v>809650</v>
      </c>
      <c r="I200" s="10">
        <v>880106</v>
      </c>
      <c r="J200" s="10">
        <v>904047</v>
      </c>
      <c r="K200" s="10">
        <v>908624</v>
      </c>
      <c r="L200" s="10">
        <v>835007</v>
      </c>
      <c r="M200" s="10">
        <v>755073</v>
      </c>
      <c r="N200" s="10">
        <v>836286</v>
      </c>
      <c r="O200" s="10">
        <v>777350</v>
      </c>
      <c r="P200" s="10">
        <v>742883</v>
      </c>
      <c r="Q200" s="6">
        <f t="shared" si="6"/>
        <v>9749100</v>
      </c>
      <c r="R200" s="15">
        <f t="shared" si="7"/>
        <v>-4.0296690873766972E-2</v>
      </c>
    </row>
    <row r="201" spans="1:19">
      <c r="A201" s="1" t="s">
        <v>16</v>
      </c>
      <c r="B201" s="1" t="s">
        <v>445</v>
      </c>
      <c r="C201" s="1" t="s">
        <v>446</v>
      </c>
      <c r="D201" s="6">
        <f>'2011 pax'!Q201</f>
        <v>1773782</v>
      </c>
      <c r="E201" s="10">
        <v>126885</v>
      </c>
      <c r="F201" s="10">
        <v>126402</v>
      </c>
      <c r="G201" s="10">
        <v>156888</v>
      </c>
      <c r="H201" s="10">
        <v>142564</v>
      </c>
      <c r="I201" s="10">
        <v>157199</v>
      </c>
      <c r="J201" s="10">
        <v>163024</v>
      </c>
      <c r="K201" s="10">
        <v>161894</v>
      </c>
      <c r="L201" s="10">
        <v>146995</v>
      </c>
      <c r="M201" s="10">
        <v>140696</v>
      </c>
      <c r="N201" s="10">
        <v>154557</v>
      </c>
      <c r="O201" s="10">
        <v>140184</v>
      </c>
      <c r="P201" s="10">
        <v>130232</v>
      </c>
      <c r="Q201" s="6">
        <f t="shared" si="6"/>
        <v>1747520</v>
      </c>
      <c r="R201" s="15">
        <f t="shared" si="7"/>
        <v>-1.4805652554823578E-2</v>
      </c>
      <c r="S201" s="31"/>
    </row>
    <row r="202" spans="1:19">
      <c r="A202" s="1" t="s">
        <v>16</v>
      </c>
      <c r="B202" s="1" t="s">
        <v>28</v>
      </c>
      <c r="C202" s="1" t="s">
        <v>29</v>
      </c>
      <c r="D202" s="6">
        <f>'2011 pax'!Q202</f>
        <v>41479838</v>
      </c>
      <c r="E202" s="10">
        <v>3175897</v>
      </c>
      <c r="F202" s="10">
        <v>3108106</v>
      </c>
      <c r="G202" s="10">
        <v>3654736</v>
      </c>
      <c r="H202" s="10">
        <v>3554497</v>
      </c>
      <c r="I202" s="10">
        <v>3663251</v>
      </c>
      <c r="J202" s="10">
        <v>3588995</v>
      </c>
      <c r="K202" s="10">
        <v>3670872</v>
      </c>
      <c r="L202" s="10">
        <v>3643902</v>
      </c>
      <c r="M202" s="10">
        <v>3430249</v>
      </c>
      <c r="N202" s="10">
        <v>3686968</v>
      </c>
      <c r="O202" s="10">
        <v>3310891</v>
      </c>
      <c r="P202" s="10">
        <v>3178163</v>
      </c>
      <c r="Q202" s="6">
        <f t="shared" si="6"/>
        <v>41666527</v>
      </c>
      <c r="R202" s="15">
        <f t="shared" si="7"/>
        <v>4.5007167096458023E-3</v>
      </c>
      <c r="S202" s="13"/>
    </row>
    <row r="203" spans="1:19">
      <c r="A203" s="1" t="s">
        <v>16</v>
      </c>
      <c r="B203" s="1" t="s">
        <v>429</v>
      </c>
      <c r="C203" s="1" t="s">
        <v>430</v>
      </c>
      <c r="D203" s="6">
        <f>'2011 pax'!Q203</f>
        <v>2204584</v>
      </c>
      <c r="E203" s="10">
        <v>164029</v>
      </c>
      <c r="F203" s="10">
        <v>161016</v>
      </c>
      <c r="G203" s="10">
        <v>197811</v>
      </c>
      <c r="H203" s="10">
        <v>187612</v>
      </c>
      <c r="I203" s="10">
        <v>213570</v>
      </c>
      <c r="J203" s="10">
        <v>219997</v>
      </c>
      <c r="K203" s="10">
        <v>210107</v>
      </c>
      <c r="L203" s="10">
        <v>196454</v>
      </c>
      <c r="M203" s="10">
        <v>179368</v>
      </c>
      <c r="N203" s="10">
        <v>200891</v>
      </c>
      <c r="O203" s="10">
        <v>188043</v>
      </c>
      <c r="P203" s="10">
        <v>174094</v>
      </c>
      <c r="Q203" s="6">
        <f t="shared" si="6"/>
        <v>2292992</v>
      </c>
      <c r="R203" s="15">
        <f t="shared" si="7"/>
        <v>4.0101896775083246E-2</v>
      </c>
    </row>
    <row r="204" spans="1:19">
      <c r="A204" s="1" t="s">
        <v>16</v>
      </c>
      <c r="B204" s="1" t="s">
        <v>427</v>
      </c>
      <c r="C204" s="1" t="s">
        <v>428</v>
      </c>
      <c r="D204" s="6">
        <f>'2011 pax'!Q204</f>
        <v>3115433</v>
      </c>
      <c r="E204" s="10">
        <v>241191</v>
      </c>
      <c r="F204" s="10">
        <v>232100</v>
      </c>
      <c r="G204" s="10">
        <v>271258</v>
      </c>
      <c r="H204" s="10">
        <v>275709</v>
      </c>
      <c r="I204" s="10">
        <v>292618</v>
      </c>
      <c r="J204" s="10">
        <v>304984</v>
      </c>
      <c r="K204" s="10">
        <v>310002</v>
      </c>
      <c r="L204" s="10">
        <v>316306</v>
      </c>
      <c r="M204" s="10">
        <v>247985</v>
      </c>
      <c r="N204" s="10">
        <v>242834</v>
      </c>
      <c r="O204" s="10">
        <v>235089</v>
      </c>
      <c r="P204" s="10">
        <v>236834</v>
      </c>
      <c r="Q204" s="6">
        <f t="shared" si="6"/>
        <v>3206910</v>
      </c>
      <c r="R204" s="15">
        <f t="shared" si="7"/>
        <v>2.9362531628829736E-2</v>
      </c>
      <c r="S204" s="13"/>
    </row>
    <row r="205" spans="1:19">
      <c r="A205" s="1" t="s">
        <v>16</v>
      </c>
      <c r="B205" s="1" t="s">
        <v>20</v>
      </c>
      <c r="C205" s="1" t="s">
        <v>21</v>
      </c>
      <c r="D205" s="6">
        <f>'2011 pax'!Q205</f>
        <v>61858738</v>
      </c>
      <c r="E205" s="10">
        <v>4914971</v>
      </c>
      <c r="F205" s="10">
        <v>4458336</v>
      </c>
      <c r="G205" s="10">
        <v>5252530</v>
      </c>
      <c r="H205" s="10">
        <v>5158010</v>
      </c>
      <c r="I205" s="10">
        <v>5412723</v>
      </c>
      <c r="J205" s="10">
        <v>5741822</v>
      </c>
      <c r="K205" s="10">
        <v>6190326</v>
      </c>
      <c r="L205" s="10">
        <v>6093345</v>
      </c>
      <c r="M205" s="10">
        <v>5054187</v>
      </c>
      <c r="N205" s="10">
        <v>5191438</v>
      </c>
      <c r="O205" s="10">
        <v>4943637</v>
      </c>
      <c r="P205" s="10">
        <v>5278513</v>
      </c>
      <c r="Q205" s="6">
        <f t="shared" si="6"/>
        <v>63689838</v>
      </c>
      <c r="R205" s="15">
        <f t="shared" si="7"/>
        <v>2.9601315177170351E-2</v>
      </c>
      <c r="S205" s="13"/>
    </row>
    <row r="206" spans="1:19">
      <c r="A206" s="1" t="s">
        <v>16</v>
      </c>
      <c r="B206" s="1" t="s">
        <v>507</v>
      </c>
      <c r="C206" s="1" t="s">
        <v>402</v>
      </c>
      <c r="D206" s="6">
        <f>'2011 pax'!Q206</f>
        <v>4551233</v>
      </c>
      <c r="E206" s="10">
        <v>337746</v>
      </c>
      <c r="F206" s="10">
        <v>320012</v>
      </c>
      <c r="G206" s="10">
        <v>365565</v>
      </c>
      <c r="H206" s="10">
        <v>362708</v>
      </c>
      <c r="I206" s="10">
        <v>373975</v>
      </c>
      <c r="J206" s="10">
        <v>373652</v>
      </c>
      <c r="K206" s="10">
        <v>383241</v>
      </c>
      <c r="L206" s="10">
        <v>383753</v>
      </c>
      <c r="M206" s="10">
        <v>337854</v>
      </c>
      <c r="N206" s="10">
        <v>366161</v>
      </c>
      <c r="O206" s="10">
        <v>352818</v>
      </c>
      <c r="P206" s="10">
        <v>344195</v>
      </c>
      <c r="Q206" s="6">
        <f t="shared" si="6"/>
        <v>4301680</v>
      </c>
      <c r="R206" s="15">
        <f t="shared" si="7"/>
        <v>-5.4831954329738752E-2</v>
      </c>
    </row>
    <row r="207" spans="1:19">
      <c r="A207" s="1" t="s">
        <v>16</v>
      </c>
      <c r="B207" s="1" t="s">
        <v>500</v>
      </c>
      <c r="C207" s="1" t="s">
        <v>501</v>
      </c>
      <c r="D207" s="6">
        <f>'2011 pax'!Q207</f>
        <v>3399135</v>
      </c>
      <c r="E207" s="10">
        <v>223417</v>
      </c>
      <c r="F207" s="10">
        <v>230985</v>
      </c>
      <c r="G207" s="10">
        <v>282990</v>
      </c>
      <c r="H207" s="10">
        <v>273340</v>
      </c>
      <c r="I207" s="10">
        <v>304146</v>
      </c>
      <c r="J207" s="10">
        <v>309664</v>
      </c>
      <c r="K207" s="10">
        <v>309236</v>
      </c>
      <c r="L207" s="10">
        <v>294419</v>
      </c>
      <c r="M207" s="10">
        <v>274885</v>
      </c>
      <c r="N207" s="10">
        <v>322037</v>
      </c>
      <c r="O207" s="10">
        <v>279589</v>
      </c>
      <c r="P207" s="10">
        <v>260233</v>
      </c>
      <c r="Q207" s="6">
        <f t="shared" si="6"/>
        <v>3364941</v>
      </c>
      <c r="R207" s="15">
        <f t="shared" si="7"/>
        <v>-1.0059618108724688E-2</v>
      </c>
    </row>
    <row r="208" spans="1:19">
      <c r="A208" s="1" t="s">
        <v>16</v>
      </c>
      <c r="B208" s="1" t="s">
        <v>522</v>
      </c>
      <c r="C208" s="1" t="s">
        <v>523</v>
      </c>
      <c r="D208" s="6">
        <f>'2011 pax'!Q208</f>
        <v>8737575</v>
      </c>
      <c r="E208" s="10">
        <v>548854</v>
      </c>
      <c r="F208" s="10">
        <v>533474</v>
      </c>
      <c r="G208" s="10">
        <v>648121</v>
      </c>
      <c r="H208" s="10">
        <v>616354</v>
      </c>
      <c r="I208" s="10">
        <v>648374</v>
      </c>
      <c r="J208" s="10">
        <v>643687</v>
      </c>
      <c r="K208" s="10">
        <v>640345</v>
      </c>
      <c r="L208" s="10">
        <v>595875</v>
      </c>
      <c r="M208" s="10">
        <v>483878</v>
      </c>
      <c r="N208" s="10">
        <v>517883</v>
      </c>
      <c r="O208" s="10">
        <v>457928</v>
      </c>
      <c r="P208" s="10">
        <v>418413</v>
      </c>
      <c r="Q208" s="6">
        <f t="shared" si="6"/>
        <v>6753186</v>
      </c>
      <c r="R208" s="15">
        <f t="shared" si="7"/>
        <v>-0.22710981021622134</v>
      </c>
    </row>
    <row r="209" spans="1:19">
      <c r="A209" s="1" t="s">
        <v>16</v>
      </c>
      <c r="B209" s="1" t="s">
        <v>36</v>
      </c>
      <c r="C209" s="1" t="s">
        <v>37</v>
      </c>
      <c r="D209" s="6">
        <f>'2011 pax'!Q209</f>
        <v>38314389</v>
      </c>
      <c r="E209" s="10">
        <v>3492365</v>
      </c>
      <c r="F209" s="10">
        <v>3135651</v>
      </c>
      <c r="G209" s="10">
        <v>3575961</v>
      </c>
      <c r="H209" s="10">
        <v>3370268</v>
      </c>
      <c r="I209" s="10">
        <v>3261291</v>
      </c>
      <c r="J209" s="10">
        <v>3320117</v>
      </c>
      <c r="K209" s="10">
        <v>3617616</v>
      </c>
      <c r="L209" s="10">
        <v>3329258</v>
      </c>
      <c r="M209" s="10">
        <v>2744191</v>
      </c>
      <c r="N209" s="10">
        <v>2946316</v>
      </c>
      <c r="O209" s="10">
        <v>3185763</v>
      </c>
      <c r="P209" s="10">
        <v>3488647</v>
      </c>
      <c r="Q209" s="6">
        <f t="shared" si="6"/>
        <v>39467444</v>
      </c>
      <c r="R209" s="15">
        <f t="shared" si="7"/>
        <v>3.0094568387871279E-2</v>
      </c>
    </row>
    <row r="210" spans="1:19">
      <c r="A210" s="1" t="s">
        <v>16</v>
      </c>
      <c r="B210" s="1" t="s">
        <v>346</v>
      </c>
      <c r="C210" s="1" t="s">
        <v>347</v>
      </c>
      <c r="D210" s="6">
        <f>'2011 pax'!Q210</f>
        <v>9522456</v>
      </c>
      <c r="E210" s="10">
        <v>602596</v>
      </c>
      <c r="F210" s="10">
        <v>591323</v>
      </c>
      <c r="G210" s="10">
        <v>737822</v>
      </c>
      <c r="H210" s="10">
        <v>681130</v>
      </c>
      <c r="I210" s="10">
        <v>662817</v>
      </c>
      <c r="J210" s="10">
        <v>683206</v>
      </c>
      <c r="K210" s="10">
        <v>697039</v>
      </c>
      <c r="L210" s="10">
        <v>672971</v>
      </c>
      <c r="M210" s="10">
        <v>540651</v>
      </c>
      <c r="N210" s="10">
        <v>598054</v>
      </c>
      <c r="O210" s="10">
        <v>531139</v>
      </c>
      <c r="P210" s="10">
        <v>516322</v>
      </c>
      <c r="Q210" s="6">
        <f t="shared" si="6"/>
        <v>7515070</v>
      </c>
      <c r="R210" s="15">
        <f t="shared" si="7"/>
        <v>-0.21080548967619273</v>
      </c>
    </row>
    <row r="211" spans="1:19" ht="15.75">
      <c r="A211" s="1" t="s">
        <v>16</v>
      </c>
      <c r="B211" s="1" t="s">
        <v>387</v>
      </c>
      <c r="C211" s="1" t="s">
        <v>41</v>
      </c>
      <c r="D211" s="6">
        <f>'2011 pax'!Q211</f>
        <v>33097579</v>
      </c>
      <c r="E211" s="10">
        <v>2331159</v>
      </c>
      <c r="F211" s="10">
        <v>2334806</v>
      </c>
      <c r="G211" s="10">
        <v>2955990</v>
      </c>
      <c r="H211" s="10">
        <v>2615141</v>
      </c>
      <c r="I211" s="10">
        <v>2751607</v>
      </c>
      <c r="J211" s="10">
        <v>3103286</v>
      </c>
      <c r="K211" s="10">
        <v>3271665</v>
      </c>
      <c r="L211" s="10">
        <v>3168115</v>
      </c>
      <c r="M211" s="10">
        <v>2625364</v>
      </c>
      <c r="N211" s="10">
        <v>2842347</v>
      </c>
      <c r="O211" s="10">
        <v>2534622</v>
      </c>
      <c r="P211" s="10">
        <v>2485284</v>
      </c>
      <c r="Q211" s="6">
        <f t="shared" si="6"/>
        <v>33019386</v>
      </c>
      <c r="R211" s="15">
        <f t="shared" si="7"/>
        <v>-2.362499081881464E-3</v>
      </c>
    </row>
    <row r="212" spans="1:19">
      <c r="A212" s="1" t="s">
        <v>16</v>
      </c>
      <c r="B212" s="1" t="s">
        <v>515</v>
      </c>
      <c r="C212" s="1" t="s">
        <v>516</v>
      </c>
      <c r="D212" s="6">
        <f>'2011 pax'!Q212</f>
        <v>623906</v>
      </c>
      <c r="E212" s="10">
        <v>66737</v>
      </c>
      <c r="F212" s="10">
        <v>70771</v>
      </c>
      <c r="G212" s="10">
        <v>122423</v>
      </c>
      <c r="H212" s="10">
        <v>127290</v>
      </c>
      <c r="I212" s="10">
        <v>147090</v>
      </c>
      <c r="J212" s="10">
        <v>164707</v>
      </c>
      <c r="K212" s="10">
        <v>184979</v>
      </c>
      <c r="L212" s="10">
        <v>175805</v>
      </c>
      <c r="M212" s="10">
        <v>129954</v>
      </c>
      <c r="N212" s="10">
        <v>128480</v>
      </c>
      <c r="O212" s="10">
        <v>91477</v>
      </c>
      <c r="P212" s="10">
        <v>72841</v>
      </c>
      <c r="Q212" s="6">
        <f t="shared" si="6"/>
        <v>1482554</v>
      </c>
      <c r="S212" s="13"/>
    </row>
    <row r="213" spans="1:19">
      <c r="A213" s="1" t="s">
        <v>16</v>
      </c>
      <c r="B213" s="1" t="s">
        <v>359</v>
      </c>
      <c r="C213" s="1" t="s">
        <v>360</v>
      </c>
      <c r="D213" s="6">
        <f>'2011 pax'!Q213</f>
        <v>9602169</v>
      </c>
      <c r="E213" s="10">
        <v>699672</v>
      </c>
      <c r="F213" s="10">
        <v>683442</v>
      </c>
      <c r="G213" s="10">
        <v>860700</v>
      </c>
      <c r="H213" s="10">
        <v>819598</v>
      </c>
      <c r="I213" s="10">
        <v>889636</v>
      </c>
      <c r="J213" s="10">
        <v>914422</v>
      </c>
      <c r="K213" s="10">
        <v>895495</v>
      </c>
      <c r="L213" s="10">
        <v>848966</v>
      </c>
      <c r="M213" s="10">
        <v>787697</v>
      </c>
      <c r="N213" s="10">
        <v>880712</v>
      </c>
      <c r="O213" s="10">
        <f>397702+394170</f>
        <v>791872</v>
      </c>
      <c r="P213" s="10">
        <f>387047+375194</f>
        <v>762241</v>
      </c>
      <c r="Q213" s="6">
        <f t="shared" si="6"/>
        <v>9834453</v>
      </c>
      <c r="R213" s="15">
        <f t="shared" si="7"/>
        <v>2.4190784394650944E-2</v>
      </c>
    </row>
    <row r="214" spans="1:19">
      <c r="A214" s="1" t="s">
        <v>16</v>
      </c>
      <c r="B214" s="1" t="s">
        <v>405</v>
      </c>
      <c r="C214" s="1" t="s">
        <v>406</v>
      </c>
      <c r="D214" s="6">
        <f>'2011 pax'!Q214</f>
        <v>8579037</v>
      </c>
      <c r="E214" s="10">
        <v>661584</v>
      </c>
      <c r="F214" s="10">
        <v>682055</v>
      </c>
      <c r="G214" s="10">
        <v>779081</v>
      </c>
      <c r="H214" s="10">
        <v>796712</v>
      </c>
      <c r="I214" s="10">
        <v>820836</v>
      </c>
      <c r="J214" s="10">
        <v>738936</v>
      </c>
      <c r="K214" s="10">
        <v>728365</v>
      </c>
      <c r="L214" s="10">
        <v>579696</v>
      </c>
      <c r="M214" s="10">
        <f>312991+295303</f>
        <v>608294</v>
      </c>
      <c r="N214" s="10">
        <f>398660+394014</f>
        <v>792674</v>
      </c>
      <c r="O214" s="10">
        <f>374381+366479</f>
        <v>740860</v>
      </c>
      <c r="P214" s="10">
        <f>339628+332268</f>
        <v>671896</v>
      </c>
      <c r="Q214" s="6">
        <f t="shared" si="6"/>
        <v>8600989</v>
      </c>
      <c r="R214" s="15">
        <f t="shared" si="7"/>
        <v>2.5587953519725648E-3</v>
      </c>
      <c r="S214" s="13"/>
    </row>
    <row r="215" spans="1:19" ht="15.75">
      <c r="A215" s="1" t="s">
        <v>16</v>
      </c>
      <c r="B215" s="1" t="s">
        <v>388</v>
      </c>
      <c r="C215" s="1" t="s">
        <v>25</v>
      </c>
      <c r="D215" s="6">
        <f>'2011 pax'!Q215</f>
        <v>48873959</v>
      </c>
      <c r="E215" s="10">
        <v>3522619</v>
      </c>
      <c r="F215" s="10">
        <v>3239977</v>
      </c>
      <c r="G215" s="10">
        <v>4181064</v>
      </c>
      <c r="H215" s="10">
        <f>4129990+126032</f>
        <v>4256022</v>
      </c>
      <c r="I215" s="10">
        <f>131287+4196869</f>
        <v>4328156</v>
      </c>
      <c r="J215" s="10">
        <f>4508524+132553</f>
        <v>4641077</v>
      </c>
      <c r="K215" s="10">
        <f>4902225+136528</f>
        <v>5038753</v>
      </c>
      <c r="L215" s="10">
        <f>4999701+130254</f>
        <v>5129955</v>
      </c>
      <c r="M215" s="10">
        <f>4166882+121262</f>
        <v>4288144</v>
      </c>
      <c r="N215" s="10">
        <f>3844467+117967</f>
        <v>3962434</v>
      </c>
      <c r="O215" s="10">
        <f>3738653+108512</f>
        <v>3847165</v>
      </c>
      <c r="P215" s="10">
        <f>3992540+115874</f>
        <v>4108414</v>
      </c>
      <c r="Q215" s="6">
        <f t="shared" si="6"/>
        <v>50543780</v>
      </c>
      <c r="R215" s="15">
        <f t="shared" si="7"/>
        <v>3.4165863256545359E-2</v>
      </c>
      <c r="S215" s="13"/>
    </row>
    <row r="216" spans="1:19" ht="15.75">
      <c r="A216" s="1" t="s">
        <v>16</v>
      </c>
      <c r="B216" s="1" t="s">
        <v>389</v>
      </c>
      <c r="C216" s="1" t="s">
        <v>49</v>
      </c>
      <c r="D216" s="6">
        <f>'2011 pax'!Q216</f>
        <v>24818737</v>
      </c>
      <c r="E216" s="10">
        <v>1727821</v>
      </c>
      <c r="F216" s="10">
        <v>1698629</v>
      </c>
      <c r="G216" s="10">
        <v>2157250</v>
      </c>
      <c r="H216" s="10">
        <f>2212768+77297</f>
        <v>2290065</v>
      </c>
      <c r="I216" s="10">
        <f>2302658+97277</f>
        <v>2399935</v>
      </c>
      <c r="J216" s="10">
        <f>2280219+88426</f>
        <v>2368645</v>
      </c>
      <c r="K216" s="10">
        <f>2282955+89347</f>
        <v>2372302</v>
      </c>
      <c r="L216" s="10">
        <f>2538303+88565</f>
        <v>2626868</v>
      </c>
      <c r="M216" s="10">
        <f>2133350+79366</f>
        <v>2212716</v>
      </c>
      <c r="N216" s="10">
        <f>2173963+77251</f>
        <v>2251214</v>
      </c>
      <c r="O216" s="10">
        <f>2084534+66387</f>
        <v>2150921</v>
      </c>
      <c r="P216" s="10">
        <f>2202311+65853</f>
        <v>2268164</v>
      </c>
      <c r="Q216" s="6">
        <f t="shared" si="6"/>
        <v>26524530</v>
      </c>
      <c r="R216" s="15">
        <f t="shared" si="7"/>
        <v>6.873004859191667E-2</v>
      </c>
      <c r="S216" s="13"/>
    </row>
    <row r="217" spans="1:19" ht="15.75">
      <c r="A217" s="1" t="s">
        <v>16</v>
      </c>
      <c r="B217" s="1" t="s">
        <v>390</v>
      </c>
      <c r="C217" s="1" t="s">
        <v>40</v>
      </c>
      <c r="D217" s="6">
        <f>'2011 pax'!Q217</f>
        <v>34516055</v>
      </c>
      <c r="E217" s="10">
        <v>2456479</v>
      </c>
      <c r="F217" s="10">
        <v>2346204</v>
      </c>
      <c r="G217" s="10">
        <v>3039017</v>
      </c>
      <c r="H217" s="10">
        <f>3033257+101851</f>
        <v>3135108</v>
      </c>
      <c r="I217" s="10">
        <f>2984870+112672</f>
        <v>3097542</v>
      </c>
      <c r="J217" s="10">
        <f>3148422+116854</f>
        <v>3265276</v>
      </c>
      <c r="K217" s="10">
        <f>3272009+120707</f>
        <v>3392716</v>
      </c>
      <c r="L217" s="10">
        <f>3297718+119382</f>
        <v>3417100</v>
      </c>
      <c r="M217" s="10">
        <f>2639631+104177</f>
        <v>2743808</v>
      </c>
      <c r="N217" s="10">
        <f>2570308+97980</f>
        <v>2668288</v>
      </c>
      <c r="O217" s="10">
        <f>2580400+90518</f>
        <v>2670918</v>
      </c>
      <c r="P217" s="10">
        <f>2725252+93638</f>
        <v>2818890</v>
      </c>
      <c r="Q217" s="6">
        <f t="shared" si="6"/>
        <v>35051346</v>
      </c>
      <c r="R217" s="15">
        <f t="shared" si="7"/>
        <v>1.5508464104602826E-2</v>
      </c>
      <c r="S217" s="13"/>
    </row>
    <row r="218" spans="1:19">
      <c r="A218" s="1" t="s">
        <v>16</v>
      </c>
      <c r="B218" s="1" t="s">
        <v>419</v>
      </c>
      <c r="C218" s="1" t="s">
        <v>420</v>
      </c>
      <c r="D218" s="6">
        <f>'2011 pax'!Q218</f>
        <v>3193388</v>
      </c>
      <c r="E218" s="10">
        <v>210173</v>
      </c>
      <c r="F218" s="10">
        <v>203854</v>
      </c>
      <c r="G218" s="10">
        <v>258133</v>
      </c>
      <c r="H218" s="10">
        <v>273530</v>
      </c>
      <c r="I218" s="10">
        <v>296303</v>
      </c>
      <c r="J218" s="10">
        <v>318743</v>
      </c>
      <c r="K218" s="10">
        <v>329640</v>
      </c>
      <c r="L218" s="10">
        <v>331578</v>
      </c>
      <c r="M218" s="10">
        <v>270292</v>
      </c>
      <c r="N218" s="10">
        <v>265585</v>
      </c>
      <c r="O218" s="10">
        <v>271309</v>
      </c>
      <c r="P218" s="10">
        <v>267310</v>
      </c>
      <c r="Q218" s="6">
        <f t="shared" si="6"/>
        <v>3296450</v>
      </c>
      <c r="R218" s="15">
        <f t="shared" si="7"/>
        <v>3.2273560243853971E-2</v>
      </c>
      <c r="S218" s="13"/>
    </row>
    <row r="219" spans="1:19">
      <c r="A219" s="1" t="s">
        <v>16</v>
      </c>
      <c r="B219" s="1" t="s">
        <v>357</v>
      </c>
      <c r="C219" s="1" t="s">
        <v>358</v>
      </c>
      <c r="D219" s="6">
        <f>'2011 pax'!Q219</f>
        <v>9266570</v>
      </c>
      <c r="E219" s="10">
        <v>711662</v>
      </c>
      <c r="F219" s="10">
        <v>686517</v>
      </c>
      <c r="G219" s="10">
        <v>801123</v>
      </c>
      <c r="H219" s="10">
        <v>827046</v>
      </c>
      <c r="I219" s="10">
        <v>859667</v>
      </c>
      <c r="J219" s="10">
        <v>895007</v>
      </c>
      <c r="K219" s="10">
        <v>960283</v>
      </c>
      <c r="L219" s="10">
        <v>969898</v>
      </c>
      <c r="M219" s="10">
        <v>822852</v>
      </c>
      <c r="N219" s="10">
        <v>856253</v>
      </c>
      <c r="O219" s="10">
        <v>838196</v>
      </c>
      <c r="P219" s="10">
        <v>812360</v>
      </c>
      <c r="Q219" s="6">
        <f t="shared" si="6"/>
        <v>10040864</v>
      </c>
      <c r="R219" s="15">
        <f t="shared" si="7"/>
        <v>8.3557778120707082E-2</v>
      </c>
      <c r="S219" s="13"/>
    </row>
    <row r="220" spans="1:19">
      <c r="A220" s="1" t="s">
        <v>16</v>
      </c>
      <c r="B220" s="1" t="s">
        <v>453</v>
      </c>
      <c r="C220" s="1" t="s">
        <v>454</v>
      </c>
      <c r="D220" s="6">
        <f>'2011 pax'!Q220</f>
        <v>3561605</v>
      </c>
      <c r="E220" s="10">
        <v>253499</v>
      </c>
      <c r="F220" s="10">
        <v>251288</v>
      </c>
      <c r="G220" s="10">
        <v>301755</v>
      </c>
      <c r="H220" s="10">
        <v>292054</v>
      </c>
      <c r="I220" s="10">
        <f>167904+159753</f>
        <v>327657</v>
      </c>
      <c r="J220" s="10">
        <v>349141</v>
      </c>
      <c r="K220" s="10">
        <v>349470</v>
      </c>
      <c r="L220" s="10">
        <v>331996</v>
      </c>
      <c r="M220" s="10">
        <f>149005+149441</f>
        <v>298446</v>
      </c>
      <c r="N220" s="10">
        <v>329746</v>
      </c>
      <c r="O220" s="10">
        <v>298360</v>
      </c>
      <c r="P220" s="10">
        <f>152213+143157</f>
        <v>295370</v>
      </c>
      <c r="Q220" s="6">
        <f t="shared" si="6"/>
        <v>3678782</v>
      </c>
      <c r="R220" s="15">
        <f t="shared" si="7"/>
        <v>3.2900054890983244E-2</v>
      </c>
      <c r="S220" s="13"/>
    </row>
    <row r="221" spans="1:19">
      <c r="A221" s="1" t="s">
        <v>16</v>
      </c>
      <c r="B221" s="1" t="s">
        <v>412</v>
      </c>
      <c r="C221" s="1" t="s">
        <v>413</v>
      </c>
      <c r="D221" s="6">
        <f>'2011 pax'!Q221</f>
        <v>4211476</v>
      </c>
      <c r="E221" s="10">
        <v>294522</v>
      </c>
      <c r="F221" s="10">
        <v>299136</v>
      </c>
      <c r="G221" s="10">
        <v>357606</v>
      </c>
      <c r="H221" s="10">
        <v>328988</v>
      </c>
      <c r="I221" s="10">
        <v>377215</v>
      </c>
      <c r="J221" s="10">
        <v>398698</v>
      </c>
      <c r="K221" s="10">
        <v>387136</v>
      </c>
      <c r="L221" s="10">
        <v>367281</v>
      </c>
      <c r="M221" s="10">
        <v>332347</v>
      </c>
      <c r="N221" s="10">
        <v>356539</v>
      </c>
      <c r="O221" s="10">
        <v>315704</v>
      </c>
      <c r="P221" s="10">
        <v>312172</v>
      </c>
      <c r="Q221" s="6">
        <f t="shared" si="6"/>
        <v>4127344</v>
      </c>
      <c r="R221" s="15">
        <f t="shared" si="7"/>
        <v>-1.9976844222785561E-2</v>
      </c>
    </row>
    <row r="222" spans="1:19">
      <c r="A222" s="1" t="s">
        <v>16</v>
      </c>
      <c r="B222" s="1" t="s">
        <v>38</v>
      </c>
      <c r="C222" s="1" t="s">
        <v>39</v>
      </c>
      <c r="D222" s="6">
        <f>'2011 pax'!Q222</f>
        <v>35352284</v>
      </c>
      <c r="E222" s="10">
        <v>2793848</v>
      </c>
      <c r="F222" s="10">
        <v>2855253</v>
      </c>
      <c r="G222" s="10">
        <v>3393002</v>
      </c>
      <c r="H222" s="10">
        <v>3186849</v>
      </c>
      <c r="I222" s="10">
        <v>3050372</v>
      </c>
      <c r="J222" s="10">
        <v>3024267</v>
      </c>
      <c r="K222" s="10">
        <v>3173135</v>
      </c>
      <c r="L222" s="10">
        <v>2934513</v>
      </c>
      <c r="M222" s="10">
        <v>2327382</v>
      </c>
      <c r="N222" s="10">
        <v>2327382</v>
      </c>
      <c r="O222" s="10">
        <v>2830291</v>
      </c>
      <c r="P222" s="10">
        <v>2974973</v>
      </c>
      <c r="Q222" s="6">
        <f t="shared" si="6"/>
        <v>34871267</v>
      </c>
      <c r="R222" s="15">
        <f t="shared" si="7"/>
        <v>-1.3606391032613296E-2</v>
      </c>
      <c r="S222" s="13"/>
    </row>
    <row r="223" spans="1:19">
      <c r="A223" s="1" t="s">
        <v>16</v>
      </c>
      <c r="B223" s="1" t="s">
        <v>441</v>
      </c>
      <c r="C223" s="1" t="s">
        <v>442</v>
      </c>
      <c r="D223" s="6">
        <f>'2011 pax'!Q223</f>
        <v>1577307</v>
      </c>
      <c r="E223" s="10">
        <v>112162</v>
      </c>
      <c r="F223" s="10">
        <v>116966</v>
      </c>
      <c r="G223" s="10">
        <v>175369</v>
      </c>
      <c r="H223" s="10">
        <v>165647</v>
      </c>
      <c r="I223" s="10">
        <v>149492</v>
      </c>
      <c r="J223" s="10">
        <v>182830</v>
      </c>
      <c r="K223" s="10">
        <v>199581</v>
      </c>
      <c r="L223" s="10">
        <v>168825</v>
      </c>
      <c r="M223" s="10">
        <v>120979</v>
      </c>
      <c r="N223" s="10">
        <v>147423</v>
      </c>
      <c r="O223" s="10">
        <v>137879</v>
      </c>
      <c r="P223" s="10">
        <v>138576</v>
      </c>
      <c r="Q223" s="6">
        <f t="shared" si="6"/>
        <v>1815729</v>
      </c>
      <c r="R223" s="15">
        <f t="shared" si="7"/>
        <v>0.15115763766977519</v>
      </c>
    </row>
    <row r="224" spans="1:19">
      <c r="A224" s="1" t="s">
        <v>16</v>
      </c>
      <c r="B224" s="1" t="s">
        <v>400</v>
      </c>
      <c r="C224" s="1" t="s">
        <v>401</v>
      </c>
      <c r="D224" s="6">
        <f>'2011 pax'!Q224</f>
        <v>5767207</v>
      </c>
      <c r="E224" s="10">
        <v>524256</v>
      </c>
      <c r="F224" s="10">
        <v>539548</v>
      </c>
      <c r="G224" s="10">
        <v>658913</v>
      </c>
      <c r="H224" s="10">
        <v>553127</v>
      </c>
      <c r="I224" s="10">
        <v>431041</v>
      </c>
      <c r="J224" s="10">
        <v>389344</v>
      </c>
      <c r="K224" s="10">
        <v>406454</v>
      </c>
      <c r="L224" s="10">
        <v>393126</v>
      </c>
      <c r="M224" s="10">
        <v>316402</v>
      </c>
      <c r="N224" s="10">
        <v>392238</v>
      </c>
      <c r="O224" s="10">
        <v>481673</v>
      </c>
      <c r="P224" s="10">
        <v>522955</v>
      </c>
      <c r="Q224" s="6">
        <f t="shared" si="6"/>
        <v>5609077</v>
      </c>
      <c r="R224" s="15">
        <f t="shared" si="7"/>
        <v>-2.7418818155824809E-2</v>
      </c>
    </row>
    <row r="225" spans="1:19">
      <c r="A225" s="1" t="s">
        <v>16</v>
      </c>
      <c r="B225" s="1" t="s">
        <v>455</v>
      </c>
      <c r="C225" s="1" t="s">
        <v>456</v>
      </c>
      <c r="D225" s="6">
        <f>'2011 pax'!Q225</f>
        <v>1511150</v>
      </c>
      <c r="E225" s="10">
        <v>181238</v>
      </c>
      <c r="F225" s="10">
        <v>207535</v>
      </c>
      <c r="G225" s="10">
        <v>247235</v>
      </c>
      <c r="H225" s="10">
        <v>200640</v>
      </c>
      <c r="I225" s="10">
        <v>129089</v>
      </c>
      <c r="J225" s="10">
        <v>76193</v>
      </c>
      <c r="K225" s="10">
        <v>67450</v>
      </c>
      <c r="L225" s="10">
        <v>67719</v>
      </c>
      <c r="M225" s="10">
        <v>74430</v>
      </c>
      <c r="N225" s="10">
        <v>125604</v>
      </c>
      <c r="O225" s="10">
        <v>173385</v>
      </c>
      <c r="P225" s="10">
        <v>176595</v>
      </c>
      <c r="Q225" s="6">
        <f t="shared" si="6"/>
        <v>1727113</v>
      </c>
      <c r="R225" s="15">
        <f t="shared" si="7"/>
        <v>0.14291301326804096</v>
      </c>
    </row>
    <row r="226" spans="1:19">
      <c r="A226" s="1" t="s">
        <v>16</v>
      </c>
      <c r="B226" s="1" t="s">
        <v>46</v>
      </c>
      <c r="C226" s="1" t="s">
        <v>47</v>
      </c>
      <c r="D226" s="6">
        <f>'2011 pax'!Q226</f>
        <v>30839130</v>
      </c>
      <c r="E226" s="10">
        <v>2265435</v>
      </c>
      <c r="F226" s="10">
        <v>2146092</v>
      </c>
      <c r="G226" s="10">
        <v>2599888</v>
      </c>
      <c r="H226" s="10">
        <v>2553733</v>
      </c>
      <c r="I226" s="10">
        <v>2665129</v>
      </c>
      <c r="J226" s="10">
        <v>2711663</v>
      </c>
      <c r="K226" s="10">
        <v>2741111</v>
      </c>
      <c r="L226" s="10">
        <v>2820030</v>
      </c>
      <c r="M226" s="10">
        <v>2411875</v>
      </c>
      <c r="N226" s="10">
        <v>2453727</v>
      </c>
      <c r="O226" s="10">
        <v>2468814</v>
      </c>
      <c r="P226" s="10">
        <v>2391099</v>
      </c>
      <c r="Q226" s="6">
        <f t="shared" si="6"/>
        <v>30228596</v>
      </c>
      <c r="R226" s="15">
        <f t="shared" si="7"/>
        <v>-1.9797380795113173E-2</v>
      </c>
      <c r="S226" s="19"/>
    </row>
    <row r="227" spans="1:19">
      <c r="A227" s="1" t="s">
        <v>16</v>
      </c>
      <c r="B227" s="1" t="s">
        <v>32</v>
      </c>
      <c r="C227" s="1" t="s">
        <v>33</v>
      </c>
      <c r="D227" s="6">
        <f>'2011 pax'!Q227</f>
        <v>40565677</v>
      </c>
      <c r="E227" s="10">
        <v>3202418</v>
      </c>
      <c r="F227" s="10">
        <v>3146023</v>
      </c>
      <c r="G227" s="10">
        <v>3826979</v>
      </c>
      <c r="H227" s="10">
        <v>3367957</v>
      </c>
      <c r="I227" s="10">
        <v>3412990</v>
      </c>
      <c r="J227" s="10">
        <v>3494690</v>
      </c>
      <c r="K227" s="10">
        <v>3575946</v>
      </c>
      <c r="L227" s="10">
        <v>3397203</v>
      </c>
      <c r="M227" s="10">
        <v>2952853</v>
      </c>
      <c r="N227" s="10">
        <v>3397203</v>
      </c>
      <c r="O227" s="10">
        <v>3374740</v>
      </c>
      <c r="P227" s="10">
        <v>3393672</v>
      </c>
      <c r="Q227" s="6">
        <f t="shared" si="6"/>
        <v>40542674</v>
      </c>
      <c r="R227" s="15">
        <f t="shared" si="7"/>
        <v>-5.6705574025051053E-4</v>
      </c>
      <c r="S227" s="13"/>
    </row>
    <row r="228" spans="1:19">
      <c r="A228" s="1" t="s">
        <v>16</v>
      </c>
      <c r="B228" s="1" t="s">
        <v>510</v>
      </c>
      <c r="C228" s="1" t="s">
        <v>511</v>
      </c>
      <c r="D228" s="6">
        <f>'2011 pax'!Q228</f>
        <v>956665</v>
      </c>
      <c r="E228" s="10">
        <v>96998</v>
      </c>
      <c r="F228" s="10">
        <v>113596</v>
      </c>
      <c r="G228" s="10">
        <v>167550</v>
      </c>
      <c r="H228" s="10">
        <v>128158</v>
      </c>
      <c r="I228" s="10">
        <v>105349</v>
      </c>
      <c r="J228" s="10">
        <v>110278</v>
      </c>
      <c r="K228" s="10">
        <v>122765</v>
      </c>
      <c r="L228" s="10">
        <v>99225</v>
      </c>
      <c r="M228" s="10">
        <v>84500</v>
      </c>
      <c r="N228" s="10">
        <v>100528</v>
      </c>
      <c r="O228" s="10">
        <v>115818</v>
      </c>
      <c r="P228" s="10">
        <v>128366</v>
      </c>
      <c r="Q228" s="6">
        <f t="shared" si="6"/>
        <v>1373131</v>
      </c>
      <c r="R228" s="15">
        <f t="shared" si="7"/>
        <v>0.43533107200535182</v>
      </c>
    </row>
    <row r="229" spans="1:19">
      <c r="A229" s="1" t="s">
        <v>16</v>
      </c>
      <c r="B229" s="1" t="s">
        <v>344</v>
      </c>
      <c r="C229" s="1" t="s">
        <v>345</v>
      </c>
      <c r="D229" s="6">
        <f>'2011 pax'!Q229</f>
        <v>8288710</v>
      </c>
      <c r="E229" s="10">
        <v>552656</v>
      </c>
      <c r="F229" s="10">
        <v>553611</v>
      </c>
      <c r="G229" s="10">
        <v>706088</v>
      </c>
      <c r="H229" s="10">
        <v>674763</v>
      </c>
      <c r="I229" s="10">
        <v>708650</v>
      </c>
      <c r="J229" s="10">
        <v>740113</v>
      </c>
      <c r="K229" s="10">
        <v>733105</v>
      </c>
      <c r="L229" s="10">
        <v>730517</v>
      </c>
      <c r="M229" s="10">
        <v>640281</v>
      </c>
      <c r="N229" s="10">
        <v>643411</v>
      </c>
      <c r="O229" s="10">
        <v>719996</v>
      </c>
      <c r="P229" s="10">
        <v>608390</v>
      </c>
      <c r="Q229" s="6">
        <f t="shared" si="6"/>
        <v>8011581</v>
      </c>
      <c r="R229" s="15">
        <f t="shared" si="7"/>
        <v>-3.3434515141680721E-2</v>
      </c>
      <c r="S229" s="13"/>
    </row>
    <row r="230" spans="1:19">
      <c r="A230" s="1" t="s">
        <v>16</v>
      </c>
      <c r="B230" s="1" t="s">
        <v>62</v>
      </c>
      <c r="C230" s="1" t="s">
        <v>63</v>
      </c>
      <c r="D230" s="6">
        <f>'2011 pax'!Q230</f>
        <v>13675773</v>
      </c>
      <c r="E230" s="10">
        <v>974082</v>
      </c>
      <c r="F230" s="10">
        <v>933082</v>
      </c>
      <c r="G230" s="10">
        <v>1125870</v>
      </c>
      <c r="H230" s="10">
        <v>1102434</v>
      </c>
      <c r="I230" s="10">
        <v>1182534</v>
      </c>
      <c r="J230" s="10">
        <v>1333681</v>
      </c>
      <c r="K230" s="10">
        <v>1468804</v>
      </c>
      <c r="L230" s="10">
        <v>1484767</v>
      </c>
      <c r="M230" s="10">
        <v>1213111</v>
      </c>
      <c r="N230" s="10">
        <v>1193099</v>
      </c>
      <c r="O230" s="10">
        <v>1167622</v>
      </c>
      <c r="P230" s="10">
        <v>1211541</v>
      </c>
      <c r="Q230" s="6">
        <f t="shared" si="6"/>
        <v>14390627</v>
      </c>
      <c r="R230" s="15">
        <f t="shared" si="7"/>
        <v>5.2271560810493112E-2</v>
      </c>
      <c r="S230" s="13"/>
    </row>
    <row r="231" spans="1:19">
      <c r="A231" s="1" t="s">
        <v>16</v>
      </c>
      <c r="B231" s="1" t="s">
        <v>408</v>
      </c>
      <c r="C231" s="1" t="s">
        <v>409</v>
      </c>
      <c r="D231" s="6">
        <f>'2011 pax'!Q231</f>
        <v>3883548</v>
      </c>
      <c r="E231" s="10">
        <v>257480</v>
      </c>
      <c r="F231" s="10">
        <v>265769</v>
      </c>
      <c r="G231" s="10">
        <v>320754</v>
      </c>
      <c r="H231" s="10">
        <v>310034</v>
      </c>
      <c r="I231" s="10">
        <v>317482</v>
      </c>
      <c r="J231" s="10">
        <v>323716</v>
      </c>
      <c r="K231" s="10">
        <v>342922</v>
      </c>
      <c r="L231" s="10">
        <v>341979</v>
      </c>
      <c r="M231" s="10">
        <v>291277</v>
      </c>
      <c r="N231" s="10">
        <v>301463</v>
      </c>
      <c r="O231" s="10">
        <v>288537</v>
      </c>
      <c r="P231" s="10">
        <v>289324</v>
      </c>
      <c r="Q231" s="6">
        <f t="shared" si="6"/>
        <v>3650737</v>
      </c>
      <c r="R231" s="15">
        <f t="shared" si="7"/>
        <v>-5.9948016607493937E-2</v>
      </c>
      <c r="S231" s="13"/>
    </row>
    <row r="232" spans="1:19">
      <c r="A232" s="1" t="s">
        <v>16</v>
      </c>
      <c r="B232" s="1" t="s">
        <v>355</v>
      </c>
      <c r="C232" s="1" t="s">
        <v>356</v>
      </c>
      <c r="D232" s="6">
        <f>'2011 pax'!Q232</f>
        <v>9191411</v>
      </c>
      <c r="E232" s="10">
        <f>314555+326828</f>
        <v>641383</v>
      </c>
      <c r="F232" s="10">
        <f>311642+313715</f>
        <v>625357</v>
      </c>
      <c r="G232" s="10">
        <f>380983+384755</f>
        <v>765738</v>
      </c>
      <c r="H232" s="10">
        <f>396116+394240</f>
        <v>790356</v>
      </c>
      <c r="I232" s="10">
        <f>411004+402411</f>
        <v>813415</v>
      </c>
      <c r="J232" s="10">
        <f>428277+413174</f>
        <v>841451</v>
      </c>
      <c r="K232" s="10">
        <f>414839+419071</f>
        <v>833910</v>
      </c>
      <c r="L232" s="10">
        <f>421370+411880</f>
        <v>833250</v>
      </c>
      <c r="M232" s="10">
        <f>369095+365066</f>
        <v>734161</v>
      </c>
      <c r="N232" s="10">
        <f>406802+406522</f>
        <v>813324</v>
      </c>
      <c r="O232" s="10">
        <v>781162</v>
      </c>
      <c r="P232" s="10">
        <f>383896+362988</f>
        <v>746884</v>
      </c>
      <c r="Q232" s="6">
        <f t="shared" si="6"/>
        <v>9220391</v>
      </c>
      <c r="R232" s="15">
        <f t="shared" si="7"/>
        <v>3.152943546970155E-3</v>
      </c>
      <c r="S232" s="13"/>
    </row>
    <row r="233" spans="1:19">
      <c r="A233" s="1" t="s">
        <v>16</v>
      </c>
      <c r="B233" s="1" t="s">
        <v>410</v>
      </c>
      <c r="C233" s="1" t="s">
        <v>411</v>
      </c>
      <c r="D233" s="6">
        <f>'2011 pax'!Q233</f>
        <v>3754155</v>
      </c>
      <c r="E233" s="10">
        <v>259012</v>
      </c>
      <c r="F233" s="10">
        <v>265017</v>
      </c>
      <c r="G233" s="10">
        <v>292939</v>
      </c>
      <c r="H233" s="10">
        <v>275926</v>
      </c>
      <c r="I233" s="10">
        <v>279857</v>
      </c>
      <c r="J233" s="10">
        <v>325260</v>
      </c>
      <c r="K233" s="10">
        <v>347060</v>
      </c>
      <c r="L233" s="10">
        <v>350934</v>
      </c>
      <c r="M233" s="10">
        <v>290311</v>
      </c>
      <c r="N233" s="10">
        <v>277030</v>
      </c>
      <c r="O233" s="10">
        <v>248067</v>
      </c>
      <c r="P233" s="10">
        <v>267739</v>
      </c>
      <c r="Q233" s="6">
        <f t="shared" si="6"/>
        <v>3479152</v>
      </c>
      <c r="R233" s="15">
        <f t="shared" si="7"/>
        <v>-7.3252969043632987E-2</v>
      </c>
    </row>
    <row r="234" spans="1:19">
      <c r="A234" s="1" t="s">
        <v>16</v>
      </c>
      <c r="B234" s="1" t="s">
        <v>425</v>
      </c>
      <c r="C234" s="1" t="s">
        <v>426</v>
      </c>
      <c r="D234" s="6">
        <f>'2011 pax'!Q234</f>
        <v>3179956</v>
      </c>
      <c r="E234" s="10">
        <v>216270</v>
      </c>
      <c r="F234" s="10">
        <v>215893</v>
      </c>
      <c r="G234" s="10">
        <v>264371</v>
      </c>
      <c r="H234" s="10">
        <v>277217</v>
      </c>
      <c r="I234" s="10">
        <v>289164</v>
      </c>
      <c r="J234" s="10">
        <v>294986</v>
      </c>
      <c r="K234" s="10">
        <v>288798</v>
      </c>
      <c r="L234" s="10">
        <v>290122</v>
      </c>
      <c r="M234" s="10">
        <v>253941</v>
      </c>
      <c r="N234" s="10">
        <v>269872</v>
      </c>
      <c r="O234" s="10">
        <v>262146</v>
      </c>
      <c r="P234" s="10">
        <v>244514</v>
      </c>
      <c r="Q234" s="6">
        <f t="shared" si="6"/>
        <v>3167294</v>
      </c>
      <c r="R234" s="15">
        <f t="shared" si="7"/>
        <v>-3.9818161006001107E-3</v>
      </c>
    </row>
    <row r="235" spans="1:19">
      <c r="A235" s="1" t="s">
        <v>16</v>
      </c>
      <c r="B235" s="1" t="s">
        <v>519</v>
      </c>
      <c r="C235" s="1" t="s">
        <v>520</v>
      </c>
      <c r="D235" s="6">
        <f>'2011 pax'!Q235</f>
        <v>8716879</v>
      </c>
      <c r="E235" s="10">
        <v>637131</v>
      </c>
      <c r="F235" s="10">
        <v>617764</v>
      </c>
      <c r="G235" s="10">
        <v>712613</v>
      </c>
      <c r="H235" s="10">
        <v>718990</v>
      </c>
      <c r="I235" s="10">
        <v>762665</v>
      </c>
      <c r="J235" s="10">
        <v>791277</v>
      </c>
      <c r="K235" s="10">
        <v>833369</v>
      </c>
      <c r="L235" s="10">
        <v>828279</v>
      </c>
      <c r="M235" s="10">
        <v>717057</v>
      </c>
      <c r="N235" s="10">
        <v>752433</v>
      </c>
      <c r="O235" s="10">
        <v>729621</v>
      </c>
      <c r="P235" s="10">
        <v>711632</v>
      </c>
      <c r="Q235" s="6">
        <f t="shared" si="6"/>
        <v>8812831</v>
      </c>
      <c r="R235" s="15">
        <f t="shared" si="7"/>
        <v>1.100760948958901E-2</v>
      </c>
    </row>
    <row r="236" spans="1:19">
      <c r="A236" s="1" t="s">
        <v>16</v>
      </c>
      <c r="B236" s="1" t="s">
        <v>54</v>
      </c>
      <c r="C236" s="1" t="s">
        <v>55</v>
      </c>
      <c r="D236" s="6">
        <f>'2011 pax'!Q236</f>
        <v>20389133</v>
      </c>
      <c r="E236" s="10">
        <v>1557735</v>
      </c>
      <c r="F236" s="10">
        <v>1512833</v>
      </c>
      <c r="G236" s="10">
        <v>1801433</v>
      </c>
      <c r="H236" s="10">
        <v>1638703</v>
      </c>
      <c r="I236" s="10">
        <v>1645857</v>
      </c>
      <c r="J236" s="10">
        <v>1793827</v>
      </c>
      <c r="K236" s="10">
        <v>1846902</v>
      </c>
      <c r="L236" s="10">
        <v>1909541</v>
      </c>
      <c r="M236" s="10">
        <v>1595747</v>
      </c>
      <c r="N236" s="10">
        <v>1663450</v>
      </c>
      <c r="O236" s="10">
        <v>1512781</v>
      </c>
      <c r="P236" s="10">
        <v>1580788</v>
      </c>
      <c r="Q236" s="6">
        <f t="shared" si="6"/>
        <v>20059597</v>
      </c>
      <c r="R236" s="15">
        <f t="shared" si="7"/>
        <v>-1.616233510272358E-2</v>
      </c>
      <c r="S236" s="13"/>
    </row>
    <row r="237" spans="1:19">
      <c r="A237" s="1" t="s">
        <v>16</v>
      </c>
      <c r="B237" s="1" t="s">
        <v>396</v>
      </c>
      <c r="C237" s="1" t="s">
        <v>397</v>
      </c>
      <c r="D237" s="6">
        <f>'2011 pax'!Q237</f>
        <v>8171508</v>
      </c>
      <c r="E237" s="10">
        <v>606503</v>
      </c>
      <c r="F237" s="10">
        <v>586356</v>
      </c>
      <c r="G237" s="10">
        <v>722833</v>
      </c>
      <c r="H237" s="10">
        <v>675051</v>
      </c>
      <c r="I237" s="10">
        <v>691803</v>
      </c>
      <c r="J237" s="10">
        <v>758148</v>
      </c>
      <c r="K237" s="10">
        <v>780619</v>
      </c>
      <c r="L237" s="10">
        <v>722249</v>
      </c>
      <c r="M237" s="10">
        <v>610268</v>
      </c>
      <c r="N237" s="10">
        <v>705731</v>
      </c>
      <c r="O237" s="10">
        <v>700391</v>
      </c>
      <c r="P237" s="10">
        <v>683269</v>
      </c>
      <c r="Q237" s="6">
        <f t="shared" si="6"/>
        <v>8243221</v>
      </c>
      <c r="R237" s="15">
        <f t="shared" si="7"/>
        <v>8.7759811285750278E-3</v>
      </c>
    </row>
    <row r="238" spans="1:19">
      <c r="A238" s="1" t="s">
        <v>16</v>
      </c>
      <c r="B238" s="1" t="s">
        <v>58</v>
      </c>
      <c r="C238" s="1" t="s">
        <v>59</v>
      </c>
      <c r="D238" s="6">
        <f>'2011 pax'!Q238</f>
        <v>16890722</v>
      </c>
      <c r="E238" s="10">
        <v>1266169</v>
      </c>
      <c r="F238" s="10">
        <v>1263165</v>
      </c>
      <c r="G238" s="10">
        <v>1451464</v>
      </c>
      <c r="H238" s="10">
        <v>1423186</v>
      </c>
      <c r="I238" s="10">
        <v>1417300</v>
      </c>
      <c r="J238" s="10">
        <v>1522204</v>
      </c>
      <c r="K238" s="10">
        <v>1670554</v>
      </c>
      <c r="L238" s="10">
        <v>1644683</v>
      </c>
      <c r="M238" s="10">
        <v>1389749</v>
      </c>
      <c r="N238" s="10">
        <v>1450260</v>
      </c>
      <c r="O238" s="10">
        <v>1382752</v>
      </c>
      <c r="P238" s="10">
        <v>1371191</v>
      </c>
      <c r="Q238" s="6">
        <f t="shared" si="6"/>
        <v>17252677</v>
      </c>
      <c r="R238" s="15">
        <f t="shared" si="7"/>
        <v>2.1429220136356619E-2</v>
      </c>
      <c r="S238" s="13"/>
    </row>
    <row r="239" spans="1:19">
      <c r="A239" s="1" t="s">
        <v>16</v>
      </c>
      <c r="B239" s="1" t="s">
        <v>30</v>
      </c>
      <c r="C239" s="1" t="s">
        <v>31</v>
      </c>
      <c r="D239" s="6">
        <f>'2011 pax'!Q239</f>
        <v>41025259</v>
      </c>
      <c r="E239" s="10">
        <v>3218600</v>
      </c>
      <c r="F239" s="10">
        <v>3218600</v>
      </c>
      <c r="G239" s="10">
        <v>3481078</v>
      </c>
      <c r="H239" s="10">
        <v>3569473</v>
      </c>
      <c r="I239" s="10">
        <v>3825332</v>
      </c>
      <c r="J239" s="10">
        <v>4112311</v>
      </c>
      <c r="K239" s="10">
        <v>4278800</v>
      </c>
      <c r="L239" s="10">
        <v>4362369</v>
      </c>
      <c r="M239" s="10">
        <v>3831358</v>
      </c>
      <c r="N239" s="10">
        <v>3887978</v>
      </c>
      <c r="O239" s="10">
        <v>3508112</v>
      </c>
      <c r="P239" s="10">
        <v>3448766</v>
      </c>
      <c r="Q239" s="6">
        <f t="shared" si="6"/>
        <v>44742777</v>
      </c>
      <c r="R239" s="15">
        <f t="shared" si="7"/>
        <v>9.0615345048766116E-2</v>
      </c>
      <c r="S239" s="13"/>
    </row>
    <row r="240" spans="1:19">
      <c r="A240" s="1" t="s">
        <v>16</v>
      </c>
      <c r="B240" s="1" t="s">
        <v>493</v>
      </c>
      <c r="C240" s="1" t="s">
        <v>494</v>
      </c>
      <c r="D240" s="6">
        <f>'2011 pax'!Q240</f>
        <v>8356981</v>
      </c>
      <c r="E240" s="10">
        <v>606836</v>
      </c>
      <c r="F240" s="10">
        <v>578113</v>
      </c>
      <c r="G240" s="10">
        <v>663471</v>
      </c>
      <c r="H240" s="10">
        <v>685679</v>
      </c>
      <c r="I240" s="10">
        <v>703155</v>
      </c>
      <c r="J240" s="10">
        <v>752117</v>
      </c>
      <c r="K240" s="10">
        <v>772284</v>
      </c>
      <c r="L240" s="10">
        <v>778612</v>
      </c>
      <c r="M240" s="10">
        <v>672103</v>
      </c>
      <c r="N240" s="10">
        <v>713547</v>
      </c>
      <c r="O240" s="10">
        <v>700390</v>
      </c>
      <c r="P240" s="10">
        <v>669867</v>
      </c>
      <c r="Q240" s="6">
        <f t="shared" si="6"/>
        <v>8296174</v>
      </c>
      <c r="R240" s="15">
        <f t="shared" si="7"/>
        <v>-7.2761922038592219E-3</v>
      </c>
    </row>
    <row r="241" spans="1:20" ht="15.75">
      <c r="A241" s="1" t="s">
        <v>16</v>
      </c>
      <c r="B241" s="1" t="s">
        <v>504</v>
      </c>
      <c r="C241" s="1" t="s">
        <v>492</v>
      </c>
      <c r="D241" s="6">
        <f>'2011 pax'!Q241</f>
        <v>8609008</v>
      </c>
      <c r="E241" s="10">
        <v>636573</v>
      </c>
      <c r="F241" s="10">
        <v>605040</v>
      </c>
      <c r="G241" s="10">
        <v>727841</v>
      </c>
      <c r="H241" s="10">
        <v>727523</v>
      </c>
      <c r="I241" s="10">
        <v>742204</v>
      </c>
      <c r="J241" s="10">
        <v>784849</v>
      </c>
      <c r="K241" s="10">
        <v>816536</v>
      </c>
      <c r="L241" s="10">
        <v>838623</v>
      </c>
      <c r="M241" s="10">
        <v>707510</v>
      </c>
      <c r="N241" s="10">
        <v>776658</v>
      </c>
      <c r="O241" s="10">
        <v>750800</v>
      </c>
      <c r="P241" s="10">
        <v>735626</v>
      </c>
      <c r="Q241" s="6">
        <f t="shared" si="6"/>
        <v>8849783</v>
      </c>
      <c r="R241" s="15">
        <f t="shared" si="7"/>
        <v>2.796779838048713E-2</v>
      </c>
    </row>
    <row r="242" spans="1:20">
      <c r="A242" s="1" t="s">
        <v>16</v>
      </c>
      <c r="B242" s="1" t="s">
        <v>435</v>
      </c>
      <c r="C242" s="1" t="s">
        <v>436</v>
      </c>
      <c r="D242" s="6">
        <f>'2011 pax'!Q242</f>
        <v>1616694</v>
      </c>
      <c r="E242" s="10">
        <v>99642</v>
      </c>
      <c r="F242" s="10">
        <v>102460</v>
      </c>
      <c r="G242" s="10">
        <v>141048</v>
      </c>
      <c r="H242" s="10">
        <f>79580+73010</f>
        <v>152590</v>
      </c>
      <c r="I242" s="10">
        <f>77520+75102</f>
        <v>152622</v>
      </c>
      <c r="J242" s="10">
        <f>73773+72838</f>
        <v>146611</v>
      </c>
      <c r="K242" s="10">
        <v>139851</v>
      </c>
      <c r="L242" s="10">
        <f>67988+68682</f>
        <v>136670</v>
      </c>
      <c r="M242" s="10">
        <f>67998+68682</f>
        <v>136680</v>
      </c>
      <c r="N242" s="10">
        <f>74299+72013</f>
        <v>146312</v>
      </c>
      <c r="O242" s="10">
        <f>69071+65290</f>
        <v>134361</v>
      </c>
      <c r="P242" s="10">
        <f>60373+57999</f>
        <v>118372</v>
      </c>
      <c r="Q242" s="6">
        <f t="shared" si="6"/>
        <v>1607219</v>
      </c>
      <c r="R242" s="15">
        <f t="shared" si="7"/>
        <v>-5.8607256537106522E-3</v>
      </c>
    </row>
    <row r="243" spans="1:20">
      <c r="A243" s="1" t="s">
        <v>16</v>
      </c>
      <c r="B243" s="1" t="s">
        <v>44</v>
      </c>
      <c r="C243" s="1" t="s">
        <v>45</v>
      </c>
      <c r="D243" s="6">
        <f>'2011 pax'!Q243</f>
        <v>32820059</v>
      </c>
      <c r="E243" s="10">
        <v>2263608</v>
      </c>
      <c r="F243" s="10">
        <v>2242035</v>
      </c>
      <c r="G243" s="10">
        <v>2673841</v>
      </c>
      <c r="H243" s="10">
        <v>2606531</v>
      </c>
      <c r="I243" s="10">
        <v>2792236</v>
      </c>
      <c r="J243" s="10">
        <v>3148778</v>
      </c>
      <c r="K243" s="10">
        <v>3397429</v>
      </c>
      <c r="L243" s="10">
        <v>3388555</v>
      </c>
      <c r="M243" s="10">
        <v>2830493</v>
      </c>
      <c r="N243" s="10">
        <v>2654104</v>
      </c>
      <c r="O243" s="10">
        <v>2557979</v>
      </c>
      <c r="P243" s="10">
        <v>2664134</v>
      </c>
      <c r="Q243" s="6">
        <f t="shared" si="6"/>
        <v>33219723</v>
      </c>
      <c r="R243" s="15">
        <f t="shared" si="7"/>
        <v>1.2177430881522788E-2</v>
      </c>
      <c r="S243" s="13"/>
    </row>
    <row r="244" spans="1:20">
      <c r="A244" s="1" t="s">
        <v>16</v>
      </c>
      <c r="B244" s="1" t="s">
        <v>502</v>
      </c>
      <c r="C244" s="1" t="s">
        <v>503</v>
      </c>
      <c r="D244" s="6">
        <f>'2011 pax'!Q244</f>
        <v>3076091</v>
      </c>
      <c r="E244" s="10">
        <v>215209</v>
      </c>
      <c r="F244" s="10">
        <v>214092</v>
      </c>
      <c r="G244" s="10">
        <v>255948</v>
      </c>
      <c r="H244" s="10">
        <v>230609</v>
      </c>
      <c r="I244" s="10">
        <v>248503</v>
      </c>
      <c r="J244" s="10">
        <v>267849</v>
      </c>
      <c r="K244" s="10">
        <v>291775</v>
      </c>
      <c r="L244" s="10">
        <v>300775</v>
      </c>
      <c r="M244" s="10">
        <v>239606</v>
      </c>
      <c r="N244" s="10">
        <v>244804</v>
      </c>
      <c r="O244" s="10">
        <v>241381</v>
      </c>
      <c r="P244" s="10">
        <v>249621</v>
      </c>
      <c r="Q244" s="6">
        <f t="shared" si="6"/>
        <v>3000172</v>
      </c>
      <c r="R244" s="15">
        <f t="shared" si="7"/>
        <v>-2.4680349183427874E-2</v>
      </c>
    </row>
    <row r="245" spans="1:20">
      <c r="A245" s="1" t="s">
        <v>16</v>
      </c>
      <c r="B245" s="1" t="s">
        <v>443</v>
      </c>
      <c r="C245" s="1" t="s">
        <v>444</v>
      </c>
      <c r="D245" s="6">
        <f>'2011 pax'!Q245</f>
        <v>731395</v>
      </c>
      <c r="E245" s="10">
        <v>71895</v>
      </c>
      <c r="F245" s="10">
        <v>50643</v>
      </c>
      <c r="G245" s="10">
        <v>67142</v>
      </c>
      <c r="H245" s="10">
        <v>58681</v>
      </c>
      <c r="I245" s="10">
        <v>65294</v>
      </c>
      <c r="J245" s="10">
        <v>71895</v>
      </c>
      <c r="K245" s="10">
        <v>70745</v>
      </c>
      <c r="L245" s="10">
        <v>65096</v>
      </c>
      <c r="M245" s="10">
        <v>61554</v>
      </c>
      <c r="N245" s="10">
        <v>66770</v>
      </c>
      <c r="O245" s="10">
        <v>62571</v>
      </c>
      <c r="P245" s="10">
        <v>58714</v>
      </c>
      <c r="Q245" s="6">
        <f t="shared" si="6"/>
        <v>771000</v>
      </c>
      <c r="R245" s="15">
        <f t="shared" si="7"/>
        <v>5.4149946335427579E-2</v>
      </c>
    </row>
    <row r="246" spans="1:20">
      <c r="A246" s="1" t="s">
        <v>16</v>
      </c>
      <c r="B246" s="1" t="s">
        <v>394</v>
      </c>
      <c r="C246" s="1" t="s">
        <v>395</v>
      </c>
      <c r="D246" s="6">
        <f>'2011 pax'!Q246</f>
        <v>12526150</v>
      </c>
      <c r="E246" s="10">
        <v>883735</v>
      </c>
      <c r="F246" s="10">
        <v>864753</v>
      </c>
      <c r="G246" s="10">
        <v>1107363</v>
      </c>
      <c r="H246" s="10">
        <f>508940+517684</f>
        <v>1026624</v>
      </c>
      <c r="I246" s="10">
        <f>575165+547950</f>
        <v>1123115</v>
      </c>
      <c r="J246" s="10">
        <f>591292+595329</f>
        <v>1186621</v>
      </c>
      <c r="K246" s="10">
        <f>588277+583480</f>
        <v>1171757</v>
      </c>
      <c r="L246" s="10">
        <f>567282+583764</f>
        <v>1151046</v>
      </c>
      <c r="M246" s="10">
        <f>508406+508656</f>
        <v>1017062</v>
      </c>
      <c r="N246" s="10">
        <f>559101+556768</f>
        <v>1115869</v>
      </c>
      <c r="O246" s="10">
        <v>1043136</v>
      </c>
      <c r="P246" s="10">
        <f>506202+491713</f>
        <v>997915</v>
      </c>
      <c r="Q246" s="6">
        <f t="shared" si="6"/>
        <v>12688996</v>
      </c>
      <c r="R246" s="15">
        <f t="shared" si="7"/>
        <v>1.3000482989585782E-2</v>
      </c>
      <c r="S246" s="13"/>
    </row>
    <row r="247" spans="1:20" ht="15.75">
      <c r="A247" s="1" t="s">
        <v>16</v>
      </c>
      <c r="B247" s="7" t="s">
        <v>391</v>
      </c>
      <c r="C247" s="7" t="s">
        <v>337</v>
      </c>
      <c r="D247" s="6">
        <f>'2011 pax'!Q247</f>
        <v>418188</v>
      </c>
      <c r="E247" s="10">
        <v>29106</v>
      </c>
      <c r="F247" s="10">
        <v>30184</v>
      </c>
      <c r="G247" s="10">
        <v>35634</v>
      </c>
      <c r="H247" s="10">
        <f>33236+451</f>
        <v>33687</v>
      </c>
      <c r="I247" s="10">
        <f>31419+277</f>
        <v>31696</v>
      </c>
      <c r="J247" s="10">
        <f>31427+404</f>
        <v>31831</v>
      </c>
      <c r="K247" s="10">
        <f>36892+512</f>
        <v>37404</v>
      </c>
      <c r="L247" s="10">
        <f>37758+421</f>
        <v>38179</v>
      </c>
      <c r="M247" s="10">
        <f>24235+226</f>
        <v>24461</v>
      </c>
      <c r="N247" s="10">
        <f>24018+249</f>
        <v>24267</v>
      </c>
      <c r="O247" s="10">
        <f>25038+236</f>
        <v>25274</v>
      </c>
      <c r="P247" s="10">
        <f>26176+199</f>
        <v>26375</v>
      </c>
      <c r="Q247" s="6">
        <f t="shared" si="6"/>
        <v>368098</v>
      </c>
      <c r="R247" s="15">
        <f t="shared" si="7"/>
        <v>-0.11977866414148663</v>
      </c>
    </row>
    <row r="248" spans="1:20">
      <c r="A248" s="1" t="s">
        <v>16</v>
      </c>
      <c r="B248" s="1" t="s">
        <v>60</v>
      </c>
      <c r="C248" s="1" t="s">
        <v>61</v>
      </c>
      <c r="D248" s="6">
        <f>'2011 pax'!Q248</f>
        <v>16732051</v>
      </c>
      <c r="E248" s="10">
        <v>1293833</v>
      </c>
      <c r="F248" s="10">
        <v>1343566</v>
      </c>
      <c r="G248" s="10">
        <v>1707774</v>
      </c>
      <c r="H248" s="10">
        <v>1518802</v>
      </c>
      <c r="I248" s="10">
        <v>1411971</v>
      </c>
      <c r="J248" s="10">
        <v>1411295</v>
      </c>
      <c r="K248" s="10">
        <v>1465573</v>
      </c>
      <c r="L248" s="10">
        <v>1370543</v>
      </c>
      <c r="M248" s="10">
        <v>1136359</v>
      </c>
      <c r="N248" s="10">
        <v>1334482</v>
      </c>
      <c r="O248" s="10">
        <v>1395411</v>
      </c>
      <c r="P248" s="10">
        <v>1431250</v>
      </c>
      <c r="Q248" s="6">
        <f t="shared" si="6"/>
        <v>16820859</v>
      </c>
      <c r="R248" s="15">
        <f t="shared" si="7"/>
        <v>5.3076577402255687E-3</v>
      </c>
      <c r="T248" s="13"/>
    </row>
    <row r="249" spans="1:20">
      <c r="A249" s="1" t="s">
        <v>16</v>
      </c>
      <c r="B249" s="1" t="s">
        <v>498</v>
      </c>
      <c r="C249" s="1" t="s">
        <v>499</v>
      </c>
      <c r="D249" s="6">
        <f>'2011 pax'!Q249</f>
        <v>3658199</v>
      </c>
      <c r="E249" s="10">
        <v>291729</v>
      </c>
      <c r="F249" s="10">
        <v>308275</v>
      </c>
      <c r="G249" s="10">
        <v>358670</v>
      </c>
      <c r="H249" s="10">
        <v>319091</v>
      </c>
      <c r="I249" s="10">
        <v>314261</v>
      </c>
      <c r="J249" s="10">
        <v>286956</v>
      </c>
      <c r="K249" s="10">
        <v>285869</v>
      </c>
      <c r="L249" s="10">
        <v>281383</v>
      </c>
      <c r="M249" s="10">
        <v>267583</v>
      </c>
      <c r="N249" s="10">
        <v>303700</v>
      </c>
      <c r="O249" s="10">
        <v>296340</v>
      </c>
      <c r="P249" s="10">
        <v>291825</v>
      </c>
      <c r="Q249" s="6">
        <f t="shared" si="6"/>
        <v>3605682</v>
      </c>
      <c r="R249" s="15">
        <f t="shared" si="7"/>
        <v>-1.4355971339995444E-2</v>
      </c>
      <c r="T249" s="13"/>
    </row>
    <row r="250" spans="1:20">
      <c r="A250" s="1" t="s">
        <v>16</v>
      </c>
      <c r="B250" s="1" t="s">
        <v>539</v>
      </c>
      <c r="C250" s="1" t="s">
        <v>540</v>
      </c>
      <c r="D250" s="6">
        <v>2794751</v>
      </c>
      <c r="E250" s="10">
        <v>198051</v>
      </c>
      <c r="F250" s="10">
        <v>198051</v>
      </c>
      <c r="G250" s="10">
        <v>226707</v>
      </c>
      <c r="H250" s="10">
        <v>218043</v>
      </c>
      <c r="I250" s="10">
        <v>254231</v>
      </c>
      <c r="J250" s="10">
        <v>262234</v>
      </c>
      <c r="K250" s="10">
        <v>255415</v>
      </c>
      <c r="L250" s="10">
        <v>236851</v>
      </c>
      <c r="M250" s="10">
        <v>218876</v>
      </c>
      <c r="N250" s="10">
        <v>240419</v>
      </c>
      <c r="O250" s="10">
        <v>223908</v>
      </c>
      <c r="P250" s="10">
        <v>215416</v>
      </c>
      <c r="Q250" s="6">
        <f t="shared" si="6"/>
        <v>2748202</v>
      </c>
      <c r="R250" s="15">
        <f t="shared" si="7"/>
        <v>-1.6655866658603968E-2</v>
      </c>
      <c r="T250" s="13"/>
    </row>
    <row r="251" spans="1:20" ht="15.75">
      <c r="A251" s="1" t="s">
        <v>16</v>
      </c>
      <c r="B251" s="1" t="s">
        <v>392</v>
      </c>
      <c r="C251" s="1" t="s">
        <v>50</v>
      </c>
      <c r="D251" s="6">
        <f>'2011 pax'!Q251</f>
        <v>23081073</v>
      </c>
      <c r="E251" s="10">
        <v>1674367</v>
      </c>
      <c r="F251" s="10">
        <v>1529940</v>
      </c>
      <c r="G251" s="10">
        <v>1915032</v>
      </c>
      <c r="H251" s="10">
        <v>1946921</v>
      </c>
      <c r="I251" s="10">
        <v>2080139</v>
      </c>
      <c r="J251" s="10">
        <v>2108789</v>
      </c>
      <c r="K251" s="10">
        <v>2095237</v>
      </c>
      <c r="L251" s="10">
        <v>2071711</v>
      </c>
      <c r="M251" s="10">
        <v>1825255</v>
      </c>
      <c r="N251" s="10">
        <v>1798060</v>
      </c>
      <c r="O251" s="10">
        <v>1740345</v>
      </c>
      <c r="P251" s="10">
        <v>1775725</v>
      </c>
      <c r="Q251" s="6">
        <f t="shared" si="6"/>
        <v>22561521</v>
      </c>
      <c r="R251" s="15">
        <f t="shared" si="7"/>
        <v>-2.2509872049709334E-2</v>
      </c>
      <c r="T251" s="13"/>
    </row>
    <row r="252" spans="1:20" ht="15.75">
      <c r="A252" s="1" t="s">
        <v>16</v>
      </c>
      <c r="B252" s="1" t="s">
        <v>393</v>
      </c>
      <c r="C252" s="1" t="s">
        <v>56</v>
      </c>
      <c r="D252" s="6">
        <f>'2011 pax'!Q252</f>
        <v>18805337</v>
      </c>
      <c r="E252" s="10">
        <v>1292183</v>
      </c>
      <c r="F252" s="10">
        <v>1310815</v>
      </c>
      <c r="G252" s="10">
        <v>1137858</v>
      </c>
      <c r="H252" s="10">
        <v>1683581</v>
      </c>
      <c r="I252" s="10">
        <v>1724771</v>
      </c>
      <c r="J252" s="10">
        <v>1754568</v>
      </c>
      <c r="K252" s="10">
        <v>1795557</v>
      </c>
      <c r="L252" s="10">
        <v>1854810</v>
      </c>
      <c r="M252" s="10">
        <v>1606641</v>
      </c>
      <c r="N252" s="10">
        <v>1726571</v>
      </c>
      <c r="O252" s="10">
        <v>1700473</v>
      </c>
      <c r="P252" s="10">
        <v>1422325</v>
      </c>
      <c r="Q252" s="6">
        <f t="shared" si="6"/>
        <v>19010153</v>
      </c>
      <c r="R252" s="15">
        <f t="shared" si="7"/>
        <v>1.0891376208785886E-2</v>
      </c>
      <c r="S252" s="13"/>
    </row>
    <row r="253" spans="1:20">
      <c r="A253" s="1" t="s">
        <v>16</v>
      </c>
      <c r="B253" s="1" t="s">
        <v>526</v>
      </c>
      <c r="C253" s="1" t="s">
        <v>527</v>
      </c>
      <c r="D253" s="6">
        <f>'2011 pax'!Q253</f>
        <v>1536354</v>
      </c>
      <c r="E253" s="10">
        <v>104046</v>
      </c>
      <c r="F253" s="10">
        <v>98887</v>
      </c>
      <c r="G253" s="10">
        <v>124285</v>
      </c>
      <c r="H253" s="10">
        <v>113330</v>
      </c>
      <c r="I253" s="10">
        <v>137849</v>
      </c>
      <c r="J253" s="10">
        <v>148020</v>
      </c>
      <c r="K253" s="10">
        <v>149034</v>
      </c>
      <c r="L253" s="10">
        <v>137047</v>
      </c>
      <c r="M253" s="10">
        <v>122159</v>
      </c>
      <c r="N253" s="10">
        <v>134142</v>
      </c>
      <c r="O253" s="10">
        <v>124812</v>
      </c>
      <c r="P253" s="10">
        <v>115595</v>
      </c>
      <c r="Q253" s="6">
        <f t="shared" si="6"/>
        <v>1509206</v>
      </c>
      <c r="R253" s="15">
        <f t="shared" si="7"/>
        <v>-1.7670406690124763E-2</v>
      </c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253"/>
  <sheetViews>
    <sheetView zoomScaleNormal="100" workbookViewId="0">
      <pane xSplit="4" ySplit="1" topLeftCell="E254" activePane="bottomRight" state="frozen"/>
      <selection pane="topRight" activeCell="E1" sqref="E1"/>
      <selection pane="bottomLeft" activeCell="A5" sqref="A5"/>
      <selection pane="bottomRight" activeCell="D278" sqref="D278"/>
    </sheetView>
  </sheetViews>
  <sheetFormatPr defaultRowHeight="15"/>
  <cols>
    <col min="1" max="1" width="22.42578125" customWidth="1"/>
    <col min="2" max="2" width="41.7109375" customWidth="1"/>
    <col min="3" max="3" width="6.5703125" customWidth="1"/>
    <col min="4" max="17" width="11.5703125" customWidth="1"/>
    <col min="18" max="18" width="11.5703125" style="15" customWidth="1"/>
  </cols>
  <sheetData>
    <row r="1" spans="1:18">
      <c r="A1" s="4" t="s">
        <v>0</v>
      </c>
      <c r="B1" s="4" t="s">
        <v>1</v>
      </c>
      <c r="C1" s="4" t="s">
        <v>2</v>
      </c>
      <c r="D1" s="8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8" t="s">
        <v>338</v>
      </c>
      <c r="R1" s="16" t="s">
        <v>339</v>
      </c>
    </row>
    <row r="2" spans="1:18">
      <c r="A2" s="1" t="s">
        <v>137</v>
      </c>
      <c r="B2" s="1" t="s">
        <v>138</v>
      </c>
      <c r="C2" s="1" t="s">
        <v>139</v>
      </c>
      <c r="D2" s="6">
        <v>940389</v>
      </c>
      <c r="E2" s="10">
        <v>99297</v>
      </c>
      <c r="F2" s="10">
        <v>74594</v>
      </c>
      <c r="G2" s="10">
        <v>83159</v>
      </c>
      <c r="H2" s="10">
        <v>86571</v>
      </c>
      <c r="I2" s="10">
        <v>84241</v>
      </c>
      <c r="J2" s="10">
        <v>85982</v>
      </c>
      <c r="K2" s="10">
        <v>96402</v>
      </c>
      <c r="L2" s="10">
        <v>89605</v>
      </c>
      <c r="M2" s="10">
        <v>94480</v>
      </c>
      <c r="N2" s="10">
        <v>97187</v>
      </c>
      <c r="O2" s="10">
        <v>95804</v>
      </c>
      <c r="P2" s="10">
        <v>105821</v>
      </c>
      <c r="Q2" s="6">
        <f t="shared" ref="Q2:Q59" si="0">SUM(E2:P2)</f>
        <v>1093143</v>
      </c>
      <c r="R2" s="15">
        <f>Q2/D2-1</f>
        <v>0.16243703403591492</v>
      </c>
    </row>
    <row r="3" spans="1:18">
      <c r="A3" s="1" t="s">
        <v>137</v>
      </c>
      <c r="B3" s="1" t="s">
        <v>172</v>
      </c>
      <c r="C3" s="1" t="s">
        <v>173</v>
      </c>
      <c r="D3" s="6">
        <v>2605467</v>
      </c>
      <c r="E3" s="10">
        <v>257942</v>
      </c>
      <c r="F3" s="10">
        <v>199181</v>
      </c>
      <c r="G3" s="10">
        <v>229306</v>
      </c>
      <c r="H3" s="10">
        <v>240018</v>
      </c>
      <c r="I3" s="10">
        <v>227564</v>
      </c>
      <c r="J3" s="10">
        <v>234005</v>
      </c>
      <c r="K3" s="10">
        <v>302879</v>
      </c>
      <c r="L3" s="10">
        <v>266961</v>
      </c>
      <c r="M3" s="10">
        <v>246906</v>
      </c>
      <c r="N3" s="10">
        <v>260527</v>
      </c>
      <c r="O3" s="10">
        <v>250602</v>
      </c>
      <c r="P3" s="10">
        <v>278660</v>
      </c>
      <c r="Q3" s="6">
        <f t="shared" si="0"/>
        <v>2994551</v>
      </c>
      <c r="R3" s="15">
        <f t="shared" ref="R3:R67" si="1">Q3/D3-1</f>
        <v>0.14933368950748571</v>
      </c>
    </row>
    <row r="4" spans="1:18">
      <c r="A4" s="1" t="s">
        <v>137</v>
      </c>
      <c r="B4" s="1" t="s">
        <v>184</v>
      </c>
      <c r="C4" s="1" t="s">
        <v>185</v>
      </c>
      <c r="D4" s="6">
        <v>242409</v>
      </c>
      <c r="E4" s="10">
        <v>26765</v>
      </c>
      <c r="F4" s="10">
        <v>21459</v>
      </c>
      <c r="G4" s="10">
        <v>22601</v>
      </c>
      <c r="H4" s="10">
        <v>23567</v>
      </c>
      <c r="I4" s="10">
        <v>23478</v>
      </c>
      <c r="J4" s="10">
        <v>29393</v>
      </c>
      <c r="K4" s="10">
        <v>34551</v>
      </c>
      <c r="L4" s="10">
        <v>31710</v>
      </c>
      <c r="M4" s="10">
        <v>29661</v>
      </c>
      <c r="N4" s="10">
        <v>29843</v>
      </c>
      <c r="O4" s="10">
        <v>33382</v>
      </c>
      <c r="P4" s="10">
        <v>35475</v>
      </c>
      <c r="Q4" s="6">
        <f t="shared" si="0"/>
        <v>341885</v>
      </c>
      <c r="R4" s="15">
        <f t="shared" si="1"/>
        <v>0.41036430165546656</v>
      </c>
    </row>
    <row r="5" spans="1:18">
      <c r="A5" s="1" t="s">
        <v>137</v>
      </c>
      <c r="B5" s="1" t="s">
        <v>146</v>
      </c>
      <c r="C5" s="1" t="s">
        <v>147</v>
      </c>
      <c r="D5" s="6">
        <v>14347061</v>
      </c>
      <c r="E5" s="10">
        <v>1382490</v>
      </c>
      <c r="F5" s="10">
        <v>1108153</v>
      </c>
      <c r="G5" s="10">
        <v>1220412</v>
      </c>
      <c r="H5" s="10">
        <v>1314914</v>
      </c>
      <c r="I5" s="10">
        <v>1268537</v>
      </c>
      <c r="J5" s="10">
        <v>1221339</v>
      </c>
      <c r="K5" s="10">
        <v>1499327</v>
      </c>
      <c r="L5" s="10">
        <v>1329073</v>
      </c>
      <c r="M5" s="10">
        <v>1277502</v>
      </c>
      <c r="N5" s="10">
        <v>1179744</v>
      </c>
      <c r="O5" s="10">
        <v>1221509</v>
      </c>
      <c r="P5" s="10">
        <v>1375737</v>
      </c>
      <c r="Q5" s="6">
        <f t="shared" si="0"/>
        <v>15398737</v>
      </c>
      <c r="R5" s="15">
        <f t="shared" si="1"/>
        <v>7.3302539105395859E-2</v>
      </c>
    </row>
    <row r="6" spans="1:18">
      <c r="A6" s="1" t="s">
        <v>137</v>
      </c>
      <c r="B6" s="1" t="s">
        <v>162</v>
      </c>
      <c r="C6" s="1" t="s">
        <v>163</v>
      </c>
      <c r="D6" s="6">
        <v>114258</v>
      </c>
      <c r="E6" s="10">
        <v>11507</v>
      </c>
      <c r="F6" s="10">
        <v>10848</v>
      </c>
      <c r="G6" s="10">
        <v>8900</v>
      </c>
      <c r="H6" s="10">
        <v>8248</v>
      </c>
      <c r="I6" s="10">
        <v>8793</v>
      </c>
      <c r="J6" s="10">
        <v>9860</v>
      </c>
      <c r="K6" s="10">
        <v>8361</v>
      </c>
      <c r="L6" s="10">
        <v>8588</v>
      </c>
      <c r="M6" s="10">
        <v>7647</v>
      </c>
      <c r="N6" s="10">
        <v>6594</v>
      </c>
      <c r="O6" s="10">
        <v>6420</v>
      </c>
      <c r="P6" s="10">
        <v>8978</v>
      </c>
      <c r="Q6" s="6">
        <f t="shared" si="0"/>
        <v>104744</v>
      </c>
      <c r="R6" s="15">
        <f t="shared" si="1"/>
        <v>-8.3267692415410766E-2</v>
      </c>
    </row>
    <row r="7" spans="1:18">
      <c r="A7" s="1" t="s">
        <v>137</v>
      </c>
      <c r="B7" s="3" t="s">
        <v>214</v>
      </c>
      <c r="C7" s="3" t="s">
        <v>215</v>
      </c>
      <c r="D7" s="6">
        <v>5430066</v>
      </c>
      <c r="E7" s="10">
        <v>608506</v>
      </c>
      <c r="F7" s="10">
        <v>508164</v>
      </c>
      <c r="G7" s="10">
        <v>594074</v>
      </c>
      <c r="H7" s="10">
        <v>585111</v>
      </c>
      <c r="I7" s="10">
        <v>597267</v>
      </c>
      <c r="J7" s="10">
        <v>610187</v>
      </c>
      <c r="K7" s="10">
        <v>749959</v>
      </c>
      <c r="L7" s="10">
        <v>669834</v>
      </c>
      <c r="M7" s="10">
        <v>632171</v>
      </c>
      <c r="N7" s="10">
        <v>643100</v>
      </c>
      <c r="O7" s="10">
        <v>626452</v>
      </c>
      <c r="P7" s="10">
        <v>717414</v>
      </c>
      <c r="Q7" s="6">
        <f t="shared" si="0"/>
        <v>7542239</v>
      </c>
      <c r="R7" s="15">
        <f t="shared" si="1"/>
        <v>0.3889774083777251</v>
      </c>
    </row>
    <row r="8" spans="1:18">
      <c r="A8" s="1" t="s">
        <v>137</v>
      </c>
      <c r="B8" s="3" t="s">
        <v>216</v>
      </c>
      <c r="C8" s="3" t="s">
        <v>217</v>
      </c>
      <c r="D8" s="6">
        <v>361984</v>
      </c>
      <c r="E8" s="10">
        <v>27183</v>
      </c>
      <c r="F8" s="10">
        <v>31031</v>
      </c>
      <c r="G8" s="10">
        <v>29787</v>
      </c>
      <c r="H8" s="10">
        <v>33621</v>
      </c>
      <c r="I8" s="10">
        <v>33510</v>
      </c>
      <c r="J8" s="10">
        <v>35820</v>
      </c>
      <c r="K8" s="10">
        <v>31994</v>
      </c>
      <c r="L8" s="10">
        <v>32806</v>
      </c>
      <c r="M8" s="10">
        <v>33825</v>
      </c>
      <c r="N8" s="10">
        <v>33108</v>
      </c>
      <c r="O8" s="10">
        <v>33818</v>
      </c>
      <c r="P8" s="10">
        <v>31609</v>
      </c>
      <c r="Q8" s="6">
        <f t="shared" si="0"/>
        <v>388112</v>
      </c>
      <c r="R8" s="15">
        <f t="shared" si="1"/>
        <v>7.2179985855728379E-2</v>
      </c>
    </row>
    <row r="9" spans="1:18">
      <c r="A9" s="1" t="s">
        <v>137</v>
      </c>
      <c r="B9" s="1" t="s">
        <v>148</v>
      </c>
      <c r="C9" s="1" t="s">
        <v>149</v>
      </c>
      <c r="D9" s="6">
        <v>1208765</v>
      </c>
      <c r="E9" s="10">
        <v>125558</v>
      </c>
      <c r="F9" s="10">
        <v>106448</v>
      </c>
      <c r="G9" s="10">
        <v>123920</v>
      </c>
      <c r="H9" s="10">
        <v>135817</v>
      </c>
      <c r="I9" s="10">
        <v>124543</v>
      </c>
      <c r="J9" s="10">
        <v>119519</v>
      </c>
      <c r="K9" s="10">
        <v>137460</v>
      </c>
      <c r="L9" s="10">
        <v>129662</v>
      </c>
      <c r="M9" s="10">
        <v>124073</v>
      </c>
      <c r="N9" s="10">
        <v>133892</v>
      </c>
      <c r="O9" s="10">
        <v>120776</v>
      </c>
      <c r="P9" s="10">
        <v>132535</v>
      </c>
      <c r="Q9" s="6">
        <f t="shared" si="0"/>
        <v>1514203</v>
      </c>
      <c r="R9" s="15">
        <f t="shared" si="1"/>
        <v>0.25268600596476576</v>
      </c>
    </row>
    <row r="10" spans="1:18">
      <c r="A10" s="1" t="s">
        <v>137</v>
      </c>
      <c r="B10" s="7" t="s">
        <v>204</v>
      </c>
      <c r="C10" s="7" t="s">
        <v>205</v>
      </c>
      <c r="D10" s="6">
        <v>7261064</v>
      </c>
      <c r="E10" s="10">
        <v>744248</v>
      </c>
      <c r="F10" s="10">
        <v>640039</v>
      </c>
      <c r="G10" s="10">
        <v>633850</v>
      </c>
      <c r="H10" s="10">
        <v>749858</v>
      </c>
      <c r="I10" s="10">
        <v>742141</v>
      </c>
      <c r="J10" s="10">
        <v>717485</v>
      </c>
      <c r="K10" s="10">
        <v>893199</v>
      </c>
      <c r="L10" s="10">
        <v>841347</v>
      </c>
      <c r="M10" s="10">
        <v>865883</v>
      </c>
      <c r="N10" s="10">
        <v>898174</v>
      </c>
      <c r="O10" s="10">
        <v>821464</v>
      </c>
      <c r="P10" s="10">
        <v>811345</v>
      </c>
      <c r="Q10" s="6">
        <f t="shared" si="0"/>
        <v>9359033</v>
      </c>
      <c r="R10" s="15">
        <f t="shared" si="1"/>
        <v>0.28893410111796292</v>
      </c>
    </row>
    <row r="11" spans="1:18">
      <c r="A11" s="1" t="s">
        <v>137</v>
      </c>
      <c r="B11" s="3" t="s">
        <v>220</v>
      </c>
      <c r="C11" s="3" t="s">
        <v>221</v>
      </c>
      <c r="D11" s="6">
        <v>15499462</v>
      </c>
      <c r="E11" s="10">
        <v>1282817</v>
      </c>
      <c r="F11" s="10">
        <v>1171701</v>
      </c>
      <c r="G11" s="10">
        <v>1393733</v>
      </c>
      <c r="H11" s="10">
        <v>1519559</v>
      </c>
      <c r="I11" s="10">
        <v>1449841</v>
      </c>
      <c r="J11" s="10">
        <v>1315750</v>
      </c>
      <c r="K11" s="10">
        <v>1564690</v>
      </c>
      <c r="L11" s="10">
        <v>1459088</v>
      </c>
      <c r="M11" s="10">
        <v>1426192</v>
      </c>
      <c r="N11" s="10">
        <v>1409555</v>
      </c>
      <c r="O11" s="10">
        <v>1393245</v>
      </c>
      <c r="P11" s="10">
        <v>1367396</v>
      </c>
      <c r="Q11" s="6">
        <f t="shared" si="0"/>
        <v>16753567</v>
      </c>
      <c r="R11" s="15">
        <f t="shared" si="1"/>
        <v>8.0912808457480612E-2</v>
      </c>
    </row>
    <row r="12" spans="1:18">
      <c r="A12" s="1" t="s">
        <v>137</v>
      </c>
      <c r="B12" s="1" t="s">
        <v>186</v>
      </c>
      <c r="C12" s="1" t="s">
        <v>187</v>
      </c>
      <c r="D12" s="6">
        <v>124973</v>
      </c>
      <c r="E12" s="10">
        <v>12306</v>
      </c>
      <c r="F12" s="10">
        <v>10197</v>
      </c>
      <c r="G12" s="10">
        <v>11297</v>
      </c>
      <c r="H12" s="10">
        <v>11694</v>
      </c>
      <c r="I12" s="10">
        <v>11560</v>
      </c>
      <c r="J12" s="10">
        <v>9824</v>
      </c>
      <c r="K12" s="10">
        <v>10456</v>
      </c>
      <c r="L12" s="10">
        <v>12356</v>
      </c>
      <c r="M12" s="10">
        <v>10166</v>
      </c>
      <c r="N12" s="10">
        <v>8194</v>
      </c>
      <c r="O12" s="10">
        <v>7207</v>
      </c>
      <c r="P12" s="10">
        <v>8222</v>
      </c>
      <c r="Q12" s="6">
        <f t="shared" si="0"/>
        <v>123479</v>
      </c>
      <c r="R12" s="15">
        <f t="shared" si="1"/>
        <v>-1.1954582189752982E-2</v>
      </c>
    </row>
    <row r="13" spans="1:18">
      <c r="A13" s="1" t="s">
        <v>137</v>
      </c>
      <c r="B13" s="1" t="s">
        <v>150</v>
      </c>
      <c r="C13" s="1" t="s">
        <v>151</v>
      </c>
      <c r="D13" s="6">
        <v>2134267</v>
      </c>
      <c r="E13" s="10">
        <v>213775</v>
      </c>
      <c r="F13" s="10">
        <v>168331</v>
      </c>
      <c r="G13" s="10">
        <v>188651</v>
      </c>
      <c r="H13" s="10">
        <v>215237</v>
      </c>
      <c r="I13" s="10">
        <v>210738</v>
      </c>
      <c r="J13" s="10">
        <v>203488</v>
      </c>
      <c r="K13" s="10">
        <v>248297</v>
      </c>
      <c r="L13" s="10">
        <v>226027</v>
      </c>
      <c r="M13" s="10">
        <v>222301</v>
      </c>
      <c r="N13" s="10">
        <v>213216</v>
      </c>
      <c r="O13" s="10">
        <v>210599</v>
      </c>
      <c r="P13" s="10">
        <v>230460</v>
      </c>
      <c r="Q13" s="6">
        <f t="shared" si="0"/>
        <v>2551120</v>
      </c>
      <c r="R13" s="15">
        <f t="shared" si="1"/>
        <v>0.19531436319823148</v>
      </c>
    </row>
    <row r="14" spans="1:18">
      <c r="A14" s="1" t="s">
        <v>137</v>
      </c>
      <c r="B14" s="3" t="s">
        <v>222</v>
      </c>
      <c r="C14" s="3" t="s">
        <v>223</v>
      </c>
      <c r="D14" s="6">
        <v>5774615</v>
      </c>
      <c r="E14" s="10">
        <v>507886</v>
      </c>
      <c r="F14" s="10">
        <v>485479</v>
      </c>
      <c r="G14" s="10">
        <v>559851</v>
      </c>
      <c r="H14" s="10">
        <v>589110</v>
      </c>
      <c r="I14" s="10">
        <v>601799</v>
      </c>
      <c r="J14" s="10">
        <v>558562</v>
      </c>
      <c r="K14" s="10">
        <v>661542</v>
      </c>
      <c r="L14" s="10">
        <v>594365</v>
      </c>
      <c r="M14" s="10">
        <v>660798</v>
      </c>
      <c r="N14" s="10">
        <v>596154</v>
      </c>
      <c r="O14" s="10">
        <v>580322</v>
      </c>
      <c r="P14" s="10">
        <v>568713</v>
      </c>
      <c r="Q14" s="6">
        <f t="shared" si="0"/>
        <v>6964581</v>
      </c>
      <c r="R14" s="15">
        <f t="shared" si="1"/>
        <v>0.20606845651181938</v>
      </c>
    </row>
    <row r="15" spans="1:18">
      <c r="A15" s="1" t="s">
        <v>137</v>
      </c>
      <c r="B15" s="3" t="s">
        <v>226</v>
      </c>
      <c r="C15" s="3" t="s">
        <v>227</v>
      </c>
      <c r="D15" s="6">
        <v>2672250</v>
      </c>
      <c r="E15" s="10">
        <v>308668</v>
      </c>
      <c r="F15" s="10">
        <v>258339</v>
      </c>
      <c r="G15" s="10">
        <v>271724</v>
      </c>
      <c r="H15" s="10">
        <v>267295</v>
      </c>
      <c r="I15" s="10">
        <v>253053</v>
      </c>
      <c r="J15" s="10">
        <v>203634</v>
      </c>
      <c r="K15" s="10">
        <v>231673</v>
      </c>
      <c r="L15" s="10">
        <v>238994</v>
      </c>
      <c r="M15" s="10">
        <v>257758</v>
      </c>
      <c r="N15" s="10">
        <v>269774</v>
      </c>
      <c r="O15" s="10">
        <v>269550</v>
      </c>
      <c r="P15" s="10">
        <v>291474</v>
      </c>
      <c r="Q15" s="6">
        <f t="shared" si="0"/>
        <v>3121936</v>
      </c>
      <c r="R15" s="15">
        <f t="shared" si="1"/>
        <v>0.16827991393020869</v>
      </c>
    </row>
    <row r="16" spans="1:18">
      <c r="A16" s="1" t="s">
        <v>137</v>
      </c>
      <c r="B16" s="1" t="s">
        <v>156</v>
      </c>
      <c r="C16" s="1" t="s">
        <v>157</v>
      </c>
      <c r="D16" s="6">
        <v>5072721</v>
      </c>
      <c r="E16" s="10">
        <v>568428</v>
      </c>
      <c r="F16" s="10">
        <v>395550</v>
      </c>
      <c r="G16" s="10">
        <v>453770</v>
      </c>
      <c r="H16" s="10">
        <v>462973</v>
      </c>
      <c r="I16" s="10">
        <v>433290</v>
      </c>
      <c r="J16" s="10">
        <v>434349</v>
      </c>
      <c r="K16" s="10">
        <v>565922</v>
      </c>
      <c r="L16" s="10">
        <v>486725</v>
      </c>
      <c r="M16" s="10">
        <v>450856</v>
      </c>
      <c r="N16" s="10">
        <v>458340</v>
      </c>
      <c r="O16" s="10">
        <v>426325</v>
      </c>
      <c r="P16" s="10">
        <v>510468</v>
      </c>
      <c r="Q16" s="6">
        <f t="shared" si="0"/>
        <v>5646996</v>
      </c>
      <c r="R16" s="15">
        <f t="shared" si="1"/>
        <v>0.11320847332230577</v>
      </c>
    </row>
    <row r="17" spans="1:18">
      <c r="A17" s="1" t="s">
        <v>137</v>
      </c>
      <c r="B17" s="3" t="s">
        <v>224</v>
      </c>
      <c r="C17" s="3" t="s">
        <v>225</v>
      </c>
      <c r="D17" s="6">
        <v>1155615</v>
      </c>
      <c r="E17" s="10">
        <v>135622</v>
      </c>
      <c r="F17" s="10">
        <v>130475</v>
      </c>
      <c r="G17" s="10">
        <v>147536</v>
      </c>
      <c r="H17" s="10">
        <v>145268</v>
      </c>
      <c r="I17" s="10">
        <v>138368</v>
      </c>
      <c r="J17" s="10">
        <v>127902</v>
      </c>
      <c r="K17" s="10">
        <v>138270</v>
      </c>
      <c r="L17" s="10">
        <v>140703</v>
      </c>
      <c r="M17" s="10">
        <v>140935</v>
      </c>
      <c r="N17" s="10">
        <v>155656</v>
      </c>
      <c r="O17" s="10">
        <v>149849</v>
      </c>
      <c r="P17" s="10">
        <v>140808</v>
      </c>
      <c r="Q17" s="6">
        <f t="shared" si="0"/>
        <v>1691392</v>
      </c>
      <c r="R17" s="15">
        <f t="shared" si="1"/>
        <v>0.46362932291463843</v>
      </c>
    </row>
    <row r="18" spans="1:18">
      <c r="A18" s="1" t="s">
        <v>137</v>
      </c>
      <c r="B18" s="7" t="s">
        <v>194</v>
      </c>
      <c r="C18" s="7" t="s">
        <v>195</v>
      </c>
      <c r="D18" s="6">
        <v>12337944</v>
      </c>
      <c r="E18" s="10">
        <v>1324392</v>
      </c>
      <c r="F18" s="10">
        <v>1047300</v>
      </c>
      <c r="G18" s="10">
        <v>1229606</v>
      </c>
      <c r="H18" s="10">
        <v>1168978</v>
      </c>
      <c r="I18" s="10">
        <v>1142794</v>
      </c>
      <c r="J18" s="10">
        <v>1080119</v>
      </c>
      <c r="K18" s="10">
        <v>1304293</v>
      </c>
      <c r="L18" s="10">
        <v>1245396</v>
      </c>
      <c r="M18" s="10">
        <v>1283823</v>
      </c>
      <c r="N18" s="10">
        <v>1357786</v>
      </c>
      <c r="O18" s="10">
        <v>1304456</v>
      </c>
      <c r="P18" s="10">
        <v>1437672</v>
      </c>
      <c r="Q18" s="6">
        <f t="shared" si="0"/>
        <v>14926615</v>
      </c>
      <c r="R18" s="15">
        <f t="shared" si="1"/>
        <v>0.20981380690332196</v>
      </c>
    </row>
    <row r="19" spans="1:18">
      <c r="A19" s="1" t="s">
        <v>137</v>
      </c>
      <c r="B19" s="7" t="s">
        <v>152</v>
      </c>
      <c r="C19" s="7" t="s">
        <v>153</v>
      </c>
      <c r="D19" s="6">
        <v>2348648</v>
      </c>
      <c r="E19" s="10">
        <v>219081</v>
      </c>
      <c r="F19" s="10">
        <v>186696</v>
      </c>
      <c r="G19" s="10">
        <v>221277</v>
      </c>
      <c r="H19" s="10">
        <v>236017</v>
      </c>
      <c r="I19" s="10">
        <v>234340</v>
      </c>
      <c r="J19" s="10">
        <v>227106</v>
      </c>
      <c r="K19" s="10">
        <v>257179</v>
      </c>
      <c r="L19" s="10">
        <v>234880</v>
      </c>
      <c r="M19" s="10">
        <v>242118</v>
      </c>
      <c r="N19" s="10">
        <v>244933</v>
      </c>
      <c r="O19" s="10">
        <v>236423</v>
      </c>
      <c r="P19" s="10">
        <v>243667</v>
      </c>
      <c r="Q19" s="6">
        <f t="shared" si="0"/>
        <v>2783717</v>
      </c>
      <c r="R19" s="15">
        <f t="shared" si="1"/>
        <v>0.18524231813366665</v>
      </c>
    </row>
    <row r="20" spans="1:18">
      <c r="A20" s="1" t="s">
        <v>137</v>
      </c>
      <c r="B20" s="3" t="s">
        <v>212</v>
      </c>
      <c r="C20" s="3" t="s">
        <v>213</v>
      </c>
      <c r="D20" s="6">
        <v>26849185</v>
      </c>
      <c r="E20" s="10">
        <v>2761278</v>
      </c>
      <c r="F20" s="10">
        <v>2144392</v>
      </c>
      <c r="G20" s="10">
        <v>2435663</v>
      </c>
      <c r="H20" s="10">
        <v>2441962</v>
      </c>
      <c r="I20" s="10">
        <v>2344726</v>
      </c>
      <c r="J20" s="10">
        <v>2243873</v>
      </c>
      <c r="K20" s="10">
        <v>2746119</v>
      </c>
      <c r="L20" s="10">
        <v>2548011</v>
      </c>
      <c r="M20" s="10">
        <v>2507550</v>
      </c>
      <c r="N20" s="10">
        <v>2585412</v>
      </c>
      <c r="O20" s="10">
        <v>2475669</v>
      </c>
      <c r="P20" s="10">
        <v>2729453</v>
      </c>
      <c r="Q20" s="6">
        <f t="shared" si="0"/>
        <v>29964108</v>
      </c>
      <c r="R20" s="15">
        <f t="shared" si="1"/>
        <v>0.1160155513100305</v>
      </c>
    </row>
    <row r="21" spans="1:18">
      <c r="A21" s="1" t="s">
        <v>137</v>
      </c>
      <c r="B21" s="1" t="s">
        <v>140</v>
      </c>
      <c r="C21" s="1" t="s">
        <v>141</v>
      </c>
      <c r="D21" s="6">
        <v>412572</v>
      </c>
      <c r="E21" s="10">
        <v>54318</v>
      </c>
      <c r="F21" s="10">
        <v>38317</v>
      </c>
      <c r="G21" s="10">
        <v>41003</v>
      </c>
      <c r="H21" s="10">
        <v>42152</v>
      </c>
      <c r="I21" s="10">
        <v>34800</v>
      </c>
      <c r="J21" s="10">
        <v>33123</v>
      </c>
      <c r="K21" s="10">
        <v>47302</v>
      </c>
      <c r="L21" s="10">
        <v>39785</v>
      </c>
      <c r="M21" s="10">
        <v>45499</v>
      </c>
      <c r="N21" s="10">
        <v>42595</v>
      </c>
      <c r="O21" s="10">
        <v>42923</v>
      </c>
      <c r="P21" s="10">
        <v>51278</v>
      </c>
      <c r="Q21" s="6">
        <f t="shared" si="0"/>
        <v>513095</v>
      </c>
      <c r="R21" s="15">
        <f t="shared" si="1"/>
        <v>0.24364959328311175</v>
      </c>
    </row>
    <row r="22" spans="1:18">
      <c r="A22" s="1" t="s">
        <v>137</v>
      </c>
      <c r="B22" s="1" t="s">
        <v>174</v>
      </c>
      <c r="C22" s="1" t="s">
        <v>175</v>
      </c>
      <c r="D22" s="6">
        <v>234295</v>
      </c>
      <c r="E22" s="10">
        <v>19037</v>
      </c>
      <c r="F22" s="10">
        <v>18282</v>
      </c>
      <c r="G22" s="10">
        <v>21049</v>
      </c>
      <c r="H22" s="10">
        <v>10309</v>
      </c>
      <c r="I22" s="10">
        <v>23795</v>
      </c>
      <c r="J22" s="10">
        <v>4704</v>
      </c>
      <c r="K22" s="10">
        <v>25989</v>
      </c>
      <c r="L22" s="10">
        <v>24824</v>
      </c>
      <c r="M22" s="10">
        <v>23051</v>
      </c>
      <c r="N22" s="10">
        <v>23680</v>
      </c>
      <c r="O22" s="10">
        <v>22510</v>
      </c>
      <c r="P22" s="10">
        <v>22926</v>
      </c>
      <c r="Q22" s="6">
        <f t="shared" si="0"/>
        <v>240156</v>
      </c>
      <c r="R22" s="15">
        <f t="shared" si="1"/>
        <v>2.5015471947758217E-2</v>
      </c>
    </row>
    <row r="23" spans="1:18">
      <c r="A23" s="1" t="s">
        <v>137</v>
      </c>
      <c r="B23" s="7" t="s">
        <v>196</v>
      </c>
      <c r="C23" s="7" t="s">
        <v>197</v>
      </c>
      <c r="D23" s="6">
        <v>135277</v>
      </c>
      <c r="E23" s="10">
        <v>11382</v>
      </c>
      <c r="F23" s="10">
        <v>11393</v>
      </c>
      <c r="G23" s="10">
        <v>12364</v>
      </c>
      <c r="H23" s="10">
        <v>12564</v>
      </c>
      <c r="I23" s="10">
        <v>11547</v>
      </c>
      <c r="J23" s="10">
        <v>11164</v>
      </c>
      <c r="K23" s="10">
        <v>13834</v>
      </c>
      <c r="L23" s="10">
        <v>14996</v>
      </c>
      <c r="M23" s="10">
        <v>14508</v>
      </c>
      <c r="N23" s="10">
        <v>15531</v>
      </c>
      <c r="O23" s="10">
        <v>15310</v>
      </c>
      <c r="P23" s="10">
        <v>15328</v>
      </c>
      <c r="Q23" s="6">
        <f t="shared" si="0"/>
        <v>159921</v>
      </c>
      <c r="R23" s="15">
        <f t="shared" si="1"/>
        <v>0.18217435336383869</v>
      </c>
    </row>
    <row r="24" spans="1:18">
      <c r="A24" s="1" t="s">
        <v>137</v>
      </c>
      <c r="B24" s="1" t="s">
        <v>158</v>
      </c>
      <c r="C24" s="1" t="s">
        <v>159</v>
      </c>
      <c r="D24" s="6">
        <v>926043</v>
      </c>
      <c r="E24" s="10">
        <v>111661</v>
      </c>
      <c r="F24" s="10">
        <v>87751</v>
      </c>
      <c r="G24" s="10">
        <v>92633</v>
      </c>
      <c r="H24" s="10">
        <v>91778</v>
      </c>
      <c r="I24" s="10">
        <v>78049</v>
      </c>
      <c r="J24" s="10">
        <v>89946</v>
      </c>
      <c r="K24" s="10">
        <v>112625</v>
      </c>
      <c r="L24" s="10">
        <v>96345</v>
      </c>
      <c r="M24" s="10">
        <v>93933</v>
      </c>
      <c r="N24" s="10">
        <v>92075</v>
      </c>
      <c r="O24" s="10">
        <v>91416</v>
      </c>
      <c r="P24" s="10">
        <v>106044</v>
      </c>
      <c r="Q24" s="6">
        <f t="shared" si="0"/>
        <v>1144256</v>
      </c>
      <c r="R24" s="15">
        <f t="shared" si="1"/>
        <v>0.23564024564734032</v>
      </c>
    </row>
    <row r="25" spans="1:18">
      <c r="A25" s="1" t="s">
        <v>137</v>
      </c>
      <c r="B25" s="3" t="s">
        <v>228</v>
      </c>
      <c r="C25" s="3" t="s">
        <v>229</v>
      </c>
      <c r="D25" s="6">
        <v>289161</v>
      </c>
      <c r="E25" s="10">
        <v>27167</v>
      </c>
      <c r="F25" s="10">
        <v>30914</v>
      </c>
      <c r="G25" s="10">
        <v>41599</v>
      </c>
      <c r="H25" s="10">
        <v>45133</v>
      </c>
      <c r="I25" s="10">
        <v>44312</v>
      </c>
      <c r="J25" s="10">
        <v>39059</v>
      </c>
      <c r="K25" s="10">
        <v>51265</v>
      </c>
      <c r="L25" s="10">
        <v>40307</v>
      </c>
      <c r="M25" s="10">
        <v>43627</v>
      </c>
      <c r="N25" s="10">
        <v>40905</v>
      </c>
      <c r="O25" s="10">
        <v>40253</v>
      </c>
      <c r="P25" s="10">
        <v>40201</v>
      </c>
      <c r="Q25" s="6">
        <f t="shared" si="0"/>
        <v>484742</v>
      </c>
      <c r="R25" s="15">
        <f t="shared" si="1"/>
        <v>0.67637406150898638</v>
      </c>
    </row>
    <row r="26" spans="1:18">
      <c r="A26" s="1" t="s">
        <v>137</v>
      </c>
      <c r="B26" s="1" t="s">
        <v>160</v>
      </c>
      <c r="C26" s="1" t="s">
        <v>161</v>
      </c>
      <c r="D26" s="6">
        <v>244780</v>
      </c>
      <c r="E26" s="10">
        <v>23681</v>
      </c>
      <c r="F26" s="10">
        <v>31526</v>
      </c>
      <c r="G26" s="10">
        <v>9879</v>
      </c>
      <c r="H26" s="10">
        <v>23959</v>
      </c>
      <c r="I26" s="10">
        <v>24411</v>
      </c>
      <c r="J26" s="10">
        <v>25668</v>
      </c>
      <c r="K26" s="10">
        <v>37679</v>
      </c>
      <c r="L26" s="10">
        <v>32213</v>
      </c>
      <c r="M26" s="10">
        <v>32032</v>
      </c>
      <c r="N26" s="10">
        <v>32292</v>
      </c>
      <c r="O26" s="10">
        <v>30828</v>
      </c>
      <c r="P26" s="10">
        <v>38790</v>
      </c>
      <c r="Q26" s="6">
        <f t="shared" si="0"/>
        <v>342958</v>
      </c>
      <c r="R26" s="15">
        <f t="shared" si="1"/>
        <v>0.40108669008905951</v>
      </c>
    </row>
    <row r="27" spans="1:18">
      <c r="A27" s="1" t="s">
        <v>137</v>
      </c>
      <c r="B27" s="3" t="s">
        <v>230</v>
      </c>
      <c r="C27" s="3" t="s">
        <v>231</v>
      </c>
      <c r="D27" s="6">
        <v>732433</v>
      </c>
      <c r="E27" s="10">
        <v>62710</v>
      </c>
      <c r="F27" s="10">
        <v>58154</v>
      </c>
      <c r="G27" s="10">
        <v>72560</v>
      </c>
      <c r="H27" s="10">
        <v>79920</v>
      </c>
      <c r="I27" s="10">
        <v>81163</v>
      </c>
      <c r="J27" s="10">
        <v>78003</v>
      </c>
      <c r="K27" s="10">
        <v>98685</v>
      </c>
      <c r="L27" s="10">
        <v>90608</v>
      </c>
      <c r="M27" s="10">
        <v>87822</v>
      </c>
      <c r="N27" s="10">
        <v>80871</v>
      </c>
      <c r="O27" s="10">
        <v>83179</v>
      </c>
      <c r="P27" s="10">
        <v>88227</v>
      </c>
      <c r="Q27" s="6">
        <f t="shared" si="0"/>
        <v>961902</v>
      </c>
      <c r="R27" s="15">
        <f t="shared" si="1"/>
        <v>0.31329691589537889</v>
      </c>
    </row>
    <row r="28" spans="1:18">
      <c r="A28" s="1" t="s">
        <v>137</v>
      </c>
      <c r="B28" s="1" t="s">
        <v>198</v>
      </c>
      <c r="C28" s="1" t="s">
        <v>199</v>
      </c>
      <c r="D28" s="6">
        <v>410145</v>
      </c>
      <c r="E28" s="10">
        <v>35828</v>
      </c>
      <c r="F28" s="10">
        <v>32959</v>
      </c>
      <c r="G28" s="10">
        <v>35442</v>
      </c>
      <c r="H28" s="10">
        <v>36436</v>
      </c>
      <c r="I28" s="10">
        <v>39570</v>
      </c>
      <c r="J28" s="10">
        <v>39541</v>
      </c>
      <c r="K28" s="10">
        <v>41852</v>
      </c>
      <c r="L28" s="10">
        <v>40042</v>
      </c>
      <c r="M28" s="10">
        <v>39658</v>
      </c>
      <c r="N28" s="10">
        <v>37368</v>
      </c>
      <c r="O28" s="10">
        <v>38404</v>
      </c>
      <c r="P28" s="10">
        <v>37859</v>
      </c>
      <c r="Q28" s="6">
        <f t="shared" si="0"/>
        <v>454959</v>
      </c>
      <c r="R28" s="15">
        <f t="shared" si="1"/>
        <v>0.1092637969498591</v>
      </c>
    </row>
    <row r="29" spans="1:18">
      <c r="A29" s="1" t="s">
        <v>137</v>
      </c>
      <c r="B29" s="1" t="s">
        <v>178</v>
      </c>
      <c r="C29" s="1" t="s">
        <v>179</v>
      </c>
      <c r="D29" s="6">
        <v>542053</v>
      </c>
      <c r="E29" s="10">
        <v>55537</v>
      </c>
      <c r="F29" s="10">
        <v>42563</v>
      </c>
      <c r="G29" s="10">
        <v>45752</v>
      </c>
      <c r="H29" s="10">
        <v>47440</v>
      </c>
      <c r="I29" s="10">
        <v>42593</v>
      </c>
      <c r="J29" s="10">
        <v>43800</v>
      </c>
      <c r="K29" s="10">
        <v>53496</v>
      </c>
      <c r="L29" s="10">
        <v>49451</v>
      </c>
      <c r="M29" s="10">
        <v>43529</v>
      </c>
      <c r="N29" s="10">
        <v>43928</v>
      </c>
      <c r="O29" s="10">
        <v>42430</v>
      </c>
      <c r="P29" s="10">
        <v>49950</v>
      </c>
      <c r="Q29" s="6">
        <f t="shared" si="0"/>
        <v>560469</v>
      </c>
      <c r="R29" s="15">
        <f t="shared" si="1"/>
        <v>3.3974537545221617E-2</v>
      </c>
    </row>
    <row r="30" spans="1:18">
      <c r="A30" s="1" t="s">
        <v>137</v>
      </c>
      <c r="B30" s="1" t="s">
        <v>142</v>
      </c>
      <c r="C30" s="1" t="s">
        <v>143</v>
      </c>
      <c r="D30" s="6">
        <v>1434781</v>
      </c>
      <c r="E30" s="10">
        <v>173878</v>
      </c>
      <c r="F30" s="10">
        <v>130685</v>
      </c>
      <c r="G30" s="10">
        <v>135286</v>
      </c>
      <c r="H30" s="10">
        <v>122204</v>
      </c>
      <c r="I30" s="10">
        <v>116707</v>
      </c>
      <c r="J30" s="10">
        <v>104455</v>
      </c>
      <c r="K30" s="10">
        <v>135718</v>
      </c>
      <c r="L30" s="10">
        <v>114303</v>
      </c>
      <c r="M30" s="10">
        <v>120569</v>
      </c>
      <c r="N30" s="10">
        <v>128157</v>
      </c>
      <c r="O30" s="10">
        <v>123008</v>
      </c>
      <c r="P30" s="10">
        <v>138179</v>
      </c>
      <c r="Q30" s="6">
        <f t="shared" si="0"/>
        <v>1543149</v>
      </c>
      <c r="R30" s="15">
        <f t="shared" si="1"/>
        <v>7.5529296805575186E-2</v>
      </c>
    </row>
    <row r="31" spans="1:18">
      <c r="A31" s="1" t="s">
        <v>137</v>
      </c>
      <c r="B31" s="1" t="s">
        <v>188</v>
      </c>
      <c r="C31" s="1" t="s">
        <v>189</v>
      </c>
      <c r="D31" s="6">
        <v>2688623</v>
      </c>
      <c r="E31" s="10">
        <v>281050</v>
      </c>
      <c r="F31" s="10">
        <v>213324</v>
      </c>
      <c r="G31" s="10">
        <v>233741</v>
      </c>
      <c r="H31" s="10">
        <v>240193</v>
      </c>
      <c r="I31" s="10">
        <v>224250</v>
      </c>
      <c r="J31" s="10">
        <v>253737</v>
      </c>
      <c r="K31" s="10">
        <v>278423</v>
      </c>
      <c r="L31" s="10">
        <v>265590</v>
      </c>
      <c r="M31" s="10">
        <v>263705</v>
      </c>
      <c r="N31" s="10">
        <v>242954</v>
      </c>
      <c r="O31" s="10">
        <v>248761</v>
      </c>
      <c r="P31" s="10">
        <v>271193</v>
      </c>
      <c r="Q31" s="6">
        <f t="shared" si="0"/>
        <v>3016921</v>
      </c>
      <c r="R31" s="15">
        <f t="shared" si="1"/>
        <v>0.12210637192347162</v>
      </c>
    </row>
    <row r="32" spans="1:18">
      <c r="A32" s="1" t="s">
        <v>137</v>
      </c>
      <c r="B32" s="1" t="s">
        <v>176</v>
      </c>
      <c r="C32" s="1" t="s">
        <v>177</v>
      </c>
      <c r="D32" s="6">
        <v>242415</v>
      </c>
      <c r="E32" s="10">
        <v>11574</v>
      </c>
      <c r="F32" s="10">
        <v>24071</v>
      </c>
      <c r="G32" s="10">
        <v>27741</v>
      </c>
      <c r="H32" s="10">
        <v>28985</v>
      </c>
      <c r="I32" s="10">
        <v>29124</v>
      </c>
      <c r="J32" s="10">
        <v>27385</v>
      </c>
      <c r="K32" s="10">
        <v>30407</v>
      </c>
      <c r="L32" s="10">
        <v>32409</v>
      </c>
      <c r="M32" s="10">
        <v>25980</v>
      </c>
      <c r="N32" s="10">
        <v>26971</v>
      </c>
      <c r="O32" s="10">
        <v>27073</v>
      </c>
      <c r="P32" s="10">
        <v>30668</v>
      </c>
      <c r="Q32" s="6">
        <f t="shared" si="0"/>
        <v>322388</v>
      </c>
      <c r="R32" s="15">
        <f t="shared" si="1"/>
        <v>0.32990120248334476</v>
      </c>
    </row>
    <row r="33" spans="1:18">
      <c r="A33" s="1" t="s">
        <v>137</v>
      </c>
      <c r="B33" s="3" t="s">
        <v>206</v>
      </c>
      <c r="C33" s="3" t="s">
        <v>207</v>
      </c>
      <c r="D33" s="6">
        <v>121140</v>
      </c>
      <c r="E33" s="10">
        <v>15138</v>
      </c>
      <c r="F33" s="10">
        <v>14241</v>
      </c>
      <c r="G33" s="10">
        <v>15908</v>
      </c>
      <c r="H33" s="10">
        <v>17835</v>
      </c>
      <c r="I33" s="10">
        <v>18960</v>
      </c>
      <c r="J33" s="10">
        <v>17346</v>
      </c>
      <c r="K33" s="10">
        <v>20223</v>
      </c>
      <c r="L33" s="10">
        <v>20872</v>
      </c>
      <c r="M33" s="10">
        <v>22240</v>
      </c>
      <c r="N33" s="10">
        <v>20721</v>
      </c>
      <c r="O33" s="10">
        <v>19699</v>
      </c>
      <c r="P33" s="10">
        <v>21447</v>
      </c>
      <c r="Q33" s="6">
        <f t="shared" si="0"/>
        <v>224630</v>
      </c>
      <c r="R33" s="15">
        <f t="shared" si="1"/>
        <v>0.85430080898134397</v>
      </c>
    </row>
    <row r="34" spans="1:18">
      <c r="A34" s="1" t="s">
        <v>137</v>
      </c>
      <c r="B34" s="1" t="s">
        <v>164</v>
      </c>
      <c r="C34" s="1" t="s">
        <v>165</v>
      </c>
      <c r="D34" s="6">
        <v>2415833</v>
      </c>
      <c r="E34" s="10">
        <v>303471</v>
      </c>
      <c r="F34" s="10">
        <v>199465</v>
      </c>
      <c r="G34" s="10">
        <v>230987</v>
      </c>
      <c r="H34" s="10">
        <v>216811</v>
      </c>
      <c r="I34" s="10">
        <v>185983</v>
      </c>
      <c r="J34" s="10">
        <v>183859</v>
      </c>
      <c r="K34" s="10">
        <v>237164</v>
      </c>
      <c r="L34" s="10">
        <v>202480</v>
      </c>
      <c r="M34" s="10">
        <v>187157</v>
      </c>
      <c r="N34" s="10">
        <v>206236</v>
      </c>
      <c r="O34" s="10">
        <v>201126</v>
      </c>
      <c r="P34" s="10">
        <v>226251</v>
      </c>
      <c r="Q34" s="6">
        <f t="shared" si="0"/>
        <v>2580990</v>
      </c>
      <c r="R34" s="15">
        <f t="shared" si="1"/>
        <v>6.8364410950591425E-2</v>
      </c>
    </row>
    <row r="35" spans="1:18">
      <c r="A35" s="1" t="s">
        <v>137</v>
      </c>
      <c r="B35" s="3" t="s">
        <v>232</v>
      </c>
      <c r="C35" s="3" t="s">
        <v>233</v>
      </c>
      <c r="D35" s="6">
        <v>852487</v>
      </c>
      <c r="E35" s="10">
        <v>111126</v>
      </c>
      <c r="F35" s="10">
        <v>90574</v>
      </c>
      <c r="G35" s="10">
        <v>107144</v>
      </c>
      <c r="H35" s="10">
        <v>103715</v>
      </c>
      <c r="I35" s="10">
        <v>93328</v>
      </c>
      <c r="J35" s="10">
        <v>84155</v>
      </c>
      <c r="K35" s="10">
        <v>98259</v>
      </c>
      <c r="L35" s="10">
        <v>84708</v>
      </c>
      <c r="M35" s="10">
        <v>81506</v>
      </c>
      <c r="N35" s="10">
        <v>104459</v>
      </c>
      <c r="O35" s="10">
        <v>95974</v>
      </c>
      <c r="P35" s="10">
        <v>101911</v>
      </c>
      <c r="Q35" s="6">
        <f t="shared" si="0"/>
        <v>1156859</v>
      </c>
      <c r="R35" s="15">
        <f t="shared" si="1"/>
        <v>0.35704004870455508</v>
      </c>
    </row>
    <row r="36" spans="1:18">
      <c r="A36" s="1" t="s">
        <v>137</v>
      </c>
      <c r="B36" s="1" t="s">
        <v>154</v>
      </c>
      <c r="C36" s="1" t="s">
        <v>155</v>
      </c>
      <c r="D36" s="6">
        <v>389217</v>
      </c>
      <c r="E36" s="10">
        <v>33722</v>
      </c>
      <c r="F36" s="10">
        <v>31868</v>
      </c>
      <c r="G36" s="10">
        <v>35602</v>
      </c>
      <c r="H36" s="10">
        <v>38639</v>
      </c>
      <c r="I36" s="10">
        <v>40041</v>
      </c>
      <c r="J36" s="10">
        <v>42040</v>
      </c>
      <c r="K36" s="10">
        <v>51749</v>
      </c>
      <c r="L36" s="10">
        <v>45551</v>
      </c>
      <c r="M36" s="10">
        <v>43678</v>
      </c>
      <c r="N36" s="10">
        <v>46235</v>
      </c>
      <c r="O36" s="10">
        <v>45987</v>
      </c>
      <c r="P36" s="10">
        <v>48296</v>
      </c>
      <c r="Q36" s="6">
        <f t="shared" si="0"/>
        <v>503408</v>
      </c>
      <c r="R36" s="15">
        <f t="shared" si="1"/>
        <v>0.29338646564769788</v>
      </c>
    </row>
    <row r="37" spans="1:18">
      <c r="A37" s="1" t="s">
        <v>137</v>
      </c>
      <c r="B37" s="7" t="s">
        <v>202</v>
      </c>
      <c r="C37" s="7" t="s">
        <v>203</v>
      </c>
      <c r="D37" s="6">
        <v>757685</v>
      </c>
      <c r="E37" s="10">
        <v>57616</v>
      </c>
      <c r="F37" s="10">
        <v>58210</v>
      </c>
      <c r="G37" s="10">
        <v>59287</v>
      </c>
      <c r="H37" s="10">
        <v>64092</v>
      </c>
      <c r="I37" s="10">
        <v>70762</v>
      </c>
      <c r="J37" s="10">
        <v>67325</v>
      </c>
      <c r="K37" s="10">
        <v>68571</v>
      </c>
      <c r="L37" s="10">
        <v>70000</v>
      </c>
      <c r="M37" s="10">
        <v>72316</v>
      </c>
      <c r="N37" s="10">
        <v>67199</v>
      </c>
      <c r="O37" s="10">
        <v>67486</v>
      </c>
      <c r="P37" s="10">
        <v>70620</v>
      </c>
      <c r="Q37" s="6">
        <f t="shared" si="0"/>
        <v>793484</v>
      </c>
      <c r="R37" s="15">
        <f t="shared" si="1"/>
        <v>4.7247866857599075E-2</v>
      </c>
    </row>
    <row r="38" spans="1:18">
      <c r="A38" s="1" t="s">
        <v>137</v>
      </c>
      <c r="B38" s="1" t="s">
        <v>166</v>
      </c>
      <c r="C38" s="1" t="s">
        <v>167</v>
      </c>
      <c r="D38" s="6">
        <v>254161</v>
      </c>
      <c r="E38" s="10">
        <v>29839</v>
      </c>
      <c r="F38" s="10">
        <v>25412</v>
      </c>
      <c r="G38" s="10">
        <v>27318</v>
      </c>
      <c r="H38" s="10">
        <v>30099</v>
      </c>
      <c r="I38" s="10">
        <v>31197</v>
      </c>
      <c r="J38" s="10">
        <v>31243</v>
      </c>
      <c r="K38" s="10">
        <v>34814</v>
      </c>
      <c r="L38" s="10">
        <v>32951</v>
      </c>
      <c r="M38" s="10">
        <v>30392</v>
      </c>
      <c r="N38" s="10">
        <v>30020</v>
      </c>
      <c r="O38" s="10">
        <v>30736</v>
      </c>
      <c r="P38" s="10">
        <v>38035</v>
      </c>
      <c r="Q38" s="6">
        <f t="shared" si="0"/>
        <v>372056</v>
      </c>
      <c r="R38" s="15">
        <f t="shared" si="1"/>
        <v>0.46385952211393566</v>
      </c>
    </row>
    <row r="39" spans="1:18">
      <c r="A39" s="1" t="s">
        <v>137</v>
      </c>
      <c r="B39" s="3" t="s">
        <v>234</v>
      </c>
      <c r="C39" s="3" t="s">
        <v>235</v>
      </c>
      <c r="D39" s="6">
        <v>6676216</v>
      </c>
      <c r="E39" s="10">
        <v>620300</v>
      </c>
      <c r="F39" s="10">
        <v>557760</v>
      </c>
      <c r="G39" s="10">
        <v>625916</v>
      </c>
      <c r="H39" s="10">
        <v>650936</v>
      </c>
      <c r="I39" s="10">
        <v>625078</v>
      </c>
      <c r="J39" s="10">
        <v>577366</v>
      </c>
      <c r="K39" s="10">
        <v>723046</v>
      </c>
      <c r="L39" s="10">
        <v>679253</v>
      </c>
      <c r="M39" s="10">
        <v>697535</v>
      </c>
      <c r="N39" s="10">
        <v>674495</v>
      </c>
      <c r="O39" s="10">
        <v>703626</v>
      </c>
      <c r="P39" s="10">
        <v>700763</v>
      </c>
      <c r="Q39" s="6">
        <f t="shared" si="0"/>
        <v>7836074</v>
      </c>
      <c r="R39" s="15">
        <f t="shared" si="1"/>
        <v>0.17372984936377134</v>
      </c>
    </row>
    <row r="40" spans="1:18">
      <c r="A40" s="1" t="s">
        <v>137</v>
      </c>
      <c r="B40" s="1" t="s">
        <v>190</v>
      </c>
      <c r="C40" s="1" t="s">
        <v>191</v>
      </c>
      <c r="D40" s="6">
        <v>716905</v>
      </c>
      <c r="E40" s="10">
        <v>89536</v>
      </c>
      <c r="F40" s="10">
        <v>58367</v>
      </c>
      <c r="G40" s="10">
        <v>69940</v>
      </c>
      <c r="H40" s="10">
        <v>71244</v>
      </c>
      <c r="I40" s="10">
        <v>73243</v>
      </c>
      <c r="J40" s="10">
        <v>73249</v>
      </c>
      <c r="K40" s="10">
        <v>117538</v>
      </c>
      <c r="L40" s="10">
        <v>87625</v>
      </c>
      <c r="M40" s="10">
        <v>83143</v>
      </c>
      <c r="N40" s="10">
        <v>81866</v>
      </c>
      <c r="O40" s="10">
        <v>83631</v>
      </c>
      <c r="P40" s="10">
        <v>94430</v>
      </c>
      <c r="Q40" s="6">
        <f t="shared" si="0"/>
        <v>983812</v>
      </c>
      <c r="R40" s="15">
        <f t="shared" si="1"/>
        <v>0.37230455918148153</v>
      </c>
    </row>
    <row r="41" spans="1:18">
      <c r="A41" s="1" t="s">
        <v>137</v>
      </c>
      <c r="B41" s="1" t="s">
        <v>168</v>
      </c>
      <c r="C41" s="1" t="s">
        <v>169</v>
      </c>
      <c r="D41" s="6">
        <v>5958982</v>
      </c>
      <c r="E41" s="10">
        <v>647055</v>
      </c>
      <c r="F41" s="10">
        <v>481169</v>
      </c>
      <c r="G41" s="10">
        <v>541276</v>
      </c>
      <c r="H41" s="10">
        <v>532394</v>
      </c>
      <c r="I41" s="10">
        <v>499265</v>
      </c>
      <c r="J41" s="10">
        <v>491574</v>
      </c>
      <c r="K41" s="10">
        <v>601682</v>
      </c>
      <c r="L41" s="10">
        <v>527397</v>
      </c>
      <c r="M41" s="10">
        <v>533544</v>
      </c>
      <c r="N41" s="10">
        <v>512544</v>
      </c>
      <c r="O41" s="10">
        <v>467571</v>
      </c>
      <c r="P41" s="10">
        <v>525397</v>
      </c>
      <c r="Q41" s="6">
        <f t="shared" si="0"/>
        <v>6360868</v>
      </c>
      <c r="R41" s="15">
        <f t="shared" si="1"/>
        <v>6.7442056378085979E-2</v>
      </c>
    </row>
    <row r="42" spans="1:18">
      <c r="A42" s="1" t="s">
        <v>137</v>
      </c>
      <c r="B42" s="1" t="s">
        <v>192</v>
      </c>
      <c r="C42" s="1" t="s">
        <v>193</v>
      </c>
      <c r="D42" s="6">
        <v>355916</v>
      </c>
      <c r="E42" s="10">
        <v>35759</v>
      </c>
      <c r="F42" s="10">
        <v>27505</v>
      </c>
      <c r="G42" s="10">
        <v>29573</v>
      </c>
      <c r="H42" s="10">
        <v>29550</v>
      </c>
      <c r="I42" s="10">
        <v>32374</v>
      </c>
      <c r="J42" s="10">
        <v>31479</v>
      </c>
      <c r="K42" s="10">
        <v>39868</v>
      </c>
      <c r="L42" s="10">
        <v>35940</v>
      </c>
      <c r="M42" s="10">
        <v>33686</v>
      </c>
      <c r="N42" s="10">
        <v>30240</v>
      </c>
      <c r="O42" s="10">
        <v>32112</v>
      </c>
      <c r="P42" s="10">
        <v>35658</v>
      </c>
      <c r="Q42" s="6">
        <f t="shared" si="0"/>
        <v>393744</v>
      </c>
      <c r="R42" s="15">
        <f t="shared" si="1"/>
        <v>0.10628350509670814</v>
      </c>
    </row>
    <row r="43" spans="1:18">
      <c r="A43" s="1" t="s">
        <v>137</v>
      </c>
      <c r="B43" s="1" t="s">
        <v>144</v>
      </c>
      <c r="C43" s="1" t="s">
        <v>145</v>
      </c>
      <c r="D43" s="6">
        <v>7696307</v>
      </c>
      <c r="E43" s="10">
        <v>884814</v>
      </c>
      <c r="F43" s="10">
        <v>648690</v>
      </c>
      <c r="G43" s="10">
        <v>755130</v>
      </c>
      <c r="H43" s="10">
        <v>694361</v>
      </c>
      <c r="I43" s="10">
        <v>647899</v>
      </c>
      <c r="J43" s="10">
        <v>658908</v>
      </c>
      <c r="K43" s="10">
        <v>727928</v>
      </c>
      <c r="L43" s="10">
        <v>634210</v>
      </c>
      <c r="M43" s="10">
        <v>648680</v>
      </c>
      <c r="N43" s="10">
        <v>647400</v>
      </c>
      <c r="O43" s="10">
        <v>651426</v>
      </c>
      <c r="P43" s="10">
        <v>711205</v>
      </c>
      <c r="Q43" s="6">
        <f t="shared" si="0"/>
        <v>8310651</v>
      </c>
      <c r="R43" s="15">
        <f t="shared" si="1"/>
        <v>7.9823219110152444E-2</v>
      </c>
    </row>
    <row r="44" spans="1:18">
      <c r="A44" s="1" t="s">
        <v>137</v>
      </c>
      <c r="B44" s="1" t="s">
        <v>182</v>
      </c>
      <c r="C44" s="1" t="s">
        <v>183</v>
      </c>
      <c r="D44" s="6">
        <v>405122</v>
      </c>
      <c r="E44" s="10">
        <v>35954</v>
      </c>
      <c r="F44" s="10">
        <v>32152</v>
      </c>
      <c r="G44" s="10">
        <v>36134</v>
      </c>
      <c r="H44" s="10">
        <v>33782</v>
      </c>
      <c r="I44" s="10">
        <v>34756</v>
      </c>
      <c r="J44" s="10">
        <v>33571</v>
      </c>
      <c r="K44" s="10">
        <v>44608</v>
      </c>
      <c r="L44" s="10">
        <v>42634</v>
      </c>
      <c r="M44" s="10">
        <v>43509</v>
      </c>
      <c r="N44" s="10">
        <v>42650</v>
      </c>
      <c r="O44" s="10">
        <v>39071</v>
      </c>
      <c r="P44" s="10">
        <v>42391</v>
      </c>
      <c r="Q44" s="6">
        <f t="shared" si="0"/>
        <v>461212</v>
      </c>
      <c r="R44" s="15">
        <f t="shared" si="1"/>
        <v>0.13845212059577117</v>
      </c>
    </row>
    <row r="45" spans="1:18">
      <c r="A45" s="1" t="s">
        <v>137</v>
      </c>
      <c r="B45" s="7" t="s">
        <v>200</v>
      </c>
      <c r="C45" s="7" t="s">
        <v>201</v>
      </c>
      <c r="D45" s="6">
        <v>7822848</v>
      </c>
      <c r="E45" s="10">
        <v>658669</v>
      </c>
      <c r="F45" s="10">
        <v>599808</v>
      </c>
      <c r="G45" s="10">
        <v>704014</v>
      </c>
      <c r="H45" s="10">
        <v>736182</v>
      </c>
      <c r="I45" s="10">
        <v>712574</v>
      </c>
      <c r="J45" s="10">
        <v>665453</v>
      </c>
      <c r="K45" s="10">
        <v>801156</v>
      </c>
      <c r="L45" s="10">
        <v>749438</v>
      </c>
      <c r="M45" s="10">
        <v>747265</v>
      </c>
      <c r="N45" s="10">
        <v>709061</v>
      </c>
      <c r="O45" s="10">
        <v>716456</v>
      </c>
      <c r="P45" s="10">
        <v>722149</v>
      </c>
      <c r="Q45" s="6">
        <f t="shared" si="0"/>
        <v>8522225</v>
      </c>
      <c r="R45" s="15">
        <f t="shared" si="1"/>
        <v>8.9401839330126354E-2</v>
      </c>
    </row>
    <row r="46" spans="1:18">
      <c r="A46" s="1" t="s">
        <v>137</v>
      </c>
      <c r="B46" s="3" t="s">
        <v>218</v>
      </c>
      <c r="C46" s="3" t="s">
        <v>219</v>
      </c>
      <c r="D46" s="6">
        <v>84176</v>
      </c>
      <c r="E46" s="10">
        <v>13394</v>
      </c>
      <c r="F46" s="10">
        <v>15268</v>
      </c>
      <c r="G46" s="10">
        <v>18633</v>
      </c>
      <c r="H46" s="10">
        <v>17692</v>
      </c>
      <c r="I46" s="10">
        <v>18655</v>
      </c>
      <c r="J46" s="10">
        <v>18224</v>
      </c>
      <c r="K46" s="10">
        <v>21410</v>
      </c>
      <c r="L46" s="10">
        <v>23228</v>
      </c>
      <c r="M46" s="10">
        <v>23203</v>
      </c>
      <c r="N46" s="10">
        <v>22675</v>
      </c>
      <c r="O46" s="10">
        <v>20866</v>
      </c>
      <c r="P46" s="10">
        <v>22836</v>
      </c>
      <c r="Q46" s="6">
        <f t="shared" si="0"/>
        <v>236084</v>
      </c>
      <c r="R46" s="15">
        <f t="shared" si="1"/>
        <v>1.8046474054362287</v>
      </c>
    </row>
    <row r="47" spans="1:18">
      <c r="A47" s="1" t="s">
        <v>137</v>
      </c>
      <c r="B47" s="1" t="s">
        <v>180</v>
      </c>
      <c r="C47" s="1" t="s">
        <v>181</v>
      </c>
      <c r="D47" s="6">
        <v>1379146</v>
      </c>
      <c r="E47" s="10">
        <v>173081</v>
      </c>
      <c r="F47" s="10">
        <v>116762</v>
      </c>
      <c r="G47" s="10">
        <v>138637</v>
      </c>
      <c r="H47" s="10">
        <v>142020</v>
      </c>
      <c r="I47" s="10">
        <v>143122</v>
      </c>
      <c r="J47" s="10">
        <v>141424</v>
      </c>
      <c r="K47" s="10">
        <v>190726</v>
      </c>
      <c r="L47" s="10">
        <v>165317</v>
      </c>
      <c r="M47" s="10">
        <v>150935</v>
      </c>
      <c r="N47" s="10">
        <v>149737</v>
      </c>
      <c r="O47" s="10">
        <v>152592</v>
      </c>
      <c r="P47" s="10">
        <v>179981</v>
      </c>
      <c r="Q47" s="6">
        <f t="shared" si="0"/>
        <v>1844334</v>
      </c>
      <c r="R47" s="15">
        <f t="shared" si="1"/>
        <v>0.33730148947247063</v>
      </c>
    </row>
    <row r="48" spans="1:18">
      <c r="A48" s="1" t="s">
        <v>137</v>
      </c>
      <c r="B48" s="1" t="s">
        <v>170</v>
      </c>
      <c r="C48" s="1" t="s">
        <v>171</v>
      </c>
      <c r="D48" s="6">
        <v>797979</v>
      </c>
      <c r="E48" s="10">
        <v>95597</v>
      </c>
      <c r="F48" s="10">
        <v>74104</v>
      </c>
      <c r="G48" s="10">
        <v>80596</v>
      </c>
      <c r="H48" s="10">
        <v>83221</v>
      </c>
      <c r="I48" s="10">
        <v>83137</v>
      </c>
      <c r="J48" s="10">
        <v>85021</v>
      </c>
      <c r="K48" s="10">
        <v>113314</v>
      </c>
      <c r="L48" s="10">
        <v>102460</v>
      </c>
      <c r="M48" s="10">
        <v>87448</v>
      </c>
      <c r="N48" s="10">
        <v>83755</v>
      </c>
      <c r="O48" s="10">
        <v>83686</v>
      </c>
      <c r="P48" s="10">
        <v>102582</v>
      </c>
      <c r="Q48" s="6">
        <f t="shared" si="0"/>
        <v>1074921</v>
      </c>
      <c r="R48" s="15">
        <f t="shared" si="1"/>
        <v>0.34705424578842292</v>
      </c>
    </row>
    <row r="49" spans="1:21">
      <c r="A49" s="1" t="s">
        <v>137</v>
      </c>
      <c r="B49" s="1" t="s">
        <v>490</v>
      </c>
      <c r="C49" s="1" t="s">
        <v>491</v>
      </c>
      <c r="D49" s="6">
        <v>75389</v>
      </c>
      <c r="E49" s="10">
        <v>5785</v>
      </c>
      <c r="F49" s="10">
        <v>6738</v>
      </c>
      <c r="G49" s="10">
        <v>6452</v>
      </c>
      <c r="H49" s="10">
        <v>9932</v>
      </c>
      <c r="I49" s="10">
        <v>15209</v>
      </c>
      <c r="J49" s="10">
        <v>13721</v>
      </c>
      <c r="K49" s="10">
        <v>13180</v>
      </c>
      <c r="L49" s="10">
        <v>12927</v>
      </c>
      <c r="M49" s="10">
        <v>14715</v>
      </c>
      <c r="N49" s="10">
        <v>11975</v>
      </c>
      <c r="O49" s="10">
        <v>10891</v>
      </c>
      <c r="P49" s="10">
        <v>12127</v>
      </c>
      <c r="Q49" s="6">
        <f t="shared" si="0"/>
        <v>133652</v>
      </c>
      <c r="R49" s="15">
        <f t="shared" si="1"/>
        <v>0.77283158020400844</v>
      </c>
    </row>
    <row r="50" spans="1:21">
      <c r="A50" s="1" t="s">
        <v>137</v>
      </c>
      <c r="B50" s="3" t="s">
        <v>208</v>
      </c>
      <c r="C50" s="3" t="s">
        <v>209</v>
      </c>
      <c r="D50" s="6">
        <v>765395</v>
      </c>
      <c r="E50" s="10">
        <v>61397</v>
      </c>
      <c r="F50" s="10">
        <v>64555</v>
      </c>
      <c r="G50" s="10">
        <v>68379</v>
      </c>
      <c r="H50" s="10">
        <v>74236</v>
      </c>
      <c r="I50" s="10">
        <v>77296</v>
      </c>
      <c r="J50" s="10">
        <v>70602</v>
      </c>
      <c r="K50" s="10">
        <v>80092</v>
      </c>
      <c r="L50" s="10">
        <v>86243</v>
      </c>
      <c r="M50" s="10">
        <v>83658</v>
      </c>
      <c r="N50" s="10">
        <v>84436</v>
      </c>
      <c r="O50" s="10">
        <v>79080</v>
      </c>
      <c r="P50" s="10">
        <v>77195</v>
      </c>
      <c r="Q50" s="6">
        <f t="shared" si="0"/>
        <v>907169</v>
      </c>
      <c r="R50" s="15">
        <f t="shared" si="1"/>
        <v>0.18522984864024461</v>
      </c>
    </row>
    <row r="51" spans="1:21">
      <c r="A51" s="1" t="s">
        <v>137</v>
      </c>
      <c r="B51" s="3" t="s">
        <v>210</v>
      </c>
      <c r="C51" s="3" t="s">
        <v>211</v>
      </c>
      <c r="D51" s="6">
        <v>2644729</v>
      </c>
      <c r="E51" s="10">
        <v>269388</v>
      </c>
      <c r="F51" s="10">
        <v>218974</v>
      </c>
      <c r="G51" s="10">
        <v>258387</v>
      </c>
      <c r="H51" s="10">
        <v>260261</v>
      </c>
      <c r="I51" s="10">
        <v>260733</v>
      </c>
      <c r="J51" s="10">
        <v>243605</v>
      </c>
      <c r="K51" s="10">
        <v>304390</v>
      </c>
      <c r="L51" s="10">
        <v>266421</v>
      </c>
      <c r="M51" s="10">
        <v>271565</v>
      </c>
      <c r="N51" s="10">
        <v>264463</v>
      </c>
      <c r="O51" s="10">
        <v>266446</v>
      </c>
      <c r="P51" s="10">
        <v>296475</v>
      </c>
      <c r="Q51" s="6">
        <f t="shared" si="0"/>
        <v>3181108</v>
      </c>
      <c r="R51" s="15">
        <f t="shared" si="1"/>
        <v>0.2028105715179136</v>
      </c>
    </row>
    <row r="52" spans="1:21" ht="15.75">
      <c r="A52" s="1" t="s">
        <v>66</v>
      </c>
      <c r="B52" s="1" t="s">
        <v>362</v>
      </c>
      <c r="C52" s="7" t="s">
        <v>72</v>
      </c>
      <c r="D52" s="6">
        <v>12633709</v>
      </c>
      <c r="E52" s="10">
        <v>978057</v>
      </c>
      <c r="F52" s="10">
        <v>954770</v>
      </c>
      <c r="G52" s="10">
        <v>1081539</v>
      </c>
      <c r="H52" s="10">
        <v>1035000</v>
      </c>
      <c r="I52" s="10">
        <v>1052981</v>
      </c>
      <c r="J52" s="10">
        <v>1081378</v>
      </c>
      <c r="K52" s="10">
        <v>1248483</v>
      </c>
      <c r="L52" s="10">
        <v>1266609</v>
      </c>
      <c r="M52" s="10">
        <v>1084154</v>
      </c>
      <c r="N52" s="10">
        <v>1056193</v>
      </c>
      <c r="O52" s="10">
        <v>975220</v>
      </c>
      <c r="P52" s="10">
        <v>1050967</v>
      </c>
      <c r="Q52" s="6">
        <f t="shared" si="0"/>
        <v>12865351</v>
      </c>
      <c r="R52" s="15">
        <f t="shared" si="1"/>
        <v>1.8335233144914032E-2</v>
      </c>
    </row>
    <row r="53" spans="1:21">
      <c r="A53" s="1" t="s">
        <v>66</v>
      </c>
      <c r="B53" s="1" t="s">
        <v>73</v>
      </c>
      <c r="C53" s="7" t="s">
        <v>74</v>
      </c>
      <c r="D53" s="6">
        <v>6089499</v>
      </c>
      <c r="E53" s="10">
        <v>489947</v>
      </c>
      <c r="F53" s="10">
        <v>480168</v>
      </c>
      <c r="G53" s="10">
        <v>542296</v>
      </c>
      <c r="H53" s="10">
        <v>521979</v>
      </c>
      <c r="I53" s="10">
        <v>519125</v>
      </c>
      <c r="J53" s="10">
        <v>508600</v>
      </c>
      <c r="K53" s="10">
        <v>568139</v>
      </c>
      <c r="L53" s="10">
        <v>583561</v>
      </c>
      <c r="M53" s="10">
        <v>503019</v>
      </c>
      <c r="N53" s="10">
        <v>516602</v>
      </c>
      <c r="O53" s="10">
        <v>504337</v>
      </c>
      <c r="P53" s="10">
        <v>539364</v>
      </c>
      <c r="Q53" s="6">
        <f t="shared" si="0"/>
        <v>6277137</v>
      </c>
      <c r="R53" s="15">
        <f t="shared" si="1"/>
        <v>3.0813372331615518E-2</v>
      </c>
      <c r="S53" s="10"/>
      <c r="T53" s="14"/>
      <c r="U53" s="10"/>
    </row>
    <row r="54" spans="1:21">
      <c r="A54" s="1" t="s">
        <v>66</v>
      </c>
      <c r="B54" s="1" t="s">
        <v>79</v>
      </c>
      <c r="C54" s="7" t="s">
        <v>80</v>
      </c>
      <c r="D54" s="6">
        <v>3508153</v>
      </c>
      <c r="E54" s="10">
        <v>221324</v>
      </c>
      <c r="F54" s="10">
        <v>312185</v>
      </c>
      <c r="G54" s="10">
        <v>312185</v>
      </c>
      <c r="H54" s="10">
        <v>330274</v>
      </c>
      <c r="I54" s="10">
        <v>316569</v>
      </c>
      <c r="J54" s="10">
        <v>300469</v>
      </c>
      <c r="K54" s="10">
        <v>361162</v>
      </c>
      <c r="L54" s="10">
        <v>383849</v>
      </c>
      <c r="M54" s="10">
        <v>309890</v>
      </c>
      <c r="N54" s="10">
        <v>301599</v>
      </c>
      <c r="O54" s="10">
        <v>239472</v>
      </c>
      <c r="P54" s="10">
        <v>268470</v>
      </c>
      <c r="Q54" s="6">
        <f t="shared" si="0"/>
        <v>3657448</v>
      </c>
      <c r="R54" s="15">
        <f t="shared" si="1"/>
        <v>4.2556581768240953E-2</v>
      </c>
    </row>
    <row r="55" spans="1:21">
      <c r="A55" s="1" t="s">
        <v>66</v>
      </c>
      <c r="B55" s="1" t="s">
        <v>83</v>
      </c>
      <c r="C55" s="7" t="s">
        <v>84</v>
      </c>
      <c r="D55" s="6">
        <v>1391725</v>
      </c>
      <c r="E55" s="10">
        <v>123588</v>
      </c>
      <c r="F55" s="10">
        <v>118080</v>
      </c>
      <c r="G55" s="10">
        <v>123391</v>
      </c>
      <c r="H55" s="10">
        <v>106031</v>
      </c>
      <c r="I55" s="10">
        <v>106045</v>
      </c>
      <c r="J55" s="10">
        <v>106802</v>
      </c>
      <c r="K55" s="10">
        <v>122813</v>
      </c>
      <c r="L55" s="10">
        <v>128639</v>
      </c>
      <c r="M55" s="10">
        <v>110879</v>
      </c>
      <c r="N55" s="10">
        <v>111361</v>
      </c>
      <c r="O55" s="10">
        <v>104748</v>
      </c>
      <c r="P55" s="10">
        <v>127810</v>
      </c>
      <c r="Q55" s="6">
        <f t="shared" si="0"/>
        <v>1390187</v>
      </c>
      <c r="R55" s="15">
        <f t="shared" si="1"/>
        <v>-1.1051033789002407E-3</v>
      </c>
    </row>
    <row r="56" spans="1:21" ht="15.75">
      <c r="A56" s="1" t="s">
        <v>66</v>
      </c>
      <c r="B56" s="1" t="s">
        <v>363</v>
      </c>
      <c r="C56" s="7" t="s">
        <v>71</v>
      </c>
      <c r="D56" s="6">
        <v>12971339</v>
      </c>
      <c r="E56" s="10">
        <v>1133734</v>
      </c>
      <c r="F56" s="10">
        <v>1040848</v>
      </c>
      <c r="G56" s="10">
        <v>1188731</v>
      </c>
      <c r="H56" s="10">
        <v>1109680</v>
      </c>
      <c r="I56" s="10">
        <v>1087734</v>
      </c>
      <c r="J56" s="10">
        <v>1196542</v>
      </c>
      <c r="K56" s="10">
        <v>1354475</v>
      </c>
      <c r="L56" s="10">
        <v>1345889</v>
      </c>
      <c r="M56" s="10">
        <v>1159071</v>
      </c>
      <c r="N56" s="10">
        <v>1092487</v>
      </c>
      <c r="O56" s="10">
        <v>924531</v>
      </c>
      <c r="P56" s="10">
        <v>1035107</v>
      </c>
      <c r="Q56" s="6">
        <f t="shared" si="0"/>
        <v>13668829</v>
      </c>
      <c r="R56" s="15">
        <f t="shared" si="1"/>
        <v>5.3771626815088291E-2</v>
      </c>
    </row>
    <row r="57" spans="1:21">
      <c r="A57" s="1" t="s">
        <v>66</v>
      </c>
      <c r="B57" s="1" t="s">
        <v>75</v>
      </c>
      <c r="C57" s="7" t="s">
        <v>76</v>
      </c>
      <c r="D57" s="6">
        <v>4465524</v>
      </c>
      <c r="E57" s="10">
        <v>370763</v>
      </c>
      <c r="F57" s="10">
        <v>375982</v>
      </c>
      <c r="G57" s="10">
        <v>412196</v>
      </c>
      <c r="H57" s="10">
        <v>366198</v>
      </c>
      <c r="I57" s="10">
        <v>385437</v>
      </c>
      <c r="J57" s="10">
        <v>385681</v>
      </c>
      <c r="K57" s="10">
        <v>387768</v>
      </c>
      <c r="L57" s="10">
        <v>398276</v>
      </c>
      <c r="M57" s="10">
        <v>378663</v>
      </c>
      <c r="N57" s="10">
        <v>396416</v>
      </c>
      <c r="O57" s="10">
        <v>372642</v>
      </c>
      <c r="P57" s="10">
        <v>394604</v>
      </c>
      <c r="Q57" s="6">
        <f t="shared" si="0"/>
        <v>4624626</v>
      </c>
      <c r="R57" s="15">
        <f t="shared" si="1"/>
        <v>3.5628965380098743E-2</v>
      </c>
    </row>
    <row r="58" spans="1:21">
      <c r="A58" s="1" t="s">
        <v>66</v>
      </c>
      <c r="B58" s="1" t="s">
        <v>533</v>
      </c>
      <c r="C58" s="7" t="s">
        <v>534</v>
      </c>
      <c r="D58" s="6">
        <v>1190088</v>
      </c>
      <c r="E58" s="10">
        <v>134720</v>
      </c>
      <c r="F58" s="10">
        <v>131986</v>
      </c>
      <c r="G58" s="10">
        <v>145072</v>
      </c>
      <c r="H58" s="10">
        <v>114435</v>
      </c>
      <c r="I58" s="10">
        <v>85429</v>
      </c>
      <c r="J58" s="10">
        <v>93536</v>
      </c>
      <c r="K58" s="10">
        <v>104026</v>
      </c>
      <c r="L58" s="10">
        <v>102337</v>
      </c>
      <c r="M58" s="10">
        <v>101843</v>
      </c>
      <c r="N58" s="10">
        <v>96316</v>
      </c>
      <c r="O58" s="10">
        <v>90875</v>
      </c>
      <c r="P58" s="10">
        <v>112857</v>
      </c>
      <c r="Q58" s="6">
        <f t="shared" si="0"/>
        <v>1313432</v>
      </c>
      <c r="R58" s="15">
        <f t="shared" si="1"/>
        <v>0.10364275582982097</v>
      </c>
    </row>
    <row r="59" spans="1:21">
      <c r="A59" s="1" t="s">
        <v>66</v>
      </c>
      <c r="B59" s="1" t="s">
        <v>67</v>
      </c>
      <c r="C59" s="7" t="s">
        <v>68</v>
      </c>
      <c r="D59" s="6">
        <v>31932497</v>
      </c>
      <c r="E59" s="10">
        <v>2627686</v>
      </c>
      <c r="F59" s="10">
        <v>2438279</v>
      </c>
      <c r="G59" s="10">
        <v>2826974</v>
      </c>
      <c r="H59" s="10">
        <v>2684556</v>
      </c>
      <c r="I59" s="10">
        <v>2783106</v>
      </c>
      <c r="J59" s="10">
        <v>2865070</v>
      </c>
      <c r="K59" s="10">
        <v>3292149</v>
      </c>
      <c r="L59" s="10">
        <v>3357974</v>
      </c>
      <c r="M59" s="10">
        <v>2806234</v>
      </c>
      <c r="N59" s="10">
        <v>2683757</v>
      </c>
      <c r="O59" s="10">
        <v>2386911</v>
      </c>
      <c r="P59" s="10">
        <v>2682581</v>
      </c>
      <c r="Q59" s="6">
        <f t="shared" si="0"/>
        <v>33435277</v>
      </c>
      <c r="R59" s="15">
        <f t="shared" si="1"/>
        <v>4.7061149023203575E-2</v>
      </c>
    </row>
    <row r="60" spans="1:21">
      <c r="A60" s="1" t="s">
        <v>66</v>
      </c>
      <c r="B60" s="1" t="s">
        <v>69</v>
      </c>
      <c r="C60" s="7" t="s">
        <v>70</v>
      </c>
      <c r="D60" s="6">
        <v>16778774</v>
      </c>
      <c r="E60" s="10">
        <v>1297690</v>
      </c>
      <c r="F60" s="10">
        <v>1209581</v>
      </c>
      <c r="G60" s="10">
        <v>1402328</v>
      </c>
      <c r="H60" s="10">
        <v>1322122</v>
      </c>
      <c r="I60" s="10">
        <v>1436297</v>
      </c>
      <c r="J60" s="10">
        <v>1511359</v>
      </c>
      <c r="K60" s="10">
        <v>1697690</v>
      </c>
      <c r="L60" s="10">
        <v>1761821</v>
      </c>
      <c r="M60" s="10">
        <v>1457775</v>
      </c>
      <c r="N60" s="10">
        <v>1331577</v>
      </c>
      <c r="O60" s="10">
        <v>1199530</v>
      </c>
      <c r="P60" s="10">
        <v>1405010</v>
      </c>
      <c r="Q60" s="6">
        <f>SUM(E60:P60)</f>
        <v>17032780</v>
      </c>
      <c r="R60" s="15">
        <f t="shared" si="1"/>
        <v>1.5138531575668246E-2</v>
      </c>
    </row>
    <row r="61" spans="1:21">
      <c r="A61" s="1" t="s">
        <v>66</v>
      </c>
      <c r="B61" s="1" t="s">
        <v>81</v>
      </c>
      <c r="C61" s="1" t="s">
        <v>82</v>
      </c>
      <c r="D61" s="6">
        <v>1514713</v>
      </c>
      <c r="E61" s="10">
        <v>112316</v>
      </c>
      <c r="F61" s="10">
        <v>104915</v>
      </c>
      <c r="G61" s="10">
        <v>123660</v>
      </c>
      <c r="H61" s="10">
        <v>119625</v>
      </c>
      <c r="I61" s="10">
        <v>132207</v>
      </c>
      <c r="J61" s="10">
        <v>123538</v>
      </c>
      <c r="K61" s="10">
        <v>140937</v>
      </c>
      <c r="L61" s="10">
        <v>150209</v>
      </c>
      <c r="M61" s="10">
        <v>126259</v>
      </c>
      <c r="N61" s="10">
        <v>130235</v>
      </c>
      <c r="O61" s="10">
        <v>110963</v>
      </c>
      <c r="P61" s="10">
        <v>124928</v>
      </c>
      <c r="Q61" s="6">
        <f t="shared" ref="Q61:Q124" si="2">SUM(E61:P61)</f>
        <v>1499792</v>
      </c>
      <c r="R61" s="15">
        <f t="shared" si="1"/>
        <v>-9.8507109927755687E-3</v>
      </c>
    </row>
    <row r="62" spans="1:21">
      <c r="A62" s="1" t="s">
        <v>66</v>
      </c>
      <c r="B62" s="1" t="s">
        <v>77</v>
      </c>
      <c r="C62" s="7" t="s">
        <v>78</v>
      </c>
      <c r="D62" s="6">
        <v>3369974</v>
      </c>
      <c r="E62" s="10">
        <v>277295</v>
      </c>
      <c r="F62" s="10">
        <v>271841</v>
      </c>
      <c r="G62" s="10">
        <v>294336</v>
      </c>
      <c r="H62" s="10">
        <v>260024</v>
      </c>
      <c r="I62" s="10">
        <v>267923</v>
      </c>
      <c r="J62" s="10">
        <v>283673</v>
      </c>
      <c r="K62" s="10">
        <v>313337</v>
      </c>
      <c r="L62" s="10">
        <v>320948</v>
      </c>
      <c r="M62" s="10">
        <v>276239</v>
      </c>
      <c r="N62" s="10">
        <v>282943</v>
      </c>
      <c r="O62" s="10">
        <v>258420</v>
      </c>
      <c r="P62" s="10">
        <v>282258</v>
      </c>
      <c r="Q62" s="6">
        <f t="shared" si="2"/>
        <v>3389237</v>
      </c>
      <c r="R62" s="15">
        <f t="shared" si="1"/>
        <v>5.7160678390990594E-3</v>
      </c>
    </row>
    <row r="63" spans="1:21">
      <c r="A63" s="1" t="s">
        <v>236</v>
      </c>
      <c r="B63" s="1" t="s">
        <v>457</v>
      </c>
      <c r="C63" s="1" t="s">
        <v>458</v>
      </c>
      <c r="D63" s="6">
        <v>1172791</v>
      </c>
      <c r="E63" s="10">
        <v>112803</v>
      </c>
      <c r="F63" s="10">
        <v>103577</v>
      </c>
      <c r="G63" s="10">
        <v>99601</v>
      </c>
      <c r="H63" s="10">
        <v>99405</v>
      </c>
      <c r="I63" s="10">
        <v>102805</v>
      </c>
      <c r="J63" s="10">
        <v>109942</v>
      </c>
      <c r="K63" s="10">
        <v>110859</v>
      </c>
      <c r="L63" s="10">
        <v>108241</v>
      </c>
      <c r="M63" s="10">
        <v>113756</v>
      </c>
      <c r="N63" s="10">
        <v>118120</v>
      </c>
      <c r="O63" s="10">
        <v>125803</v>
      </c>
      <c r="P63" s="10">
        <v>120156</v>
      </c>
      <c r="Q63" s="6">
        <f t="shared" si="2"/>
        <v>1325068</v>
      </c>
      <c r="R63" s="15">
        <f t="shared" si="1"/>
        <v>0.12984154892048116</v>
      </c>
    </row>
    <row r="64" spans="1:21">
      <c r="A64" s="1" t="s">
        <v>236</v>
      </c>
      <c r="B64" s="1" t="s">
        <v>459</v>
      </c>
      <c r="C64" s="1" t="s">
        <v>460</v>
      </c>
      <c r="D64" s="6">
        <v>366312</v>
      </c>
      <c r="E64" s="10">
        <v>47040</v>
      </c>
      <c r="F64" s="10">
        <v>45604</v>
      </c>
      <c r="G64" s="10">
        <v>34207</v>
      </c>
      <c r="H64" s="10">
        <v>30926</v>
      </c>
      <c r="I64" s="10">
        <v>31665</v>
      </c>
      <c r="J64" s="10">
        <v>31397</v>
      </c>
      <c r="K64" s="10">
        <v>42466</v>
      </c>
      <c r="L64" s="10">
        <v>36125</v>
      </c>
      <c r="M64" s="10">
        <v>35935</v>
      </c>
      <c r="N64" s="10">
        <v>37732</v>
      </c>
      <c r="O64" s="10">
        <v>36595</v>
      </c>
      <c r="P64" s="10">
        <v>38489</v>
      </c>
      <c r="Q64" s="6">
        <f t="shared" si="2"/>
        <v>448181</v>
      </c>
      <c r="R64" s="15">
        <f t="shared" si="1"/>
        <v>0.22349527179016793</v>
      </c>
    </row>
    <row r="65" spans="1:18">
      <c r="A65" s="1" t="s">
        <v>236</v>
      </c>
      <c r="B65" s="1" t="s">
        <v>461</v>
      </c>
      <c r="C65" s="1" t="s">
        <v>462</v>
      </c>
      <c r="D65" s="6">
        <v>293302</v>
      </c>
      <c r="E65" s="10">
        <v>35311</v>
      </c>
      <c r="F65" s="10">
        <v>33683</v>
      </c>
      <c r="G65" s="10">
        <v>28851</v>
      </c>
      <c r="H65" s="10">
        <v>23436</v>
      </c>
      <c r="I65" s="10">
        <v>22727</v>
      </c>
      <c r="J65" s="10">
        <v>20606</v>
      </c>
      <c r="K65" s="10">
        <v>28434</v>
      </c>
      <c r="L65" s="10">
        <v>24764</v>
      </c>
      <c r="M65" s="10">
        <v>25323</v>
      </c>
      <c r="N65" s="10">
        <v>28803</v>
      </c>
      <c r="O65" s="10">
        <v>28884</v>
      </c>
      <c r="P65" s="10">
        <v>32982</v>
      </c>
      <c r="Q65" s="6">
        <f t="shared" si="2"/>
        <v>333804</v>
      </c>
      <c r="R65" s="15">
        <f t="shared" si="1"/>
        <v>0.13808975049607564</v>
      </c>
    </row>
    <row r="66" spans="1:18">
      <c r="A66" s="1" t="s">
        <v>236</v>
      </c>
      <c r="B66" s="1" t="s">
        <v>463</v>
      </c>
      <c r="C66" s="1" t="s">
        <v>464</v>
      </c>
      <c r="D66" s="6">
        <v>623365</v>
      </c>
      <c r="E66" s="10">
        <v>64295</v>
      </c>
      <c r="F66" s="10">
        <v>58577</v>
      </c>
      <c r="G66" s="10">
        <v>58493</v>
      </c>
      <c r="H66" s="10">
        <v>55525</v>
      </c>
      <c r="I66" s="10">
        <v>54938</v>
      </c>
      <c r="J66" s="10">
        <v>54460</v>
      </c>
      <c r="K66" s="10">
        <v>62644</v>
      </c>
      <c r="L66" s="10">
        <v>60606</v>
      </c>
      <c r="M66" s="10">
        <v>59610</v>
      </c>
      <c r="N66" s="10">
        <v>64186</v>
      </c>
      <c r="O66" s="10">
        <v>71635</v>
      </c>
      <c r="P66" s="10">
        <v>69422</v>
      </c>
      <c r="Q66" s="6">
        <f t="shared" si="2"/>
        <v>734391</v>
      </c>
      <c r="R66" s="15">
        <f t="shared" si="1"/>
        <v>0.17810752929664009</v>
      </c>
    </row>
    <row r="67" spans="1:18">
      <c r="A67" s="1" t="s">
        <v>236</v>
      </c>
      <c r="B67" s="1" t="s">
        <v>465</v>
      </c>
      <c r="C67" s="1" t="s">
        <v>466</v>
      </c>
      <c r="D67" s="6">
        <v>671539</v>
      </c>
      <c r="E67" s="10">
        <v>56249</v>
      </c>
      <c r="F67" s="10">
        <v>45770</v>
      </c>
      <c r="G67" s="10">
        <v>62591</v>
      </c>
      <c r="H67" s="10">
        <v>62303</v>
      </c>
      <c r="I67" s="10">
        <v>65204</v>
      </c>
      <c r="J67" s="10">
        <v>56172</v>
      </c>
      <c r="K67" s="10">
        <v>65800</v>
      </c>
      <c r="L67" s="10">
        <v>68314</v>
      </c>
      <c r="M67" s="10">
        <v>67183</v>
      </c>
      <c r="N67" s="10">
        <v>73085</v>
      </c>
      <c r="O67" s="10">
        <v>76189</v>
      </c>
      <c r="P67" s="10">
        <v>70886</v>
      </c>
      <c r="Q67" s="6">
        <f t="shared" si="2"/>
        <v>769746</v>
      </c>
      <c r="R67" s="15">
        <f t="shared" si="1"/>
        <v>0.14624169258970809</v>
      </c>
    </row>
    <row r="68" spans="1:18">
      <c r="A68" s="1" t="s">
        <v>236</v>
      </c>
      <c r="B68" s="1" t="s">
        <v>467</v>
      </c>
      <c r="C68" s="1" t="s">
        <v>468</v>
      </c>
      <c r="D68" s="6">
        <v>274699</v>
      </c>
      <c r="E68" s="10">
        <v>32284</v>
      </c>
      <c r="F68" s="10">
        <v>29671</v>
      </c>
      <c r="G68" s="10">
        <v>30895</v>
      </c>
      <c r="H68" s="10">
        <v>29815</v>
      </c>
      <c r="I68" s="10">
        <v>32378</v>
      </c>
      <c r="J68" s="10">
        <v>31559</v>
      </c>
      <c r="K68" s="10">
        <v>34115</v>
      </c>
      <c r="L68" s="10">
        <v>34312</v>
      </c>
      <c r="M68" s="10">
        <v>34072</v>
      </c>
      <c r="N68" s="10">
        <v>36632</v>
      </c>
      <c r="O68" s="10">
        <v>39709</v>
      </c>
      <c r="P68" s="10">
        <v>37898</v>
      </c>
      <c r="Q68" s="6">
        <f t="shared" si="2"/>
        <v>403340</v>
      </c>
      <c r="R68" s="15">
        <f t="shared" ref="R68:R131" si="3">Q68/D68-1</f>
        <v>0.46829802802340015</v>
      </c>
    </row>
    <row r="69" spans="1:18">
      <c r="A69" s="1" t="s">
        <v>236</v>
      </c>
      <c r="B69" s="1" t="s">
        <v>469</v>
      </c>
      <c r="C69" s="1" t="s">
        <v>470</v>
      </c>
      <c r="D69" s="6">
        <v>847212</v>
      </c>
      <c r="E69" s="10">
        <v>104955</v>
      </c>
      <c r="F69" s="10">
        <v>102917</v>
      </c>
      <c r="G69" s="10">
        <v>77933</v>
      </c>
      <c r="H69" s="10">
        <v>76521</v>
      </c>
      <c r="I69" s="10">
        <v>81822</v>
      </c>
      <c r="J69" s="10">
        <v>78944</v>
      </c>
      <c r="K69" s="10">
        <v>96525</v>
      </c>
      <c r="L69" s="10">
        <v>82914</v>
      </c>
      <c r="M69" s="10">
        <v>84312</v>
      </c>
      <c r="N69" s="10">
        <v>88031</v>
      </c>
      <c r="O69" s="10">
        <v>97550</v>
      </c>
      <c r="P69" s="10">
        <v>88046</v>
      </c>
      <c r="Q69" s="6">
        <f t="shared" si="2"/>
        <v>1060470</v>
      </c>
      <c r="R69" s="15">
        <f t="shared" si="3"/>
        <v>0.25171739777056978</v>
      </c>
    </row>
    <row r="70" spans="1:18">
      <c r="A70" s="1" t="s">
        <v>236</v>
      </c>
      <c r="B70" s="1" t="s">
        <v>471</v>
      </c>
      <c r="C70" s="1" t="s">
        <v>472</v>
      </c>
      <c r="D70" s="6">
        <v>134774</v>
      </c>
      <c r="E70" s="10">
        <v>14185</v>
      </c>
      <c r="F70" s="10">
        <v>14321</v>
      </c>
      <c r="G70" s="10">
        <v>9100</v>
      </c>
      <c r="H70" s="10">
        <v>8397</v>
      </c>
      <c r="I70" s="10">
        <v>10994</v>
      </c>
      <c r="J70" s="10">
        <v>7908</v>
      </c>
      <c r="K70" s="10">
        <v>10783</v>
      </c>
      <c r="L70" s="10">
        <v>10129</v>
      </c>
      <c r="M70" s="10">
        <v>11187</v>
      </c>
      <c r="N70" s="10">
        <v>11971</v>
      </c>
      <c r="O70" s="10">
        <v>12979</v>
      </c>
      <c r="P70" s="10">
        <v>12196</v>
      </c>
      <c r="Q70" s="6">
        <f t="shared" si="2"/>
        <v>134150</v>
      </c>
      <c r="R70" s="15">
        <f t="shared" si="3"/>
        <v>-4.6299731402199562E-3</v>
      </c>
    </row>
    <row r="71" spans="1:18">
      <c r="A71" s="1" t="s">
        <v>236</v>
      </c>
      <c r="B71" s="1" t="s">
        <v>473</v>
      </c>
      <c r="C71" s="1" t="s">
        <v>474</v>
      </c>
      <c r="D71" s="6">
        <v>377791</v>
      </c>
      <c r="E71" s="10">
        <v>49638</v>
      </c>
      <c r="F71" s="10">
        <v>47540</v>
      </c>
      <c r="G71" s="10">
        <v>37934</v>
      </c>
      <c r="H71" s="10">
        <v>36018</v>
      </c>
      <c r="I71" s="10">
        <v>37585</v>
      </c>
      <c r="J71" s="10">
        <v>35554</v>
      </c>
      <c r="K71" s="10">
        <v>40708</v>
      </c>
      <c r="L71" s="10">
        <v>39460</v>
      </c>
      <c r="M71" s="10">
        <v>42181</v>
      </c>
      <c r="N71" s="10">
        <v>45701</v>
      </c>
      <c r="O71" s="10">
        <v>47046</v>
      </c>
      <c r="P71" s="10">
        <v>48217</v>
      </c>
      <c r="Q71" s="6">
        <f t="shared" si="2"/>
        <v>507582</v>
      </c>
      <c r="R71" s="15">
        <f t="shared" si="3"/>
        <v>0.34355238743114569</v>
      </c>
    </row>
    <row r="72" spans="1:18">
      <c r="A72" s="1" t="s">
        <v>236</v>
      </c>
      <c r="B72" s="1" t="s">
        <v>475</v>
      </c>
      <c r="C72" s="1" t="s">
        <v>476</v>
      </c>
      <c r="D72" s="6">
        <v>100521</v>
      </c>
      <c r="E72" s="10">
        <v>10294</v>
      </c>
      <c r="F72" s="10">
        <v>11050</v>
      </c>
      <c r="G72" s="10">
        <v>10017</v>
      </c>
      <c r="H72" s="10">
        <v>10035</v>
      </c>
      <c r="I72" s="10">
        <v>9004</v>
      </c>
      <c r="J72" s="10">
        <v>8925</v>
      </c>
      <c r="K72" s="10">
        <v>6858</v>
      </c>
      <c r="L72" s="10">
        <v>7815</v>
      </c>
      <c r="M72" s="10">
        <v>7879</v>
      </c>
      <c r="N72" s="10">
        <v>8538</v>
      </c>
      <c r="O72" s="10">
        <v>8430</v>
      </c>
      <c r="P72" s="10">
        <v>8099</v>
      </c>
      <c r="Q72" s="6">
        <f t="shared" si="2"/>
        <v>106944</v>
      </c>
      <c r="R72" s="15">
        <f t="shared" si="3"/>
        <v>6.3897096129166941E-2</v>
      </c>
    </row>
    <row r="73" spans="1:18">
      <c r="A73" s="1" t="s">
        <v>236</v>
      </c>
      <c r="B73" s="1" t="s">
        <v>477</v>
      </c>
      <c r="C73" s="1" t="s">
        <v>478</v>
      </c>
      <c r="D73" s="6">
        <v>819738</v>
      </c>
      <c r="E73" s="10">
        <v>101531</v>
      </c>
      <c r="F73" s="10">
        <v>99761</v>
      </c>
      <c r="G73" s="10">
        <v>80815</v>
      </c>
      <c r="H73" s="10">
        <v>66017</v>
      </c>
      <c r="I73" s="10">
        <v>62454</v>
      </c>
      <c r="J73" s="10">
        <v>56804</v>
      </c>
      <c r="K73" s="10">
        <v>72760</v>
      </c>
      <c r="L73" s="10">
        <v>66487</v>
      </c>
      <c r="M73" s="10">
        <v>72036</v>
      </c>
      <c r="N73" s="10">
        <v>75876</v>
      </c>
      <c r="O73" s="10">
        <v>86509</v>
      </c>
      <c r="P73" s="10">
        <v>87970</v>
      </c>
      <c r="Q73" s="6">
        <f t="shared" si="2"/>
        <v>929020</v>
      </c>
      <c r="R73" s="15">
        <f t="shared" si="3"/>
        <v>0.13331332694104692</v>
      </c>
    </row>
    <row r="74" spans="1:18">
      <c r="A74" s="1" t="s">
        <v>236</v>
      </c>
      <c r="B74" s="1" t="s">
        <v>479</v>
      </c>
      <c r="C74" s="1" t="s">
        <v>480</v>
      </c>
      <c r="D74" s="6">
        <v>559710</v>
      </c>
      <c r="E74" s="10">
        <v>73573</v>
      </c>
      <c r="F74" s="10">
        <v>74892</v>
      </c>
      <c r="G74" s="10">
        <v>53993</v>
      </c>
      <c r="H74" s="10">
        <v>43388</v>
      </c>
      <c r="I74" s="10">
        <v>33627</v>
      </c>
      <c r="J74" s="10">
        <v>30664</v>
      </c>
      <c r="K74" s="10">
        <v>43755</v>
      </c>
      <c r="L74" s="10">
        <v>36086</v>
      </c>
      <c r="M74" s="10">
        <v>41175</v>
      </c>
      <c r="N74" s="10">
        <v>49097</v>
      </c>
      <c r="O74" s="10">
        <v>60405</v>
      </c>
      <c r="P74" s="10">
        <v>69407</v>
      </c>
      <c r="Q74" s="6">
        <f t="shared" si="2"/>
        <v>610062</v>
      </c>
      <c r="R74" s="15">
        <f t="shared" si="3"/>
        <v>8.9960872594736507E-2</v>
      </c>
    </row>
    <row r="75" spans="1:18">
      <c r="A75" s="1" t="s">
        <v>236</v>
      </c>
      <c r="B75" s="1" t="s">
        <v>481</v>
      </c>
      <c r="C75" s="1" t="s">
        <v>237</v>
      </c>
      <c r="D75" s="6">
        <v>10315319</v>
      </c>
      <c r="E75" s="10">
        <v>1147891</v>
      </c>
      <c r="F75" s="10">
        <v>1077193</v>
      </c>
      <c r="G75" s="10">
        <v>979214</v>
      </c>
      <c r="H75" s="10">
        <v>894171</v>
      </c>
      <c r="I75" s="10">
        <v>892791</v>
      </c>
      <c r="J75" s="10">
        <v>841573</v>
      </c>
      <c r="K75" s="10">
        <v>1067811</v>
      </c>
      <c r="L75" s="10">
        <v>975058</v>
      </c>
      <c r="M75" s="10">
        <v>995393</v>
      </c>
      <c r="N75" s="10">
        <v>1037984</v>
      </c>
      <c r="O75" s="10">
        <v>1067033</v>
      </c>
      <c r="P75" s="10">
        <v>1129412</v>
      </c>
      <c r="Q75" s="6">
        <f t="shared" si="2"/>
        <v>12105524</v>
      </c>
      <c r="R75" s="15">
        <f t="shared" si="3"/>
        <v>0.17354819564959656</v>
      </c>
    </row>
    <row r="76" spans="1:18">
      <c r="A76" s="1" t="s">
        <v>236</v>
      </c>
      <c r="B76" s="1" t="s">
        <v>482</v>
      </c>
      <c r="C76" s="1" t="s">
        <v>483</v>
      </c>
      <c r="D76" s="6">
        <v>335045</v>
      </c>
      <c r="E76" s="10">
        <v>36699</v>
      </c>
      <c r="F76" s="10">
        <v>34694</v>
      </c>
      <c r="G76" s="10">
        <v>33817</v>
      </c>
      <c r="H76" s="10">
        <v>30421</v>
      </c>
      <c r="I76" s="10">
        <v>27269</v>
      </c>
      <c r="J76" s="10">
        <v>22678</v>
      </c>
      <c r="K76" s="10">
        <v>26834</v>
      </c>
      <c r="L76" s="10">
        <v>28556</v>
      </c>
      <c r="M76" s="10">
        <v>31598</v>
      </c>
      <c r="N76" s="10">
        <v>32094</v>
      </c>
      <c r="O76" s="10">
        <v>36133</v>
      </c>
      <c r="P76" s="10">
        <v>36529</v>
      </c>
      <c r="Q76" s="6">
        <f t="shared" si="2"/>
        <v>377322</v>
      </c>
      <c r="R76" s="15">
        <f t="shared" si="3"/>
        <v>0.12618305003805452</v>
      </c>
    </row>
    <row r="77" spans="1:18">
      <c r="A77" s="1" t="s">
        <v>236</v>
      </c>
      <c r="B77" s="1" t="s">
        <v>484</v>
      </c>
      <c r="C77" s="1" t="s">
        <v>485</v>
      </c>
      <c r="D77" s="6">
        <v>104852</v>
      </c>
      <c r="E77" s="10">
        <v>10774</v>
      </c>
      <c r="F77" s="10">
        <v>12173</v>
      </c>
      <c r="G77" s="10">
        <v>10741</v>
      </c>
      <c r="H77" s="10">
        <v>10651</v>
      </c>
      <c r="I77" s="10">
        <v>12112</v>
      </c>
      <c r="J77" s="10">
        <v>9323</v>
      </c>
      <c r="K77" s="10">
        <v>8147</v>
      </c>
      <c r="L77" s="10">
        <v>8640</v>
      </c>
      <c r="M77" s="10">
        <v>10376</v>
      </c>
      <c r="N77" s="10">
        <v>11843</v>
      </c>
      <c r="O77" s="10">
        <v>10063</v>
      </c>
      <c r="P77" s="10">
        <v>8503</v>
      </c>
      <c r="Q77" s="6">
        <f t="shared" si="2"/>
        <v>123346</v>
      </c>
      <c r="R77" s="15">
        <f t="shared" si="3"/>
        <v>0.1763819478884523</v>
      </c>
    </row>
    <row r="78" spans="1:18">
      <c r="A78" s="1" t="s">
        <v>238</v>
      </c>
      <c r="B78" s="7" t="s">
        <v>264</v>
      </c>
      <c r="C78" s="7" t="s">
        <v>265</v>
      </c>
      <c r="D78" s="6">
        <v>200317</v>
      </c>
      <c r="E78" s="10">
        <v>24104</v>
      </c>
      <c r="F78" s="10">
        <v>20088</v>
      </c>
      <c r="G78" s="10">
        <v>21559</v>
      </c>
      <c r="H78" s="10">
        <v>20998</v>
      </c>
      <c r="I78" s="10">
        <v>22766</v>
      </c>
      <c r="J78" s="10">
        <v>23575</v>
      </c>
      <c r="K78" s="10">
        <v>24816</v>
      </c>
      <c r="L78" s="10">
        <v>25832</v>
      </c>
      <c r="M78" s="10">
        <v>27612</v>
      </c>
      <c r="N78" s="10">
        <v>28248</v>
      </c>
      <c r="O78" s="10">
        <v>31065</v>
      </c>
      <c r="P78" s="10">
        <v>36248</v>
      </c>
      <c r="Q78" s="6">
        <f t="shared" si="2"/>
        <v>306911</v>
      </c>
      <c r="R78" s="15">
        <f t="shared" si="3"/>
        <v>0.53212657937169583</v>
      </c>
    </row>
    <row r="79" spans="1:18">
      <c r="A79" s="1" t="s">
        <v>238</v>
      </c>
      <c r="B79" s="7" t="s">
        <v>290</v>
      </c>
      <c r="C79" s="7" t="s">
        <v>291</v>
      </c>
      <c r="D79" s="6">
        <v>107872</v>
      </c>
      <c r="E79" s="10">
        <v>16042</v>
      </c>
      <c r="F79" s="10">
        <v>14510</v>
      </c>
      <c r="G79" s="10">
        <v>16028</v>
      </c>
      <c r="H79" s="10">
        <v>15432</v>
      </c>
      <c r="I79" s="10">
        <v>16896</v>
      </c>
      <c r="J79" s="10">
        <v>16556</v>
      </c>
      <c r="K79" s="10">
        <v>16273</v>
      </c>
      <c r="L79" s="10">
        <v>16729</v>
      </c>
      <c r="M79" s="10">
        <v>17533</v>
      </c>
      <c r="N79" s="10">
        <v>18949</v>
      </c>
      <c r="O79" s="10">
        <v>19081</v>
      </c>
      <c r="P79" s="10">
        <v>18869</v>
      </c>
      <c r="Q79" s="6">
        <f t="shared" si="2"/>
        <v>202898</v>
      </c>
      <c r="R79" s="15">
        <f t="shared" si="3"/>
        <v>0.88091441708691787</v>
      </c>
    </row>
    <row r="80" spans="1:18">
      <c r="A80" s="1" t="s">
        <v>238</v>
      </c>
      <c r="B80" s="7" t="s">
        <v>260</v>
      </c>
      <c r="C80" s="7" t="s">
        <v>261</v>
      </c>
      <c r="D80" s="6">
        <v>1268331</v>
      </c>
      <c r="E80" s="10">
        <v>154502</v>
      </c>
      <c r="F80" s="10">
        <v>111414</v>
      </c>
      <c r="G80" s="10">
        <v>134886</v>
      </c>
      <c r="H80" s="10">
        <v>123447</v>
      </c>
      <c r="I80" s="10">
        <v>124499</v>
      </c>
      <c r="J80" s="10">
        <v>135246</v>
      </c>
      <c r="K80" s="10">
        <v>146821</v>
      </c>
      <c r="L80" s="10">
        <v>138958</v>
      </c>
      <c r="M80" s="10">
        <v>132269</v>
      </c>
      <c r="N80" s="10">
        <v>139339</v>
      </c>
      <c r="O80" s="10">
        <v>141487</v>
      </c>
      <c r="P80" s="10">
        <v>157349</v>
      </c>
      <c r="Q80" s="6">
        <f t="shared" si="2"/>
        <v>1640217</v>
      </c>
      <c r="R80" s="15">
        <f t="shared" si="3"/>
        <v>0.29320894939885567</v>
      </c>
    </row>
    <row r="81" spans="1:18">
      <c r="A81" s="1" t="s">
        <v>238</v>
      </c>
      <c r="B81" s="3" t="s">
        <v>239</v>
      </c>
      <c r="C81" s="3" t="s">
        <v>240</v>
      </c>
      <c r="D81" s="6">
        <v>13875328</v>
      </c>
      <c r="E81" s="10">
        <v>1747014</v>
      </c>
      <c r="F81" s="10">
        <v>1408731</v>
      </c>
      <c r="G81" s="10">
        <v>1592905</v>
      </c>
      <c r="H81" s="10">
        <v>1553673</v>
      </c>
      <c r="I81" s="10">
        <v>1607547</v>
      </c>
      <c r="J81" s="10">
        <v>1689976</v>
      </c>
      <c r="K81" s="10">
        <v>1814824</v>
      </c>
      <c r="L81" s="10">
        <v>1791394</v>
      </c>
      <c r="M81" s="10">
        <v>1678781</v>
      </c>
      <c r="N81" s="10">
        <v>1715978</v>
      </c>
      <c r="O81" s="10">
        <v>1750322</v>
      </c>
      <c r="P81" s="10">
        <v>1934999</v>
      </c>
      <c r="Q81" s="6">
        <f t="shared" si="2"/>
        <v>20286144</v>
      </c>
      <c r="R81" s="15">
        <f t="shared" si="3"/>
        <v>0.46202987057314959</v>
      </c>
    </row>
    <row r="82" spans="1:18">
      <c r="A82" s="1" t="s">
        <v>238</v>
      </c>
      <c r="B82" s="7" t="s">
        <v>298</v>
      </c>
      <c r="C82" s="7" t="s">
        <v>299</v>
      </c>
      <c r="D82" s="6">
        <v>928514</v>
      </c>
      <c r="E82" s="10">
        <v>108175</v>
      </c>
      <c r="F82" s="10">
        <v>86476</v>
      </c>
      <c r="G82" s="10">
        <v>97154</v>
      </c>
      <c r="H82" s="10">
        <v>96424</v>
      </c>
      <c r="I82" s="10">
        <v>105668</v>
      </c>
      <c r="J82" s="10">
        <v>107938</v>
      </c>
      <c r="K82" s="10">
        <v>104891</v>
      </c>
      <c r="L82" s="10">
        <v>108143</v>
      </c>
      <c r="M82" s="10">
        <v>105906</v>
      </c>
      <c r="N82" s="10">
        <v>108704</v>
      </c>
      <c r="O82" s="10">
        <v>112846</v>
      </c>
      <c r="P82" s="10">
        <v>126599</v>
      </c>
      <c r="Q82" s="6">
        <f t="shared" si="2"/>
        <v>1268924</v>
      </c>
      <c r="R82" s="15">
        <f t="shared" si="3"/>
        <v>0.36661805853223539</v>
      </c>
    </row>
    <row r="83" spans="1:18">
      <c r="A83" s="1" t="s">
        <v>238</v>
      </c>
      <c r="B83" s="7" t="s">
        <v>272</v>
      </c>
      <c r="C83" s="7" t="s">
        <v>273</v>
      </c>
      <c r="D83" s="6">
        <v>2439488</v>
      </c>
      <c r="E83" s="10">
        <v>280232</v>
      </c>
      <c r="F83" s="10">
        <v>226727</v>
      </c>
      <c r="G83" s="10">
        <v>252747</v>
      </c>
      <c r="H83" s="10">
        <v>252431</v>
      </c>
      <c r="I83" s="10">
        <v>259974</v>
      </c>
      <c r="J83" s="10">
        <v>275088</v>
      </c>
      <c r="K83" s="10">
        <v>303014</v>
      </c>
      <c r="L83" s="10">
        <v>296590</v>
      </c>
      <c r="M83" s="10">
        <v>252074</v>
      </c>
      <c r="N83" s="10">
        <v>260093</v>
      </c>
      <c r="O83" s="10">
        <v>271224</v>
      </c>
      <c r="P83" s="10">
        <v>309684</v>
      </c>
      <c r="Q83" s="6">
        <f t="shared" si="2"/>
        <v>3239878</v>
      </c>
      <c r="R83" s="15">
        <f t="shared" si="3"/>
        <v>0.32809753522050533</v>
      </c>
    </row>
    <row r="84" spans="1:18">
      <c r="A84" s="1" t="s">
        <v>238</v>
      </c>
      <c r="B84" s="7" t="s">
        <v>254</v>
      </c>
      <c r="C84" s="7" t="s">
        <v>255</v>
      </c>
      <c r="D84" s="6">
        <v>128742</v>
      </c>
      <c r="E84" s="10">
        <v>13121</v>
      </c>
      <c r="F84" s="10">
        <v>12116</v>
      </c>
      <c r="G84" s="10">
        <v>15002</v>
      </c>
      <c r="H84" s="10">
        <v>14920</v>
      </c>
      <c r="I84" s="10">
        <v>13605</v>
      </c>
      <c r="J84" s="10">
        <v>16287</v>
      </c>
      <c r="K84" s="10">
        <v>14223</v>
      </c>
      <c r="L84" s="10">
        <v>15218</v>
      </c>
      <c r="M84" s="10">
        <v>15359</v>
      </c>
      <c r="N84" s="10">
        <v>14901</v>
      </c>
      <c r="O84" s="10">
        <v>16089</v>
      </c>
      <c r="P84" s="10">
        <v>16616</v>
      </c>
      <c r="Q84" s="6">
        <f t="shared" si="2"/>
        <v>177457</v>
      </c>
      <c r="R84" s="15">
        <f t="shared" si="3"/>
        <v>0.37839244380233339</v>
      </c>
    </row>
    <row r="85" spans="1:18">
      <c r="A85" s="1" t="s">
        <v>238</v>
      </c>
      <c r="B85" s="7" t="s">
        <v>262</v>
      </c>
      <c r="C85" s="7" t="s">
        <v>263</v>
      </c>
      <c r="D85" s="6">
        <v>1547360</v>
      </c>
      <c r="E85" s="10">
        <v>212147</v>
      </c>
      <c r="F85" s="10">
        <v>154628</v>
      </c>
      <c r="G85" s="10">
        <v>174273</v>
      </c>
      <c r="H85" s="10">
        <v>173249</v>
      </c>
      <c r="I85" s="10">
        <v>172215</v>
      </c>
      <c r="J85" s="10">
        <v>173289</v>
      </c>
      <c r="K85" s="10">
        <v>184571</v>
      </c>
      <c r="L85" s="10">
        <v>176674</v>
      </c>
      <c r="M85" s="10">
        <v>161074</v>
      </c>
      <c r="N85" s="10">
        <v>174398</v>
      </c>
      <c r="O85" s="10">
        <v>185681</v>
      </c>
      <c r="P85" s="10">
        <v>199065</v>
      </c>
      <c r="Q85" s="6">
        <f t="shared" si="2"/>
        <v>2141264</v>
      </c>
      <c r="R85" s="15">
        <f t="shared" si="3"/>
        <v>0.38381759900734158</v>
      </c>
    </row>
    <row r="86" spans="1:18">
      <c r="A86" s="1" t="s">
        <v>238</v>
      </c>
      <c r="B86" s="7" t="s">
        <v>282</v>
      </c>
      <c r="C86" s="7" t="s">
        <v>283</v>
      </c>
      <c r="D86" s="6">
        <v>586353</v>
      </c>
      <c r="E86" s="10">
        <v>70095</v>
      </c>
      <c r="F86" s="10">
        <v>54876</v>
      </c>
      <c r="G86" s="10">
        <v>57306</v>
      </c>
      <c r="H86" s="10">
        <v>64677</v>
      </c>
      <c r="I86" s="10">
        <v>67372</v>
      </c>
      <c r="J86" s="10">
        <v>67128</v>
      </c>
      <c r="K86" s="10">
        <v>65047</v>
      </c>
      <c r="L86" s="10">
        <v>64560</v>
      </c>
      <c r="M86" s="10">
        <v>62313</v>
      </c>
      <c r="N86" s="10">
        <v>66949</v>
      </c>
      <c r="O86" s="10">
        <v>67347</v>
      </c>
      <c r="P86" s="10">
        <v>82978</v>
      </c>
      <c r="Q86" s="6">
        <f t="shared" si="2"/>
        <v>790648</v>
      </c>
      <c r="R86" s="15">
        <f t="shared" si="3"/>
        <v>0.34841639763077881</v>
      </c>
    </row>
    <row r="87" spans="1:18">
      <c r="A87" s="1" t="s">
        <v>238</v>
      </c>
      <c r="B87" s="7" t="s">
        <v>296</v>
      </c>
      <c r="C87" s="7" t="s">
        <v>297</v>
      </c>
      <c r="D87" s="6">
        <v>177462</v>
      </c>
      <c r="E87" s="10">
        <v>20354</v>
      </c>
      <c r="F87" s="10">
        <v>23140</v>
      </c>
      <c r="G87" s="10">
        <v>27727</v>
      </c>
      <c r="H87" s="10">
        <v>25053</v>
      </c>
      <c r="I87" s="10">
        <v>25106</v>
      </c>
      <c r="J87" s="10">
        <v>27365</v>
      </c>
      <c r="K87" s="10">
        <v>26656</v>
      </c>
      <c r="L87" s="10">
        <v>29339</v>
      </c>
      <c r="M87" s="10">
        <v>30734</v>
      </c>
      <c r="N87" s="10">
        <v>31278</v>
      </c>
      <c r="O87" s="10">
        <v>33608</v>
      </c>
      <c r="P87" s="10">
        <v>34813</v>
      </c>
      <c r="Q87" s="6">
        <f t="shared" si="2"/>
        <v>335173</v>
      </c>
      <c r="R87" s="15">
        <f t="shared" si="3"/>
        <v>0.88870293358578167</v>
      </c>
    </row>
    <row r="88" spans="1:18">
      <c r="A88" s="1" t="s">
        <v>238</v>
      </c>
      <c r="B88" s="7" t="s">
        <v>292</v>
      </c>
      <c r="C88" s="7" t="s">
        <v>293</v>
      </c>
      <c r="D88" s="6">
        <v>121041</v>
      </c>
      <c r="E88" s="10">
        <v>11892</v>
      </c>
      <c r="F88" s="10">
        <v>12194</v>
      </c>
      <c r="G88" s="10">
        <v>14907</v>
      </c>
      <c r="H88" s="10">
        <v>13306</v>
      </c>
      <c r="I88" s="10">
        <v>15452</v>
      </c>
      <c r="J88" s="10">
        <v>13805</v>
      </c>
      <c r="K88" s="10">
        <v>12812</v>
      </c>
      <c r="L88" s="10">
        <v>13836</v>
      </c>
      <c r="M88" s="10">
        <v>14903</v>
      </c>
      <c r="N88" s="10">
        <v>14025</v>
      </c>
      <c r="O88" s="10">
        <v>13055</v>
      </c>
      <c r="P88" s="10">
        <v>12819</v>
      </c>
      <c r="Q88" s="6">
        <f t="shared" si="2"/>
        <v>163006</v>
      </c>
      <c r="R88" s="15">
        <f t="shared" si="3"/>
        <v>0.34670070471988823</v>
      </c>
    </row>
    <row r="89" spans="1:18">
      <c r="A89" s="1" t="s">
        <v>238</v>
      </c>
      <c r="B89" s="7" t="s">
        <v>270</v>
      </c>
      <c r="C89" s="7" t="s">
        <v>271</v>
      </c>
      <c r="D89" s="6">
        <v>116809</v>
      </c>
      <c r="E89" s="10">
        <v>14067</v>
      </c>
      <c r="F89" s="10">
        <v>10870</v>
      </c>
      <c r="G89" s="10">
        <v>10930</v>
      </c>
      <c r="H89" s="10">
        <v>11469</v>
      </c>
      <c r="I89" s="10">
        <v>10683</v>
      </c>
      <c r="J89" s="10">
        <v>12981</v>
      </c>
      <c r="K89" s="10">
        <v>14568</v>
      </c>
      <c r="L89" s="10">
        <v>13479</v>
      </c>
      <c r="M89" s="10">
        <v>12384</v>
      </c>
      <c r="N89" s="10">
        <v>13516</v>
      </c>
      <c r="O89" s="10">
        <v>14233</v>
      </c>
      <c r="P89" s="10">
        <v>14594</v>
      </c>
      <c r="Q89" s="6">
        <f t="shared" si="2"/>
        <v>153774</v>
      </c>
      <c r="R89" s="15">
        <f t="shared" si="3"/>
        <v>0.31645677987141396</v>
      </c>
    </row>
    <row r="90" spans="1:18">
      <c r="A90" s="1" t="s">
        <v>238</v>
      </c>
      <c r="B90" s="7" t="s">
        <v>294</v>
      </c>
      <c r="C90" s="7" t="s">
        <v>295</v>
      </c>
      <c r="D90" s="6">
        <v>178990</v>
      </c>
      <c r="E90" s="10">
        <v>18967</v>
      </c>
      <c r="F90" s="10">
        <v>14238</v>
      </c>
      <c r="G90" s="10">
        <v>18254</v>
      </c>
      <c r="H90" s="10">
        <v>17306</v>
      </c>
      <c r="I90" s="10">
        <v>19043</v>
      </c>
      <c r="J90" s="10">
        <v>19248</v>
      </c>
      <c r="K90" s="10">
        <v>19548</v>
      </c>
      <c r="L90" s="10">
        <v>20803</v>
      </c>
      <c r="M90" s="10">
        <v>21326</v>
      </c>
      <c r="N90" s="10">
        <v>17183</v>
      </c>
      <c r="O90" s="10">
        <v>16762</v>
      </c>
      <c r="P90" s="10">
        <v>17707</v>
      </c>
      <c r="Q90" s="6">
        <f t="shared" si="2"/>
        <v>220385</v>
      </c>
      <c r="R90" s="15">
        <f t="shared" si="3"/>
        <v>0.23126990334655573</v>
      </c>
    </row>
    <row r="91" spans="1:18">
      <c r="A91" s="1" t="s">
        <v>238</v>
      </c>
      <c r="B91" s="7" t="s">
        <v>256</v>
      </c>
      <c r="C91" s="7" t="s">
        <v>257</v>
      </c>
      <c r="D91" s="6">
        <v>741096</v>
      </c>
      <c r="E91" s="10">
        <v>79801</v>
      </c>
      <c r="F91" s="10">
        <v>66055</v>
      </c>
      <c r="G91" s="10">
        <v>78978</v>
      </c>
      <c r="H91" s="10">
        <v>78108</v>
      </c>
      <c r="I91" s="10">
        <v>67422</v>
      </c>
      <c r="J91" s="10">
        <v>82515</v>
      </c>
      <c r="K91" s="10">
        <v>78677</v>
      </c>
      <c r="L91" s="10">
        <v>84324</v>
      </c>
      <c r="M91" s="10">
        <v>80460</v>
      </c>
      <c r="N91" s="10">
        <v>78712</v>
      </c>
      <c r="O91" s="10">
        <v>78118</v>
      </c>
      <c r="P91" s="10">
        <v>89333</v>
      </c>
      <c r="Q91" s="6">
        <f t="shared" si="2"/>
        <v>942503</v>
      </c>
      <c r="R91" s="15">
        <f t="shared" si="3"/>
        <v>0.27176910953506694</v>
      </c>
    </row>
    <row r="92" spans="1:18">
      <c r="A92" s="1" t="s">
        <v>238</v>
      </c>
      <c r="B92" s="7" t="s">
        <v>288</v>
      </c>
      <c r="C92" s="7" t="s">
        <v>289</v>
      </c>
      <c r="D92" s="6">
        <v>418447</v>
      </c>
      <c r="E92" s="10">
        <v>52511</v>
      </c>
      <c r="F92" s="10">
        <v>38440</v>
      </c>
      <c r="G92" s="10">
        <v>44232</v>
      </c>
      <c r="H92" s="10">
        <v>46539</v>
      </c>
      <c r="I92" s="10">
        <v>47189</v>
      </c>
      <c r="J92" s="10">
        <v>50872</v>
      </c>
      <c r="K92" s="10">
        <v>50815</v>
      </c>
      <c r="L92" s="10">
        <v>47364</v>
      </c>
      <c r="M92" s="10">
        <v>44417</v>
      </c>
      <c r="N92" s="10">
        <v>47749</v>
      </c>
      <c r="O92" s="10">
        <v>47612</v>
      </c>
      <c r="P92" s="10">
        <v>50688</v>
      </c>
      <c r="Q92" s="6">
        <f t="shared" si="2"/>
        <v>568428</v>
      </c>
      <c r="R92" s="15">
        <f t="shared" si="3"/>
        <v>0.35842293050254881</v>
      </c>
    </row>
    <row r="93" spans="1:18">
      <c r="A93" s="1" t="s">
        <v>238</v>
      </c>
      <c r="B93" s="7" t="s">
        <v>274</v>
      </c>
      <c r="C93" s="7" t="s">
        <v>275</v>
      </c>
      <c r="D93" s="6">
        <v>228061</v>
      </c>
      <c r="E93" s="10">
        <v>21553</v>
      </c>
      <c r="F93" s="10">
        <v>23339</v>
      </c>
      <c r="G93" s="10">
        <v>26039</v>
      </c>
      <c r="H93" s="10">
        <v>22455</v>
      </c>
      <c r="I93" s="10">
        <v>23679</v>
      </c>
      <c r="J93" s="10">
        <v>22431</v>
      </c>
      <c r="K93" s="10">
        <v>21951</v>
      </c>
      <c r="L93" s="10">
        <v>22750</v>
      </c>
      <c r="M93" s="10">
        <v>25110</v>
      </c>
      <c r="N93" s="10">
        <v>26423</v>
      </c>
      <c r="O93" s="10">
        <v>28008</v>
      </c>
      <c r="P93" s="10">
        <v>26272</v>
      </c>
      <c r="Q93" s="6">
        <f t="shared" si="2"/>
        <v>290010</v>
      </c>
      <c r="R93" s="15">
        <f t="shared" si="3"/>
        <v>0.27163346648484388</v>
      </c>
    </row>
    <row r="94" spans="1:18">
      <c r="A94" s="1" t="s">
        <v>238</v>
      </c>
      <c r="B94" s="7" t="s">
        <v>266</v>
      </c>
      <c r="C94" s="7" t="s">
        <v>267</v>
      </c>
      <c r="D94" s="6">
        <v>605472</v>
      </c>
      <c r="E94" s="10">
        <v>76660</v>
      </c>
      <c r="F94" s="10">
        <v>62545</v>
      </c>
      <c r="G94" s="10">
        <v>72396</v>
      </c>
      <c r="H94" s="10">
        <v>69649</v>
      </c>
      <c r="I94" s="10">
        <v>73471</v>
      </c>
      <c r="J94" s="10">
        <v>72767</v>
      </c>
      <c r="K94" s="10">
        <v>72633</v>
      </c>
      <c r="L94" s="10">
        <v>71654</v>
      </c>
      <c r="M94" s="10">
        <v>64914</v>
      </c>
      <c r="N94" s="10">
        <v>70049</v>
      </c>
      <c r="O94" s="10">
        <v>75073</v>
      </c>
      <c r="P94" s="10">
        <v>83110</v>
      </c>
      <c r="Q94" s="6">
        <f t="shared" si="2"/>
        <v>864921</v>
      </c>
      <c r="R94" s="15">
        <f t="shared" si="3"/>
        <v>0.4285070160139528</v>
      </c>
    </row>
    <row r="95" spans="1:18">
      <c r="A95" s="1" t="s">
        <v>238</v>
      </c>
      <c r="B95" s="7" t="s">
        <v>280</v>
      </c>
      <c r="C95" s="7" t="s">
        <v>281</v>
      </c>
      <c r="D95" s="6">
        <v>164477</v>
      </c>
      <c r="E95" s="10">
        <v>20375</v>
      </c>
      <c r="F95" s="10">
        <v>15591</v>
      </c>
      <c r="G95" s="10">
        <v>20054</v>
      </c>
      <c r="H95" s="10">
        <v>18460</v>
      </c>
      <c r="I95" s="10">
        <v>20058</v>
      </c>
      <c r="J95" s="10">
        <v>18741</v>
      </c>
      <c r="K95" s="10">
        <v>20415</v>
      </c>
      <c r="L95" s="10">
        <v>20333</v>
      </c>
      <c r="M95" s="10">
        <v>21056</v>
      </c>
      <c r="N95" s="10">
        <v>19737</v>
      </c>
      <c r="O95" s="10">
        <v>20430</v>
      </c>
      <c r="P95" s="10">
        <v>20068</v>
      </c>
      <c r="Q95" s="6">
        <f t="shared" si="2"/>
        <v>235318</v>
      </c>
      <c r="R95" s="15">
        <f t="shared" si="3"/>
        <v>0.43070459699532448</v>
      </c>
    </row>
    <row r="96" spans="1:18">
      <c r="A96" s="1" t="s">
        <v>238</v>
      </c>
      <c r="B96" s="7" t="s">
        <v>286</v>
      </c>
      <c r="C96" s="7" t="s">
        <v>287</v>
      </c>
      <c r="D96" s="6">
        <v>196229</v>
      </c>
      <c r="E96" s="10">
        <v>27108</v>
      </c>
      <c r="F96" s="10">
        <v>19068</v>
      </c>
      <c r="G96" s="10">
        <v>22379</v>
      </c>
      <c r="H96" s="10">
        <v>23329</v>
      </c>
      <c r="I96" s="10">
        <v>19367</v>
      </c>
      <c r="J96" s="10">
        <v>26029</v>
      </c>
      <c r="K96" s="10">
        <v>24796</v>
      </c>
      <c r="L96" s="10">
        <v>24821</v>
      </c>
      <c r="M96" s="10">
        <v>23009</v>
      </c>
      <c r="N96" s="10">
        <v>23788</v>
      </c>
      <c r="O96" s="10">
        <v>22031</v>
      </c>
      <c r="P96" s="10">
        <v>28927</v>
      </c>
      <c r="Q96" s="6">
        <f t="shared" si="2"/>
        <v>284652</v>
      </c>
      <c r="R96" s="15">
        <f t="shared" si="3"/>
        <v>0.45061127560146574</v>
      </c>
    </row>
    <row r="97" spans="1:19">
      <c r="A97" s="1" t="s">
        <v>238</v>
      </c>
      <c r="B97" s="7" t="s">
        <v>258</v>
      </c>
      <c r="C97" s="7" t="s">
        <v>259</v>
      </c>
      <c r="D97" s="6">
        <v>2567930</v>
      </c>
      <c r="E97" s="10">
        <v>319204</v>
      </c>
      <c r="F97" s="10">
        <v>253117</v>
      </c>
      <c r="G97" s="10">
        <v>291101</v>
      </c>
      <c r="H97" s="10">
        <v>286561</v>
      </c>
      <c r="I97" s="10">
        <v>301799</v>
      </c>
      <c r="J97" s="10">
        <v>317669</v>
      </c>
      <c r="K97" s="10">
        <v>320675</v>
      </c>
      <c r="L97" s="10">
        <v>320927</v>
      </c>
      <c r="M97" s="10">
        <v>308536</v>
      </c>
      <c r="N97" s="10">
        <v>308939</v>
      </c>
      <c r="O97" s="10">
        <v>319140</v>
      </c>
      <c r="P97" s="10">
        <v>367239</v>
      </c>
      <c r="Q97" s="6">
        <f t="shared" si="2"/>
        <v>3714907</v>
      </c>
      <c r="R97" s="15">
        <f t="shared" si="3"/>
        <v>0.44665430911278725</v>
      </c>
    </row>
    <row r="98" spans="1:19">
      <c r="A98" s="1" t="s">
        <v>238</v>
      </c>
      <c r="B98" s="7" t="s">
        <v>268</v>
      </c>
      <c r="C98" s="7" t="s">
        <v>269</v>
      </c>
      <c r="D98" s="6">
        <v>728086</v>
      </c>
      <c r="E98" s="10">
        <v>114745</v>
      </c>
      <c r="F98" s="10">
        <v>77887</v>
      </c>
      <c r="G98" s="10">
        <v>75025</v>
      </c>
      <c r="H98" s="10">
        <v>76874</v>
      </c>
      <c r="I98" s="10">
        <v>70183</v>
      </c>
      <c r="J98" s="10">
        <v>94766</v>
      </c>
      <c r="K98" s="10">
        <v>103873</v>
      </c>
      <c r="L98" s="10">
        <v>91476</v>
      </c>
      <c r="M98" s="10">
        <v>82212</v>
      </c>
      <c r="N98" s="10">
        <v>90487</v>
      </c>
      <c r="O98" s="10">
        <v>88233</v>
      </c>
      <c r="P98" s="10">
        <v>119935</v>
      </c>
      <c r="Q98" s="6">
        <f t="shared" si="2"/>
        <v>1085696</v>
      </c>
      <c r="R98" s="15">
        <f t="shared" si="3"/>
        <v>0.49116450529195732</v>
      </c>
    </row>
    <row r="99" spans="1:19">
      <c r="A99" s="1" t="s">
        <v>238</v>
      </c>
      <c r="B99" s="7" t="s">
        <v>276</v>
      </c>
      <c r="C99" s="7" t="s">
        <v>277</v>
      </c>
      <c r="D99" s="6">
        <v>622520</v>
      </c>
      <c r="E99" s="10">
        <v>88010</v>
      </c>
      <c r="F99" s="10">
        <v>60667</v>
      </c>
      <c r="G99" s="10">
        <v>64796</v>
      </c>
      <c r="H99" s="10">
        <v>67386</v>
      </c>
      <c r="I99" s="10">
        <v>63129</v>
      </c>
      <c r="J99" s="10">
        <v>69666</v>
      </c>
      <c r="K99" s="10">
        <v>76219</v>
      </c>
      <c r="L99" s="10">
        <v>72847</v>
      </c>
      <c r="M99" s="10">
        <v>68195</v>
      </c>
      <c r="N99" s="10">
        <v>73998</v>
      </c>
      <c r="O99" s="10">
        <v>74229</v>
      </c>
      <c r="P99" s="10">
        <v>87459</v>
      </c>
      <c r="Q99" s="6">
        <f t="shared" si="2"/>
        <v>866601</v>
      </c>
      <c r="R99" s="15">
        <f t="shared" si="3"/>
        <v>0.39208539484675198</v>
      </c>
    </row>
    <row r="100" spans="1:19">
      <c r="A100" s="1" t="s">
        <v>238</v>
      </c>
      <c r="B100" s="7" t="s">
        <v>284</v>
      </c>
      <c r="C100" s="7" t="s">
        <v>285</v>
      </c>
      <c r="D100" s="6">
        <v>174025</v>
      </c>
      <c r="E100" s="10">
        <v>25029</v>
      </c>
      <c r="F100" s="10">
        <v>19778</v>
      </c>
      <c r="G100" s="10">
        <v>21218</v>
      </c>
      <c r="H100" s="10">
        <v>24962</v>
      </c>
      <c r="I100" s="10">
        <v>24017</v>
      </c>
      <c r="J100" s="10">
        <v>23654</v>
      </c>
      <c r="K100" s="10">
        <v>24199</v>
      </c>
      <c r="L100" s="10">
        <v>23980</v>
      </c>
      <c r="M100" s="10">
        <v>23430</v>
      </c>
      <c r="N100" s="10">
        <v>25640</v>
      </c>
      <c r="O100" s="10">
        <v>23286</v>
      </c>
      <c r="P100" s="10">
        <v>27006</v>
      </c>
      <c r="Q100" s="6">
        <f t="shared" si="2"/>
        <v>286199</v>
      </c>
      <c r="R100" s="15">
        <f t="shared" si="3"/>
        <v>0.64458554805344059</v>
      </c>
    </row>
    <row r="101" spans="1:19">
      <c r="A101" s="1" t="s">
        <v>238</v>
      </c>
      <c r="B101" s="7" t="s">
        <v>278</v>
      </c>
      <c r="C101" s="7" t="s">
        <v>279</v>
      </c>
      <c r="D101" s="6">
        <v>87629</v>
      </c>
      <c r="E101" s="10">
        <v>8546</v>
      </c>
      <c r="F101" s="10">
        <v>7518</v>
      </c>
      <c r="G101" s="10">
        <v>8491</v>
      </c>
      <c r="H101" s="10">
        <v>7677</v>
      </c>
      <c r="I101" s="10">
        <v>7809</v>
      </c>
      <c r="J101" s="10">
        <v>9743</v>
      </c>
      <c r="K101" s="10">
        <v>10169</v>
      </c>
      <c r="L101" s="10">
        <v>10978</v>
      </c>
      <c r="M101" s="10">
        <v>11051</v>
      </c>
      <c r="N101" s="10">
        <v>11735</v>
      </c>
      <c r="O101" s="10">
        <v>10517</v>
      </c>
      <c r="P101" s="10">
        <v>11582</v>
      </c>
      <c r="Q101" s="6">
        <f t="shared" si="2"/>
        <v>115816</v>
      </c>
      <c r="R101" s="15">
        <f t="shared" si="3"/>
        <v>0.32166291980965211</v>
      </c>
    </row>
    <row r="102" spans="1:19">
      <c r="A102" s="1" t="s">
        <v>241</v>
      </c>
      <c r="B102" s="3" t="s">
        <v>529</v>
      </c>
      <c r="C102" s="3" t="s">
        <v>250</v>
      </c>
      <c r="D102" s="6">
        <v>97305</v>
      </c>
      <c r="E102" s="10">
        <v>15662</v>
      </c>
      <c r="F102" s="10">
        <v>17931</v>
      </c>
      <c r="G102" s="10">
        <v>20522</v>
      </c>
      <c r="H102" s="10">
        <v>14799</v>
      </c>
      <c r="I102" s="10">
        <v>6546</v>
      </c>
      <c r="J102" s="10">
        <v>7061</v>
      </c>
      <c r="K102" s="10">
        <v>9225</v>
      </c>
      <c r="L102" s="10">
        <v>7869</v>
      </c>
      <c r="M102" s="10">
        <v>4053</v>
      </c>
      <c r="N102" s="10">
        <v>4581</v>
      </c>
      <c r="O102" s="10">
        <v>7680</v>
      </c>
      <c r="P102" s="10">
        <v>13189</v>
      </c>
      <c r="Q102" s="6">
        <f t="shared" si="2"/>
        <v>129118</v>
      </c>
      <c r="R102" s="15">
        <f t="shared" si="3"/>
        <v>0.32694106161040026</v>
      </c>
    </row>
    <row r="103" spans="1:19">
      <c r="A103" s="1" t="s">
        <v>241</v>
      </c>
      <c r="B103" s="3" t="s">
        <v>245</v>
      </c>
      <c r="C103" s="3" t="s">
        <v>246</v>
      </c>
      <c r="D103" s="6">
        <v>1018699</v>
      </c>
      <c r="E103" s="10">
        <v>92961</v>
      </c>
      <c r="F103" s="10">
        <v>77542</v>
      </c>
      <c r="G103" s="10">
        <v>95871</v>
      </c>
      <c r="H103" s="10">
        <v>90184</v>
      </c>
      <c r="I103" s="10">
        <v>156390</v>
      </c>
      <c r="J103" s="10"/>
      <c r="K103" s="10"/>
      <c r="L103" s="10"/>
      <c r="M103" s="10"/>
      <c r="N103" s="10"/>
      <c r="O103" s="10"/>
      <c r="P103" s="10"/>
      <c r="Q103" s="6">
        <f t="shared" si="2"/>
        <v>512948</v>
      </c>
      <c r="R103" s="15">
        <f t="shared" si="3"/>
        <v>-0.4964675532222963</v>
      </c>
    </row>
    <row r="104" spans="1:19">
      <c r="A104" s="1" t="s">
        <v>241</v>
      </c>
      <c r="B104" s="3" t="s">
        <v>530</v>
      </c>
      <c r="C104" s="3" t="s">
        <v>247</v>
      </c>
      <c r="D104" s="6">
        <v>2643252</v>
      </c>
      <c r="E104" s="10">
        <v>291455</v>
      </c>
      <c r="F104" s="10">
        <v>227088</v>
      </c>
      <c r="G104" s="10">
        <v>254376</v>
      </c>
      <c r="H104" s="10">
        <v>251392</v>
      </c>
      <c r="I104" s="10">
        <v>245609</v>
      </c>
      <c r="J104" s="10">
        <v>265886</v>
      </c>
      <c r="K104" s="10">
        <v>320914</v>
      </c>
      <c r="L104" s="10">
        <v>289343</v>
      </c>
      <c r="M104" s="10">
        <v>230558</v>
      </c>
      <c r="N104" s="10">
        <v>229914</v>
      </c>
      <c r="O104" s="10">
        <v>231303</v>
      </c>
      <c r="P104" s="10">
        <v>275306</v>
      </c>
      <c r="Q104" s="6">
        <f t="shared" si="2"/>
        <v>3113144</v>
      </c>
      <c r="R104" s="15">
        <f t="shared" si="3"/>
        <v>0.17777041311233277</v>
      </c>
    </row>
    <row r="105" spans="1:19">
      <c r="A105" s="1" t="s">
        <v>241</v>
      </c>
      <c r="B105" s="3" t="s">
        <v>248</v>
      </c>
      <c r="C105" s="3" t="s">
        <v>249</v>
      </c>
      <c r="D105" s="6">
        <v>222263</v>
      </c>
      <c r="E105" s="10">
        <v>34100</v>
      </c>
      <c r="F105" s="10">
        <v>30856</v>
      </c>
      <c r="G105" s="10">
        <v>33024</v>
      </c>
      <c r="H105" s="10">
        <v>24914</v>
      </c>
      <c r="I105" s="10">
        <v>12566</v>
      </c>
      <c r="J105" s="10"/>
      <c r="K105" s="10"/>
      <c r="L105" s="10"/>
      <c r="M105" s="10"/>
      <c r="N105" s="10"/>
      <c r="O105" s="10"/>
      <c r="P105" s="10"/>
      <c r="Q105" s="6">
        <f t="shared" si="2"/>
        <v>135460</v>
      </c>
      <c r="R105" s="15">
        <f t="shared" si="3"/>
        <v>-0.39054183557317235</v>
      </c>
    </row>
    <row r="106" spans="1:19">
      <c r="A106" s="1" t="s">
        <v>241</v>
      </c>
      <c r="B106" s="3" t="s">
        <v>531</v>
      </c>
      <c r="C106" s="3" t="s">
        <v>242</v>
      </c>
      <c r="D106" s="6">
        <v>777223</v>
      </c>
      <c r="E106" s="10">
        <v>97164</v>
      </c>
      <c r="F106" s="10">
        <v>90945</v>
      </c>
      <c r="G106" s="10">
        <v>100856</v>
      </c>
      <c r="H106" s="10">
        <v>72627</v>
      </c>
      <c r="I106" s="10">
        <v>49425</v>
      </c>
      <c r="J106" s="10">
        <v>50868</v>
      </c>
      <c r="K106" s="10">
        <v>60733</v>
      </c>
      <c r="L106" s="10">
        <v>56639</v>
      </c>
      <c r="M106" s="10">
        <v>44656</v>
      </c>
      <c r="N106" s="10">
        <v>42985</v>
      </c>
      <c r="O106" s="10">
        <v>49914</v>
      </c>
      <c r="P106" s="10">
        <v>64121</v>
      </c>
      <c r="Q106" s="6">
        <f t="shared" si="2"/>
        <v>780933</v>
      </c>
      <c r="R106" s="15">
        <f t="shared" si="3"/>
        <v>4.7734048014533847E-3</v>
      </c>
    </row>
    <row r="107" spans="1:19">
      <c r="A107" s="1" t="s">
        <v>241</v>
      </c>
      <c r="B107" s="3" t="s">
        <v>243</v>
      </c>
      <c r="C107" s="3" t="s">
        <v>244</v>
      </c>
      <c r="D107" s="6">
        <v>3348481</v>
      </c>
      <c r="E107" s="10">
        <v>459509</v>
      </c>
      <c r="F107" s="10">
        <v>438594</v>
      </c>
      <c r="G107" s="10">
        <v>497653</v>
      </c>
      <c r="H107" s="10">
        <v>426385</v>
      </c>
      <c r="I107" s="10">
        <v>235989</v>
      </c>
      <c r="J107" s="10"/>
      <c r="K107" s="10"/>
      <c r="L107" s="10"/>
      <c r="M107" s="10"/>
      <c r="N107" s="10"/>
      <c r="O107" s="10"/>
      <c r="P107" s="10"/>
      <c r="Q107" s="6">
        <f t="shared" si="2"/>
        <v>2058130</v>
      </c>
      <c r="R107" s="15">
        <f t="shared" si="3"/>
        <v>-0.38535413520339523</v>
      </c>
    </row>
    <row r="108" spans="1:19">
      <c r="A108" s="3" t="s">
        <v>341</v>
      </c>
      <c r="B108" s="3" t="s">
        <v>342</v>
      </c>
      <c r="C108" s="3" t="s">
        <v>343</v>
      </c>
      <c r="D108" s="6">
        <v>3784224</v>
      </c>
      <c r="E108" s="10">
        <v>327546</v>
      </c>
      <c r="F108" s="10">
        <v>304356</v>
      </c>
      <c r="G108" s="10">
        <v>341793</v>
      </c>
      <c r="H108" s="10">
        <v>317680</v>
      </c>
      <c r="I108" s="10">
        <v>337344</v>
      </c>
      <c r="J108" s="10">
        <v>330403</v>
      </c>
      <c r="K108" s="10">
        <v>385306</v>
      </c>
      <c r="L108" s="10">
        <v>391086</v>
      </c>
      <c r="M108" s="10">
        <v>358380</v>
      </c>
      <c r="N108" s="10">
        <v>360422</v>
      </c>
      <c r="O108" s="10">
        <v>354981</v>
      </c>
      <c r="P108" s="10">
        <v>350127</v>
      </c>
      <c r="Q108" s="6">
        <f t="shared" si="2"/>
        <v>4159424</v>
      </c>
      <c r="R108" s="15">
        <f t="shared" si="3"/>
        <v>9.9148464784325707E-2</v>
      </c>
      <c r="S108" s="20"/>
    </row>
    <row r="109" spans="1:19">
      <c r="A109" s="1" t="s">
        <v>251</v>
      </c>
      <c r="B109" s="3" t="s">
        <v>361</v>
      </c>
      <c r="C109" s="3" t="s">
        <v>252</v>
      </c>
      <c r="D109" s="6">
        <v>1976326</v>
      </c>
      <c r="E109" s="10">
        <v>185880</v>
      </c>
      <c r="F109" s="10">
        <v>141699</v>
      </c>
      <c r="G109" s="10">
        <v>178825</v>
      </c>
      <c r="H109" s="10">
        <v>166660</v>
      </c>
      <c r="I109" s="10">
        <v>167559</v>
      </c>
      <c r="J109" s="10">
        <v>175220</v>
      </c>
      <c r="K109" s="10">
        <v>180463</v>
      </c>
      <c r="L109" s="10">
        <v>170903</v>
      </c>
      <c r="M109" s="10">
        <v>152692</v>
      </c>
      <c r="N109" s="10">
        <v>150312</v>
      </c>
      <c r="O109" s="10">
        <v>162206</v>
      </c>
      <c r="P109" s="10"/>
      <c r="Q109" s="6">
        <f t="shared" si="2"/>
        <v>1832419</v>
      </c>
      <c r="R109" s="15">
        <f t="shared" si="3"/>
        <v>-7.2815416080140638E-2</v>
      </c>
    </row>
    <row r="110" spans="1:19">
      <c r="A110" s="1" t="s">
        <v>334</v>
      </c>
      <c r="B110" s="7" t="s">
        <v>335</v>
      </c>
      <c r="C110" s="7" t="s">
        <v>336</v>
      </c>
      <c r="D110" s="6">
        <v>1836244</v>
      </c>
      <c r="E110" s="10">
        <v>176565</v>
      </c>
      <c r="F110" s="10">
        <v>164622</v>
      </c>
      <c r="G110" s="10">
        <v>179500</v>
      </c>
      <c r="H110" s="10">
        <v>172592</v>
      </c>
      <c r="I110" s="10">
        <v>139370</v>
      </c>
      <c r="J110" s="10">
        <v>144616</v>
      </c>
      <c r="K110" s="10">
        <v>204972</v>
      </c>
      <c r="L110" s="10">
        <v>213185</v>
      </c>
      <c r="M110" s="10">
        <v>190643</v>
      </c>
      <c r="N110" s="10">
        <v>124778</v>
      </c>
      <c r="O110" s="10">
        <v>132290</v>
      </c>
      <c r="P110" s="10">
        <v>189887</v>
      </c>
      <c r="Q110" s="6">
        <f t="shared" si="2"/>
        <v>2033020</v>
      </c>
      <c r="R110" s="15">
        <f t="shared" si="3"/>
        <v>0.10716222898481909</v>
      </c>
    </row>
    <row r="111" spans="1:19">
      <c r="A111" s="1" t="s">
        <v>331</v>
      </c>
      <c r="B111" s="7" t="s">
        <v>332</v>
      </c>
      <c r="C111" s="7" t="s">
        <v>333</v>
      </c>
      <c r="D111" s="6">
        <v>1671430</v>
      </c>
      <c r="E111" s="10">
        <v>153746</v>
      </c>
      <c r="F111" s="10">
        <v>140873</v>
      </c>
      <c r="G111" s="10">
        <v>157303</v>
      </c>
      <c r="H111" s="10">
        <v>150388</v>
      </c>
      <c r="I111" s="10">
        <v>128156</v>
      </c>
      <c r="J111" s="10">
        <v>126381</v>
      </c>
      <c r="K111" s="10">
        <v>184838</v>
      </c>
      <c r="L111" s="10">
        <v>193893</v>
      </c>
      <c r="M111" s="10">
        <v>99457</v>
      </c>
      <c r="N111" s="10">
        <v>113946</v>
      </c>
      <c r="O111" s="10">
        <v>118818</v>
      </c>
      <c r="P111" s="10">
        <v>159751</v>
      </c>
      <c r="Q111" s="6">
        <f t="shared" si="2"/>
        <v>1727550</v>
      </c>
      <c r="R111" s="15">
        <f t="shared" si="3"/>
        <v>3.3576039678598457E-2</v>
      </c>
    </row>
    <row r="112" spans="1:19" ht="15.75">
      <c r="A112" s="1" t="s">
        <v>85</v>
      </c>
      <c r="B112" s="1" t="s">
        <v>364</v>
      </c>
      <c r="C112" s="1" t="s">
        <v>126</v>
      </c>
      <c r="D112" s="6">
        <v>736878</v>
      </c>
      <c r="E112" s="10">
        <v>65902</v>
      </c>
      <c r="F112" s="10">
        <v>58168</v>
      </c>
      <c r="G112" s="10">
        <v>62767</v>
      </c>
      <c r="H112" s="10">
        <v>53833</v>
      </c>
      <c r="I112" s="10">
        <v>39096</v>
      </c>
      <c r="J112" s="10">
        <v>37920</v>
      </c>
      <c r="K112" s="10">
        <v>54232</v>
      </c>
      <c r="L112" s="10">
        <v>54366</v>
      </c>
      <c r="M112" s="10">
        <v>36232</v>
      </c>
      <c r="N112" s="10">
        <v>43576</v>
      </c>
      <c r="O112" s="10">
        <v>47145</v>
      </c>
      <c r="P112" s="10">
        <v>52089</v>
      </c>
      <c r="Q112" s="6">
        <f t="shared" si="2"/>
        <v>605326</v>
      </c>
      <c r="R112" s="15">
        <f t="shared" si="3"/>
        <v>-0.17852616036847346</v>
      </c>
    </row>
    <row r="113" spans="1:18">
      <c r="A113" s="1" t="s">
        <v>85</v>
      </c>
      <c r="B113" s="1" t="s">
        <v>377</v>
      </c>
      <c r="C113" s="1" t="s">
        <v>121</v>
      </c>
      <c r="D113" s="6">
        <v>294100</v>
      </c>
      <c r="E113" s="10">
        <v>23700</v>
      </c>
      <c r="F113" s="10">
        <v>21400</v>
      </c>
      <c r="G113" s="10">
        <v>25000</v>
      </c>
      <c r="H113" s="10">
        <v>26000</v>
      </c>
      <c r="I113" s="10">
        <v>29200</v>
      </c>
      <c r="J113" s="10">
        <v>26500</v>
      </c>
      <c r="K113" s="10">
        <v>32100</v>
      </c>
      <c r="L113" s="10">
        <v>30300</v>
      </c>
      <c r="M113" s="10">
        <v>27100</v>
      </c>
      <c r="N113" s="10">
        <v>29200</v>
      </c>
      <c r="O113" s="10">
        <v>28600</v>
      </c>
      <c r="P113" s="10">
        <v>29500</v>
      </c>
      <c r="Q113" s="6">
        <f t="shared" si="2"/>
        <v>328600</v>
      </c>
      <c r="R113" s="15">
        <f t="shared" si="3"/>
        <v>0.11730703842230539</v>
      </c>
    </row>
    <row r="114" spans="1:18">
      <c r="A114" s="1" t="s">
        <v>85</v>
      </c>
      <c r="B114" s="1" t="s">
        <v>88</v>
      </c>
      <c r="C114" s="1" t="s">
        <v>89</v>
      </c>
      <c r="D114" s="6">
        <v>12439266</v>
      </c>
      <c r="E114" s="10">
        <v>1165194</v>
      </c>
      <c r="F114" s="10">
        <v>1096277</v>
      </c>
      <c r="G114" s="10">
        <v>1298338</v>
      </c>
      <c r="H114" s="10">
        <v>1213180</v>
      </c>
      <c r="I114" s="10">
        <v>1037981</v>
      </c>
      <c r="J114" s="10">
        <v>1033536</v>
      </c>
      <c r="K114" s="10">
        <v>1309332</v>
      </c>
      <c r="L114" s="10">
        <v>1108271</v>
      </c>
      <c r="M114" s="10">
        <v>765103</v>
      </c>
      <c r="N114" s="10">
        <v>807303</v>
      </c>
      <c r="O114" s="10">
        <v>959390</v>
      </c>
      <c r="P114" s="10">
        <v>1228576</v>
      </c>
      <c r="Q114" s="6">
        <f t="shared" si="2"/>
        <v>13022481</v>
      </c>
      <c r="R114" s="15">
        <f t="shared" si="3"/>
        <v>4.688500109250815E-2</v>
      </c>
    </row>
    <row r="115" spans="1:18" ht="15.75">
      <c r="A115" s="1" t="s">
        <v>85</v>
      </c>
      <c r="B115" s="1" t="s">
        <v>365</v>
      </c>
      <c r="C115" s="1" t="s">
        <v>129</v>
      </c>
      <c r="D115" s="6">
        <v>828123</v>
      </c>
      <c r="E115" s="10">
        <v>54569</v>
      </c>
      <c r="F115" s="10">
        <v>53005</v>
      </c>
      <c r="G115" s="10">
        <v>61055</v>
      </c>
      <c r="H115" s="10">
        <v>59740</v>
      </c>
      <c r="I115" s="10">
        <v>66371</v>
      </c>
      <c r="J115" s="10">
        <v>64272</v>
      </c>
      <c r="K115" s="10">
        <v>83791</v>
      </c>
      <c r="L115" s="10">
        <v>72999</v>
      </c>
      <c r="M115" s="10">
        <v>63143</v>
      </c>
      <c r="N115" s="10">
        <v>71553</v>
      </c>
      <c r="O115" s="10">
        <v>64699</v>
      </c>
      <c r="P115" s="10">
        <v>66936</v>
      </c>
      <c r="Q115" s="6">
        <f t="shared" si="2"/>
        <v>782133</v>
      </c>
      <c r="R115" s="15">
        <f t="shared" si="3"/>
        <v>-5.5535228462438524E-2</v>
      </c>
    </row>
    <row r="116" spans="1:18" ht="15.75">
      <c r="A116" s="1" t="s">
        <v>85</v>
      </c>
      <c r="B116" s="1" t="s">
        <v>366</v>
      </c>
      <c r="C116" s="1" t="s">
        <v>127</v>
      </c>
      <c r="D116" s="6">
        <v>633919</v>
      </c>
      <c r="E116" s="10">
        <v>50218</v>
      </c>
      <c r="F116" s="10">
        <v>37217</v>
      </c>
      <c r="G116" s="10">
        <v>50987</v>
      </c>
      <c r="H116" s="10">
        <v>50469</v>
      </c>
      <c r="I116" s="10">
        <v>62026</v>
      </c>
      <c r="J116" s="10">
        <v>58006</v>
      </c>
      <c r="K116" s="10">
        <v>73528</v>
      </c>
      <c r="L116" s="10">
        <v>62535</v>
      </c>
      <c r="M116" s="10">
        <v>53149</v>
      </c>
      <c r="N116" s="10">
        <v>58615</v>
      </c>
      <c r="O116" s="10">
        <v>55906</v>
      </c>
      <c r="P116" s="10">
        <v>60708</v>
      </c>
      <c r="Q116" s="6">
        <f t="shared" si="2"/>
        <v>673364</v>
      </c>
      <c r="R116" s="15">
        <f t="shared" si="3"/>
        <v>6.2224038086884814E-2</v>
      </c>
    </row>
    <row r="117" spans="1:18">
      <c r="A117" s="1" t="s">
        <v>85</v>
      </c>
      <c r="B117" s="1" t="s">
        <v>97</v>
      </c>
      <c r="C117" s="1" t="s">
        <v>98</v>
      </c>
      <c r="D117" s="6">
        <v>438832</v>
      </c>
      <c r="E117" s="10">
        <v>44084</v>
      </c>
      <c r="F117" s="10">
        <v>49019</v>
      </c>
      <c r="G117" s="10">
        <v>60980</v>
      </c>
      <c r="H117" s="10">
        <v>45744</v>
      </c>
      <c r="I117" s="10">
        <v>30317</v>
      </c>
      <c r="J117" s="10">
        <v>36020</v>
      </c>
      <c r="K117" s="10">
        <v>43924</v>
      </c>
      <c r="L117" s="10">
        <v>28557</v>
      </c>
      <c r="M117" s="10">
        <v>12955</v>
      </c>
      <c r="N117" s="10">
        <v>17576</v>
      </c>
      <c r="O117" s="10">
        <v>27080</v>
      </c>
      <c r="P117" s="10">
        <v>45436</v>
      </c>
      <c r="Q117" s="6">
        <f t="shared" si="2"/>
        <v>441692</v>
      </c>
      <c r="R117" s="15">
        <f t="shared" si="3"/>
        <v>6.5173004703393822E-3</v>
      </c>
    </row>
    <row r="118" spans="1:18" ht="15.75">
      <c r="A118" s="1" t="s">
        <v>85</v>
      </c>
      <c r="B118" s="1" t="s">
        <v>367</v>
      </c>
      <c r="C118" s="1" t="s">
        <v>125</v>
      </c>
      <c r="D118" s="6">
        <v>1059904</v>
      </c>
      <c r="E118" s="10">
        <v>78958</v>
      </c>
      <c r="F118" s="10">
        <v>75273</v>
      </c>
      <c r="G118" s="10">
        <v>89212</v>
      </c>
      <c r="H118" s="10">
        <v>89608</v>
      </c>
      <c r="I118" s="10">
        <v>87444</v>
      </c>
      <c r="J118" s="10">
        <v>81463</v>
      </c>
      <c r="K118" s="10">
        <v>97751</v>
      </c>
      <c r="L118" s="10">
        <v>90091</v>
      </c>
      <c r="M118" s="10">
        <v>88385</v>
      </c>
      <c r="N118" s="10">
        <v>96777</v>
      </c>
      <c r="O118" s="10">
        <v>96954</v>
      </c>
      <c r="P118" s="10">
        <v>98790</v>
      </c>
      <c r="Q118" s="6">
        <f t="shared" si="2"/>
        <v>1070706</v>
      </c>
      <c r="R118" s="15">
        <f t="shared" si="3"/>
        <v>1.019148904051681E-2</v>
      </c>
    </row>
    <row r="119" spans="1:18" ht="15.75">
      <c r="A119" s="1" t="s">
        <v>85</v>
      </c>
      <c r="B119" s="1" t="s">
        <v>368</v>
      </c>
      <c r="C119" s="1" t="s">
        <v>136</v>
      </c>
      <c r="D119" s="6">
        <v>217230</v>
      </c>
      <c r="E119" s="10">
        <v>15923</v>
      </c>
      <c r="F119" s="10">
        <v>14497</v>
      </c>
      <c r="G119" s="10">
        <v>18996</v>
      </c>
      <c r="H119" s="10">
        <v>17609</v>
      </c>
      <c r="I119" s="10">
        <v>20836</v>
      </c>
      <c r="J119" s="10">
        <v>19409</v>
      </c>
      <c r="K119" s="10">
        <v>23399</v>
      </c>
      <c r="L119" s="10">
        <v>19996</v>
      </c>
      <c r="M119" s="10">
        <v>17556</v>
      </c>
      <c r="N119" s="10">
        <v>19783</v>
      </c>
      <c r="O119" s="10">
        <v>19405</v>
      </c>
      <c r="P119" s="10">
        <v>19722</v>
      </c>
      <c r="Q119" s="6">
        <f t="shared" si="2"/>
        <v>227131</v>
      </c>
      <c r="R119" s="15">
        <f t="shared" si="3"/>
        <v>4.5578419187036756E-2</v>
      </c>
    </row>
    <row r="120" spans="1:18">
      <c r="A120" s="1" t="s">
        <v>85</v>
      </c>
      <c r="B120" s="1" t="s">
        <v>105</v>
      </c>
      <c r="C120" s="1" t="s">
        <v>106</v>
      </c>
      <c r="D120" s="6">
        <v>6953900</v>
      </c>
      <c r="E120" s="10">
        <v>550000</v>
      </c>
      <c r="F120" s="10">
        <v>491600</v>
      </c>
      <c r="G120" s="10">
        <v>564200</v>
      </c>
      <c r="H120" s="10">
        <v>574200</v>
      </c>
      <c r="I120" s="10">
        <v>621000</v>
      </c>
      <c r="J120" s="10">
        <v>599500</v>
      </c>
      <c r="K120" s="10">
        <v>698100</v>
      </c>
      <c r="L120" s="10">
        <v>659300</v>
      </c>
      <c r="M120" s="10">
        <v>556300</v>
      </c>
      <c r="N120" s="10">
        <v>618000</v>
      </c>
      <c r="O120" s="10">
        <v>607200</v>
      </c>
      <c r="P120" s="10">
        <v>661500</v>
      </c>
      <c r="Q120" s="6">
        <f t="shared" si="2"/>
        <v>7200900</v>
      </c>
      <c r="R120" s="15">
        <f t="shared" si="3"/>
        <v>3.5519636462991944E-2</v>
      </c>
    </row>
    <row r="121" spans="1:18">
      <c r="A121" s="1" t="s">
        <v>85</v>
      </c>
      <c r="B121" s="1" t="s">
        <v>113</v>
      </c>
      <c r="C121" s="1" t="s">
        <v>114</v>
      </c>
      <c r="D121" s="6">
        <v>1138400</v>
      </c>
      <c r="E121" s="10">
        <v>90100</v>
      </c>
      <c r="F121" s="10">
        <v>78700</v>
      </c>
      <c r="G121" s="10">
        <v>94900</v>
      </c>
      <c r="H121" s="10">
        <v>93800</v>
      </c>
      <c r="I121" s="10">
        <v>99700</v>
      </c>
      <c r="J121" s="10">
        <v>94400</v>
      </c>
      <c r="K121" s="10">
        <v>110000</v>
      </c>
      <c r="L121" s="10">
        <v>102900</v>
      </c>
      <c r="M121" s="10">
        <v>99100</v>
      </c>
      <c r="N121" s="10">
        <v>113100</v>
      </c>
      <c r="O121" s="10">
        <v>109900</v>
      </c>
      <c r="P121" s="10">
        <v>114400</v>
      </c>
      <c r="Q121" s="6">
        <f t="shared" si="2"/>
        <v>1201000</v>
      </c>
      <c r="R121" s="15">
        <f t="shared" si="3"/>
        <v>5.4989458889669773E-2</v>
      </c>
    </row>
    <row r="122" spans="1:18">
      <c r="A122" s="1" t="s">
        <v>85</v>
      </c>
      <c r="B122" s="1" t="s">
        <v>99</v>
      </c>
      <c r="C122" s="1" t="s">
        <v>100</v>
      </c>
      <c r="D122" s="6">
        <v>385593</v>
      </c>
      <c r="E122" s="10">
        <v>40560</v>
      </c>
      <c r="F122" s="10">
        <v>34869</v>
      </c>
      <c r="G122" s="10">
        <v>38821</v>
      </c>
      <c r="H122" s="10">
        <v>42534</v>
      </c>
      <c r="I122" s="10">
        <v>34947</v>
      </c>
      <c r="J122" s="10">
        <v>34904</v>
      </c>
      <c r="K122" s="10">
        <v>48405</v>
      </c>
      <c r="L122" s="10">
        <v>39969</v>
      </c>
      <c r="M122" s="10">
        <v>28065</v>
      </c>
      <c r="N122" s="10">
        <v>29729</v>
      </c>
      <c r="O122" s="10">
        <v>37370</v>
      </c>
      <c r="P122" s="10">
        <v>49467</v>
      </c>
      <c r="Q122" s="6">
        <f t="shared" si="2"/>
        <v>459640</v>
      </c>
      <c r="R122" s="15">
        <f t="shared" si="3"/>
        <v>0.19203408775574249</v>
      </c>
    </row>
    <row r="123" spans="1:18">
      <c r="A123" s="1" t="s">
        <v>85</v>
      </c>
      <c r="B123" s="1" t="s">
        <v>381</v>
      </c>
      <c r="C123" s="1" t="s">
        <v>120</v>
      </c>
      <c r="D123" s="6">
        <v>558800</v>
      </c>
      <c r="E123" s="10">
        <v>45300</v>
      </c>
      <c r="F123" s="10">
        <v>40800</v>
      </c>
      <c r="G123" s="10">
        <v>43500</v>
      </c>
      <c r="H123" s="10">
        <v>46000</v>
      </c>
      <c r="I123" s="10">
        <v>43800</v>
      </c>
      <c r="J123" s="10">
        <v>42900</v>
      </c>
      <c r="K123" s="10">
        <v>54800</v>
      </c>
      <c r="L123" s="10">
        <v>48200</v>
      </c>
      <c r="M123" s="10">
        <v>40400</v>
      </c>
      <c r="N123" s="10">
        <v>45300</v>
      </c>
      <c r="O123" s="10">
        <v>46500</v>
      </c>
      <c r="P123" s="10">
        <v>49000</v>
      </c>
      <c r="Q123" s="6">
        <f t="shared" si="2"/>
        <v>546500</v>
      </c>
      <c r="R123" s="15">
        <f t="shared" si="3"/>
        <v>-2.201145311381536E-2</v>
      </c>
    </row>
    <row r="124" spans="1:18">
      <c r="A124" s="1" t="s">
        <v>85</v>
      </c>
      <c r="B124" s="1" t="s">
        <v>380</v>
      </c>
      <c r="C124" s="1" t="s">
        <v>115</v>
      </c>
      <c r="D124" s="6">
        <v>853700</v>
      </c>
      <c r="E124" s="10">
        <v>72500</v>
      </c>
      <c r="F124" s="10">
        <v>58300</v>
      </c>
      <c r="G124" s="10">
        <v>66900</v>
      </c>
      <c r="H124" s="10">
        <v>68700</v>
      </c>
      <c r="I124" s="10">
        <v>69100</v>
      </c>
      <c r="J124" s="10">
        <v>71200</v>
      </c>
      <c r="K124" s="10">
        <v>88000</v>
      </c>
      <c r="L124" s="10">
        <v>78100</v>
      </c>
      <c r="M124" s="10">
        <v>63100</v>
      </c>
      <c r="N124" s="10">
        <v>68600</v>
      </c>
      <c r="O124" s="10">
        <v>70500</v>
      </c>
      <c r="P124" s="10">
        <v>79200</v>
      </c>
      <c r="Q124" s="6">
        <f t="shared" si="2"/>
        <v>854200</v>
      </c>
      <c r="R124" s="15">
        <f t="shared" si="3"/>
        <v>5.8568583811635655E-4</v>
      </c>
    </row>
    <row r="125" spans="1:18">
      <c r="A125" s="1" t="s">
        <v>85</v>
      </c>
      <c r="B125" s="1" t="s">
        <v>379</v>
      </c>
      <c r="C125" s="1" t="s">
        <v>123</v>
      </c>
      <c r="D125" s="6">
        <v>243400</v>
      </c>
      <c r="E125" s="10">
        <v>20800</v>
      </c>
      <c r="F125" s="10">
        <v>17300</v>
      </c>
      <c r="G125" s="10">
        <v>19000</v>
      </c>
      <c r="H125" s="10">
        <v>21700</v>
      </c>
      <c r="I125" s="10">
        <v>20600</v>
      </c>
      <c r="J125" s="10">
        <v>15200</v>
      </c>
      <c r="K125" s="10">
        <v>18600</v>
      </c>
      <c r="L125" s="10">
        <v>16600</v>
      </c>
      <c r="M125" s="10">
        <v>12700</v>
      </c>
      <c r="N125" s="10">
        <v>14200</v>
      </c>
      <c r="O125" s="10">
        <v>13900</v>
      </c>
      <c r="P125" s="10">
        <v>15300</v>
      </c>
      <c r="Q125" s="6">
        <f t="shared" ref="Q125:Q191" si="4">SUM(E125:P125)</f>
        <v>205900</v>
      </c>
      <c r="R125" s="15">
        <f t="shared" si="3"/>
        <v>-0.15406737880032872</v>
      </c>
    </row>
    <row r="126" spans="1:18">
      <c r="A126" s="1" t="s">
        <v>85</v>
      </c>
      <c r="B126" s="1" t="s">
        <v>378</v>
      </c>
      <c r="C126" s="1" t="s">
        <v>122</v>
      </c>
      <c r="D126" s="6">
        <v>159700</v>
      </c>
      <c r="E126" s="10">
        <v>23700</v>
      </c>
      <c r="F126" s="10">
        <v>20700</v>
      </c>
      <c r="G126" s="10">
        <v>23100</v>
      </c>
      <c r="H126" s="10">
        <v>13500</v>
      </c>
      <c r="I126" s="10">
        <v>9900</v>
      </c>
      <c r="J126" s="10">
        <v>8300</v>
      </c>
      <c r="K126" s="10">
        <v>8900</v>
      </c>
      <c r="L126" s="10">
        <v>8000</v>
      </c>
      <c r="M126" s="10">
        <v>6400</v>
      </c>
      <c r="N126" s="10">
        <v>6300</v>
      </c>
      <c r="O126" s="10">
        <v>12400</v>
      </c>
      <c r="P126" s="10">
        <v>16000</v>
      </c>
      <c r="Q126" s="6">
        <f t="shared" si="4"/>
        <v>157200</v>
      </c>
      <c r="R126" s="15">
        <f t="shared" si="3"/>
        <v>-1.5654351909830888E-2</v>
      </c>
    </row>
    <row r="127" spans="1:18" ht="15.75">
      <c r="A127" s="1" t="s">
        <v>85</v>
      </c>
      <c r="B127" s="1" t="s">
        <v>369</v>
      </c>
      <c r="C127" s="1" t="s">
        <v>128</v>
      </c>
      <c r="D127" s="6">
        <v>756122</v>
      </c>
      <c r="E127" s="10">
        <v>68094</v>
      </c>
      <c r="F127" s="10">
        <v>14497</v>
      </c>
      <c r="G127" s="10">
        <v>72195</v>
      </c>
      <c r="H127" s="10">
        <v>65731</v>
      </c>
      <c r="I127" s="10">
        <v>53887</v>
      </c>
      <c r="J127" s="10">
        <v>51596</v>
      </c>
      <c r="K127" s="10">
        <v>70955</v>
      </c>
      <c r="L127" s="10">
        <v>58843</v>
      </c>
      <c r="M127" s="10">
        <v>44654</v>
      </c>
      <c r="N127" s="10">
        <v>49373</v>
      </c>
      <c r="O127" s="10">
        <v>58043</v>
      </c>
      <c r="P127" s="10">
        <v>67726</v>
      </c>
      <c r="Q127" s="6">
        <f t="shared" si="4"/>
        <v>675594</v>
      </c>
      <c r="R127" s="15">
        <f t="shared" si="3"/>
        <v>-0.10650133179566257</v>
      </c>
    </row>
    <row r="128" spans="1:18">
      <c r="A128" s="1" t="s">
        <v>85</v>
      </c>
      <c r="B128" s="1" t="s">
        <v>488</v>
      </c>
      <c r="C128" s="1" t="s">
        <v>90</v>
      </c>
      <c r="D128" s="6">
        <v>1135657</v>
      </c>
      <c r="E128" s="10">
        <v>89887</v>
      </c>
      <c r="F128" s="10">
        <v>82477</v>
      </c>
      <c r="G128" s="10">
        <v>96906</v>
      </c>
      <c r="H128" s="10">
        <v>102669</v>
      </c>
      <c r="I128" s="10">
        <v>113826</v>
      </c>
      <c r="J128" s="10">
        <v>93227</v>
      </c>
      <c r="K128" s="10">
        <v>114721</v>
      </c>
      <c r="L128" s="10">
        <v>105386</v>
      </c>
      <c r="M128" s="10">
        <v>90865</v>
      </c>
      <c r="N128" s="10">
        <v>105912</v>
      </c>
      <c r="O128" s="10">
        <v>110616</v>
      </c>
      <c r="P128" s="10">
        <v>119101</v>
      </c>
      <c r="Q128" s="6">
        <f t="shared" si="4"/>
        <v>1225593</v>
      </c>
      <c r="R128" s="15">
        <f t="shared" si="3"/>
        <v>7.9192925328686492E-2</v>
      </c>
    </row>
    <row r="129" spans="1:18">
      <c r="A129" s="1" t="s">
        <v>85</v>
      </c>
      <c r="B129" s="1" t="s">
        <v>116</v>
      </c>
      <c r="C129" s="1" t="s">
        <v>117</v>
      </c>
      <c r="D129" s="6">
        <v>461400</v>
      </c>
      <c r="E129" s="10">
        <v>39300</v>
      </c>
      <c r="F129" s="10">
        <v>35200</v>
      </c>
      <c r="G129" s="10">
        <v>42300</v>
      </c>
      <c r="H129" s="10">
        <v>42400</v>
      </c>
      <c r="I129" s="10">
        <v>38800</v>
      </c>
      <c r="J129" s="10">
        <v>39300</v>
      </c>
      <c r="K129" s="10">
        <v>48900</v>
      </c>
      <c r="L129" s="10">
        <v>45600</v>
      </c>
      <c r="M129" s="10">
        <v>33700</v>
      </c>
      <c r="N129" s="10">
        <v>41700</v>
      </c>
      <c r="O129" s="10">
        <v>40800</v>
      </c>
      <c r="P129" s="10">
        <v>45000</v>
      </c>
      <c r="Q129" s="6">
        <f t="shared" si="4"/>
        <v>493000</v>
      </c>
      <c r="R129" s="15">
        <f t="shared" si="3"/>
        <v>6.8487212830515842E-2</v>
      </c>
    </row>
    <row r="130" spans="1:18">
      <c r="A130" s="1" t="s">
        <v>85</v>
      </c>
      <c r="B130" s="1" t="s">
        <v>86</v>
      </c>
      <c r="C130" s="1" t="s">
        <v>87</v>
      </c>
      <c r="D130" s="6">
        <v>24130535</v>
      </c>
      <c r="E130" s="10">
        <v>1873394</v>
      </c>
      <c r="F130" s="10">
        <v>1667876</v>
      </c>
      <c r="G130" s="10">
        <v>2029011</v>
      </c>
      <c r="H130" s="10">
        <v>2076700</v>
      </c>
      <c r="I130" s="10">
        <v>2224286</v>
      </c>
      <c r="J130" s="10">
        <v>2130152</v>
      </c>
      <c r="K130" s="10">
        <v>2588100</v>
      </c>
      <c r="L130" s="10">
        <v>2426906</v>
      </c>
      <c r="M130" s="10">
        <v>2134679</v>
      </c>
      <c r="N130" s="10">
        <v>2315024</v>
      </c>
      <c r="O130" s="10">
        <v>2338540</v>
      </c>
      <c r="P130" s="10">
        <v>2564193</v>
      </c>
      <c r="Q130" s="6">
        <f t="shared" si="4"/>
        <v>26368861</v>
      </c>
      <c r="R130" s="15">
        <f t="shared" si="3"/>
        <v>9.27590706132293E-2</v>
      </c>
    </row>
    <row r="131" spans="1:18">
      <c r="A131" s="1" t="s">
        <v>85</v>
      </c>
      <c r="B131" s="1" t="s">
        <v>103</v>
      </c>
      <c r="C131" s="1" t="s">
        <v>104</v>
      </c>
      <c r="D131" s="6">
        <v>120975</v>
      </c>
      <c r="E131" s="10">
        <v>7777</v>
      </c>
      <c r="F131" s="10">
        <v>7753</v>
      </c>
      <c r="G131" s="10">
        <v>9418</v>
      </c>
      <c r="H131" s="10">
        <v>8200</v>
      </c>
      <c r="I131" s="10">
        <v>9391</v>
      </c>
      <c r="J131" s="10">
        <v>9978</v>
      </c>
      <c r="K131" s="10">
        <v>7845</v>
      </c>
      <c r="L131" s="10">
        <v>8398</v>
      </c>
      <c r="M131" s="10">
        <v>9592</v>
      </c>
      <c r="N131" s="10">
        <v>10351</v>
      </c>
      <c r="O131" s="10">
        <v>10491</v>
      </c>
      <c r="P131" s="10">
        <v>9327</v>
      </c>
      <c r="Q131" s="6">
        <f t="shared" si="4"/>
        <v>108521</v>
      </c>
      <c r="R131" s="15">
        <f t="shared" si="3"/>
        <v>-0.10294688985327549</v>
      </c>
    </row>
    <row r="132" spans="1:18" ht="15.75">
      <c r="A132" s="1" t="s">
        <v>85</v>
      </c>
      <c r="B132" s="1" t="s">
        <v>370</v>
      </c>
      <c r="C132" s="1" t="s">
        <v>124</v>
      </c>
      <c r="D132" s="6">
        <v>5380412</v>
      </c>
      <c r="E132" s="10">
        <v>393443</v>
      </c>
      <c r="F132" s="10">
        <v>370523</v>
      </c>
      <c r="G132" s="10">
        <v>439877</v>
      </c>
      <c r="H132" s="10">
        <v>444982</v>
      </c>
      <c r="I132" s="10">
        <v>485521</v>
      </c>
      <c r="J132" s="10">
        <v>480622</v>
      </c>
      <c r="K132" s="10">
        <v>578674</v>
      </c>
      <c r="L132" s="10">
        <v>533591</v>
      </c>
      <c r="M132" s="10">
        <v>454179</v>
      </c>
      <c r="N132" s="10">
        <v>464985</v>
      </c>
      <c r="O132" s="10">
        <v>453047</v>
      </c>
      <c r="P132" s="10">
        <v>483350</v>
      </c>
      <c r="Q132" s="6">
        <f t="shared" si="4"/>
        <v>5582794</v>
      </c>
      <c r="R132" s="15">
        <f t="shared" ref="R132:R198" si="5">Q132/D132-1</f>
        <v>3.7614591596331293E-2</v>
      </c>
    </row>
    <row r="133" spans="1:18">
      <c r="A133" s="1" t="s">
        <v>85</v>
      </c>
      <c r="B133" s="1" t="s">
        <v>118</v>
      </c>
      <c r="C133" s="1" t="s">
        <v>119</v>
      </c>
      <c r="D133" s="6">
        <v>429900</v>
      </c>
      <c r="E133" s="10">
        <v>32300</v>
      </c>
      <c r="F133" s="10">
        <v>27800</v>
      </c>
      <c r="G133" s="10">
        <v>29900</v>
      </c>
      <c r="H133" s="10">
        <v>28000</v>
      </c>
      <c r="I133" s="10">
        <v>27300</v>
      </c>
      <c r="J133" s="10">
        <v>29500</v>
      </c>
      <c r="K133" s="10">
        <v>39600</v>
      </c>
      <c r="L133" s="10">
        <v>34500</v>
      </c>
      <c r="M133" s="10">
        <v>27400</v>
      </c>
      <c r="N133" s="10">
        <v>29800</v>
      </c>
      <c r="O133" s="10">
        <v>30100</v>
      </c>
      <c r="P133" s="10">
        <v>40000</v>
      </c>
      <c r="Q133" s="6">
        <f t="shared" si="4"/>
        <v>376200</v>
      </c>
      <c r="R133" s="15">
        <f t="shared" si="5"/>
        <v>-0.12491277041172366</v>
      </c>
    </row>
    <row r="134" spans="1:18">
      <c r="A134" s="1" t="s">
        <v>85</v>
      </c>
      <c r="B134" s="1" t="s">
        <v>95</v>
      </c>
      <c r="C134" s="1" t="s">
        <v>96</v>
      </c>
      <c r="D134" s="6">
        <v>446676</v>
      </c>
      <c r="E134" s="10">
        <v>30705</v>
      </c>
      <c r="F134" s="10">
        <v>24113</v>
      </c>
      <c r="G134" s="10">
        <v>28064</v>
      </c>
      <c r="H134" s="10">
        <v>30722</v>
      </c>
      <c r="I134" s="10">
        <v>30498</v>
      </c>
      <c r="J134" s="10">
        <v>31468</v>
      </c>
      <c r="K134" s="10">
        <v>38958</v>
      </c>
      <c r="L134" s="10">
        <v>37964</v>
      </c>
      <c r="M134" s="10">
        <v>34674</v>
      </c>
      <c r="N134" s="10">
        <v>37925</v>
      </c>
      <c r="O134" s="10">
        <v>36754</v>
      </c>
      <c r="P134" s="10">
        <v>39475</v>
      </c>
      <c r="Q134" s="6">
        <f t="shared" si="4"/>
        <v>401320</v>
      </c>
      <c r="R134" s="15">
        <f t="shared" si="5"/>
        <v>-0.10154116182646933</v>
      </c>
    </row>
    <row r="135" spans="1:18">
      <c r="A135" s="1" t="s">
        <v>85</v>
      </c>
      <c r="B135" s="1" t="s">
        <v>109</v>
      </c>
      <c r="C135" s="1" t="s">
        <v>110</v>
      </c>
      <c r="D135" s="6">
        <v>2735400</v>
      </c>
      <c r="E135" s="10">
        <v>309400</v>
      </c>
      <c r="F135" s="10">
        <v>288300</v>
      </c>
      <c r="G135" s="10">
        <v>315200</v>
      </c>
      <c r="H135" s="10">
        <v>244600</v>
      </c>
      <c r="I135" s="10">
        <v>164300</v>
      </c>
      <c r="J135" s="10">
        <v>151000</v>
      </c>
      <c r="K135" s="10">
        <v>180900</v>
      </c>
      <c r="L135" s="10">
        <v>149000</v>
      </c>
      <c r="M135" s="10">
        <v>107600</v>
      </c>
      <c r="N135" s="10">
        <v>144100</v>
      </c>
      <c r="O135" s="10">
        <v>210500</v>
      </c>
      <c r="P135" s="10">
        <v>269700</v>
      </c>
      <c r="Q135" s="6">
        <f t="shared" si="4"/>
        <v>2534600</v>
      </c>
      <c r="R135" s="15">
        <f t="shared" si="5"/>
        <v>-7.3407911091613709E-2</v>
      </c>
    </row>
    <row r="136" spans="1:18" ht="15.75">
      <c r="A136" s="1" t="s">
        <v>85</v>
      </c>
      <c r="B136" s="1" t="s">
        <v>371</v>
      </c>
      <c r="C136" s="1" t="s">
        <v>135</v>
      </c>
      <c r="D136" s="6">
        <v>198138</v>
      </c>
      <c r="E136" s="10">
        <v>11988</v>
      </c>
      <c r="F136" s="10">
        <v>11595</v>
      </c>
      <c r="G136" s="10">
        <v>15497</v>
      </c>
      <c r="H136" s="10">
        <v>16650</v>
      </c>
      <c r="I136" s="10">
        <v>18838</v>
      </c>
      <c r="J136" s="10">
        <v>19440</v>
      </c>
      <c r="K136" s="10">
        <v>19918</v>
      </c>
      <c r="L136" s="10">
        <v>19993</v>
      </c>
      <c r="M136" s="10">
        <v>18991</v>
      </c>
      <c r="N136" s="10">
        <v>21073</v>
      </c>
      <c r="O136" s="10">
        <v>21074</v>
      </c>
      <c r="P136" s="10">
        <v>21542</v>
      </c>
      <c r="Q136" s="6">
        <f t="shared" si="4"/>
        <v>216599</v>
      </c>
      <c r="R136" s="15">
        <f t="shared" si="5"/>
        <v>9.3172435373325646E-2</v>
      </c>
    </row>
    <row r="137" spans="1:18">
      <c r="A137" s="1" t="s">
        <v>85</v>
      </c>
      <c r="B137" s="1" t="s">
        <v>111</v>
      </c>
      <c r="C137" s="1" t="s">
        <v>112</v>
      </c>
      <c r="D137" s="6">
        <v>2745600</v>
      </c>
      <c r="E137" s="10">
        <v>237500</v>
      </c>
      <c r="F137" s="10">
        <v>228200</v>
      </c>
      <c r="G137" s="10">
        <v>278800</v>
      </c>
      <c r="H137" s="10">
        <v>267700</v>
      </c>
      <c r="I137" s="10">
        <v>222000</v>
      </c>
      <c r="J137" s="10">
        <v>226100</v>
      </c>
      <c r="K137" s="10">
        <v>269800</v>
      </c>
      <c r="L137" s="10">
        <v>226300</v>
      </c>
      <c r="M137" s="10">
        <v>155500</v>
      </c>
      <c r="N137" s="10">
        <v>209800</v>
      </c>
      <c r="O137" s="10">
        <v>229300</v>
      </c>
      <c r="P137" s="10">
        <v>255600</v>
      </c>
      <c r="Q137" s="6">
        <f t="shared" si="4"/>
        <v>2806600</v>
      </c>
      <c r="R137" s="15">
        <f t="shared" si="5"/>
        <v>2.2217365967365899E-2</v>
      </c>
    </row>
    <row r="138" spans="1:18" ht="15.75">
      <c r="A138" s="1" t="s">
        <v>85</v>
      </c>
      <c r="B138" s="1" t="s">
        <v>372</v>
      </c>
      <c r="C138" s="1" t="s">
        <v>134</v>
      </c>
      <c r="D138" s="6">
        <v>222854</v>
      </c>
      <c r="E138" s="10">
        <v>16304</v>
      </c>
      <c r="F138" s="10">
        <v>17180</v>
      </c>
      <c r="G138" s="10">
        <v>19282</v>
      </c>
      <c r="H138" s="10">
        <v>19196</v>
      </c>
      <c r="I138" s="10">
        <v>21427</v>
      </c>
      <c r="J138" s="10">
        <v>21730</v>
      </c>
      <c r="K138" s="10">
        <v>22387</v>
      </c>
      <c r="L138" s="10">
        <v>23755</v>
      </c>
      <c r="M138" s="10">
        <v>21095</v>
      </c>
      <c r="N138" s="10">
        <v>23266</v>
      </c>
      <c r="O138" s="10">
        <v>22872</v>
      </c>
      <c r="P138" s="10">
        <v>20151</v>
      </c>
      <c r="Q138" s="6">
        <f t="shared" si="4"/>
        <v>248645</v>
      </c>
      <c r="R138" s="15">
        <f t="shared" si="5"/>
        <v>0.11573047825033433</v>
      </c>
    </row>
    <row r="139" spans="1:18" ht="15.75">
      <c r="A139" s="1" t="s">
        <v>85</v>
      </c>
      <c r="B139" s="1" t="s">
        <v>373</v>
      </c>
      <c r="C139" s="1" t="s">
        <v>131</v>
      </c>
      <c r="D139" s="6">
        <v>433808</v>
      </c>
      <c r="E139" s="10">
        <v>33345</v>
      </c>
      <c r="F139" s="10">
        <v>33287</v>
      </c>
      <c r="G139" s="10">
        <v>40672</v>
      </c>
      <c r="H139" s="10">
        <v>44775</v>
      </c>
      <c r="I139" s="10">
        <v>48187</v>
      </c>
      <c r="J139" s="10">
        <v>45942</v>
      </c>
      <c r="K139" s="10">
        <v>55338</v>
      </c>
      <c r="L139" s="10">
        <v>50495</v>
      </c>
      <c r="M139" s="10">
        <v>46109</v>
      </c>
      <c r="N139" s="10">
        <v>49767</v>
      </c>
      <c r="O139" s="10">
        <v>47476</v>
      </c>
      <c r="P139" s="10">
        <v>52690</v>
      </c>
      <c r="Q139" s="6">
        <f t="shared" si="4"/>
        <v>548083</v>
      </c>
      <c r="R139" s="15">
        <f t="shared" si="5"/>
        <v>0.26342298897207983</v>
      </c>
    </row>
    <row r="140" spans="1:18">
      <c r="A140" s="1" t="s">
        <v>85</v>
      </c>
      <c r="B140" s="1" t="s">
        <v>101</v>
      </c>
      <c r="C140" s="1" t="s">
        <v>102</v>
      </c>
      <c r="D140" s="6">
        <v>185159</v>
      </c>
      <c r="E140" s="10">
        <v>12525</v>
      </c>
      <c r="F140" s="10">
        <v>11842</v>
      </c>
      <c r="G140" s="10">
        <v>14063</v>
      </c>
      <c r="H140" s="10">
        <v>14818</v>
      </c>
      <c r="I140" s="10">
        <v>14253</v>
      </c>
      <c r="J140" s="10">
        <v>13716</v>
      </c>
      <c r="K140" s="10">
        <v>14380</v>
      </c>
      <c r="L140" s="10">
        <v>13014</v>
      </c>
      <c r="M140" s="10">
        <v>11999</v>
      </c>
      <c r="N140" s="10">
        <v>13863</v>
      </c>
      <c r="O140" s="10">
        <v>12893</v>
      </c>
      <c r="P140" s="10">
        <v>14526</v>
      </c>
      <c r="Q140" s="6">
        <f t="shared" si="4"/>
        <v>161892</v>
      </c>
      <c r="R140" s="15">
        <f t="shared" si="5"/>
        <v>-0.12565956826295244</v>
      </c>
    </row>
    <row r="141" spans="1:18">
      <c r="A141" s="1" t="s">
        <v>85</v>
      </c>
      <c r="B141" s="1" t="s">
        <v>107</v>
      </c>
      <c r="C141" s="1" t="s">
        <v>108</v>
      </c>
      <c r="D141" s="6">
        <v>3649500</v>
      </c>
      <c r="E141" s="10">
        <v>297600</v>
      </c>
      <c r="F141" s="10">
        <v>250100</v>
      </c>
      <c r="G141" s="10">
        <v>283000</v>
      </c>
      <c r="H141" s="10">
        <v>285400</v>
      </c>
      <c r="I141" s="10">
        <v>276800</v>
      </c>
      <c r="J141" s="10">
        <v>275500</v>
      </c>
      <c r="K141" s="10">
        <v>353500</v>
      </c>
      <c r="L141" s="10">
        <v>316800</v>
      </c>
      <c r="M141" s="10">
        <v>249300</v>
      </c>
      <c r="N141" s="10">
        <v>273600</v>
      </c>
      <c r="O141" s="10">
        <v>295000</v>
      </c>
      <c r="P141" s="10">
        <v>344100</v>
      </c>
      <c r="Q141" s="6">
        <f t="shared" si="4"/>
        <v>3500700</v>
      </c>
      <c r="R141" s="15">
        <f t="shared" si="5"/>
        <v>-4.0772708590217865E-2</v>
      </c>
    </row>
    <row r="142" spans="1:18" ht="15.75">
      <c r="A142" s="1" t="s">
        <v>85</v>
      </c>
      <c r="B142" s="1" t="s">
        <v>374</v>
      </c>
      <c r="C142" s="1" t="s">
        <v>132</v>
      </c>
      <c r="D142" s="6">
        <v>338003</v>
      </c>
      <c r="E142" s="10">
        <v>23872</v>
      </c>
      <c r="F142" s="10">
        <v>21949</v>
      </c>
      <c r="G142" s="10">
        <v>32099</v>
      </c>
      <c r="H142" s="10">
        <v>29854</v>
      </c>
      <c r="I142" s="10">
        <v>32579</v>
      </c>
      <c r="J142" s="10">
        <v>32828</v>
      </c>
      <c r="K142" s="10">
        <v>35536</v>
      </c>
      <c r="L142" s="10">
        <v>32699</v>
      </c>
      <c r="M142" s="10">
        <v>33231</v>
      </c>
      <c r="N142" s="10">
        <v>35884</v>
      </c>
      <c r="O142" s="10">
        <v>31949</v>
      </c>
      <c r="P142" s="10">
        <v>33189</v>
      </c>
      <c r="Q142" s="6">
        <f t="shared" si="4"/>
        <v>375669</v>
      </c>
      <c r="R142" s="15">
        <f t="shared" si="5"/>
        <v>0.11143688073774483</v>
      </c>
    </row>
    <row r="143" spans="1:18">
      <c r="A143" s="1" t="s">
        <v>85</v>
      </c>
      <c r="B143" s="1" t="s">
        <v>91</v>
      </c>
      <c r="C143" s="1" t="s">
        <v>92</v>
      </c>
      <c r="D143" s="6">
        <v>834199</v>
      </c>
      <c r="E143" s="10">
        <v>60907</v>
      </c>
      <c r="F143" s="10">
        <v>56795</v>
      </c>
      <c r="G143" s="10">
        <v>74800</v>
      </c>
      <c r="H143" s="10">
        <v>71753</v>
      </c>
      <c r="I143" s="10">
        <v>78299</v>
      </c>
      <c r="J143" s="10">
        <v>72217</v>
      </c>
      <c r="K143" s="10">
        <v>84601</v>
      </c>
      <c r="L143" s="10">
        <v>79699</v>
      </c>
      <c r="M143" s="10">
        <v>69144</v>
      </c>
      <c r="N143" s="10">
        <v>74501</v>
      </c>
      <c r="O143" s="10">
        <v>70587</v>
      </c>
      <c r="P143" s="10">
        <v>74135</v>
      </c>
      <c r="Q143" s="6">
        <f t="shared" si="4"/>
        <v>867438</v>
      </c>
      <c r="R143" s="15">
        <f t="shared" si="5"/>
        <v>3.9845408589557207E-2</v>
      </c>
    </row>
    <row r="144" spans="1:18">
      <c r="A144" s="1" t="s">
        <v>85</v>
      </c>
      <c r="B144" s="1" t="s">
        <v>93</v>
      </c>
      <c r="C144" s="1" t="s">
        <v>94</v>
      </c>
      <c r="D144" s="6">
        <v>728781</v>
      </c>
      <c r="E144" s="10">
        <v>60753</v>
      </c>
      <c r="F144" s="10">
        <v>55563</v>
      </c>
      <c r="G144" s="10">
        <v>68820</v>
      </c>
      <c r="H144" s="10">
        <v>66497</v>
      </c>
      <c r="I144" s="10">
        <v>70641</v>
      </c>
      <c r="J144" s="10">
        <v>66013</v>
      </c>
      <c r="K144" s="10">
        <v>79434</v>
      </c>
      <c r="L144" s="10">
        <v>76017</v>
      </c>
      <c r="M144" s="10">
        <v>72486</v>
      </c>
      <c r="N144" s="10">
        <v>74411</v>
      </c>
      <c r="O144" s="10">
        <v>75851</v>
      </c>
      <c r="P144" s="10">
        <v>84778</v>
      </c>
      <c r="Q144" s="6">
        <f t="shared" si="4"/>
        <v>851264</v>
      </c>
      <c r="R144" s="15">
        <f t="shared" si="5"/>
        <v>0.16806557799942645</v>
      </c>
    </row>
    <row r="145" spans="1:18" ht="15.75">
      <c r="A145" s="1" t="s">
        <v>85</v>
      </c>
      <c r="B145" s="1" t="s">
        <v>375</v>
      </c>
      <c r="C145" s="1" t="s">
        <v>133</v>
      </c>
      <c r="D145" s="6">
        <v>268577</v>
      </c>
      <c r="E145" s="10">
        <v>16931</v>
      </c>
      <c r="F145" s="10">
        <v>15204</v>
      </c>
      <c r="G145" s="10">
        <v>18820</v>
      </c>
      <c r="H145" s="10">
        <v>20095</v>
      </c>
      <c r="I145" s="10">
        <v>20099</v>
      </c>
      <c r="J145" s="10">
        <v>19968</v>
      </c>
      <c r="K145" s="10">
        <v>23251</v>
      </c>
      <c r="L145" s="10">
        <v>22229</v>
      </c>
      <c r="M145" s="10">
        <v>21425</v>
      </c>
      <c r="N145" s="10">
        <v>21948</v>
      </c>
      <c r="O145" s="10">
        <v>20513</v>
      </c>
      <c r="P145" s="10">
        <v>27546</v>
      </c>
      <c r="Q145" s="6">
        <f t="shared" si="4"/>
        <v>248029</v>
      </c>
      <c r="R145" s="15">
        <f t="shared" si="5"/>
        <v>-7.650692352658639E-2</v>
      </c>
    </row>
    <row r="146" spans="1:18" ht="15.75">
      <c r="A146" s="1" t="s">
        <v>85</v>
      </c>
      <c r="B146" s="1" t="s">
        <v>376</v>
      </c>
      <c r="C146" s="1" t="s">
        <v>130</v>
      </c>
      <c r="D146" s="6">
        <v>496523</v>
      </c>
      <c r="E146" s="10">
        <v>60883</v>
      </c>
      <c r="F146" s="10">
        <v>53259</v>
      </c>
      <c r="G146" s="10">
        <v>57125</v>
      </c>
      <c r="H146" s="10">
        <v>47904</v>
      </c>
      <c r="I146" s="10">
        <v>31029</v>
      </c>
      <c r="J146" s="10">
        <v>30575</v>
      </c>
      <c r="K146" s="10">
        <v>35487</v>
      </c>
      <c r="L146" s="10">
        <v>32941</v>
      </c>
      <c r="M146" s="10">
        <v>21552</v>
      </c>
      <c r="N146" s="10">
        <v>26077</v>
      </c>
      <c r="O146" s="10">
        <v>35065</v>
      </c>
      <c r="P146" s="10">
        <v>48716</v>
      </c>
      <c r="Q146" s="6">
        <f t="shared" si="4"/>
        <v>480613</v>
      </c>
      <c r="R146" s="15">
        <f t="shared" si="5"/>
        <v>-3.2042825810687514E-2</v>
      </c>
    </row>
    <row r="147" spans="1:18">
      <c r="A147" s="1" t="s">
        <v>512</v>
      </c>
      <c r="B147" s="1" t="s">
        <v>513</v>
      </c>
      <c r="C147" s="1" t="s">
        <v>514</v>
      </c>
      <c r="D147" s="6">
        <v>5042410</v>
      </c>
      <c r="E147" s="10">
        <v>505344</v>
      </c>
      <c r="F147" s="10">
        <v>437979</v>
      </c>
      <c r="G147" s="10">
        <v>481220</v>
      </c>
      <c r="H147" s="10">
        <v>433622</v>
      </c>
      <c r="I147" s="10">
        <v>451908</v>
      </c>
      <c r="J147" s="10">
        <v>462424</v>
      </c>
      <c r="K147" s="10">
        <v>535604</v>
      </c>
      <c r="L147" s="10">
        <v>499392</v>
      </c>
      <c r="M147" s="10">
        <v>463078</v>
      </c>
      <c r="N147" s="10">
        <v>507678</v>
      </c>
      <c r="O147" s="10">
        <v>507726</v>
      </c>
      <c r="P147" s="10">
        <v>558586</v>
      </c>
      <c r="Q147" s="6">
        <f t="shared" si="4"/>
        <v>5844561</v>
      </c>
      <c r="R147" s="15">
        <f t="shared" si="5"/>
        <v>0.15908087600968579</v>
      </c>
    </row>
    <row r="148" spans="1:18">
      <c r="A148" s="1" t="s">
        <v>414</v>
      </c>
      <c r="B148" s="1" t="s">
        <v>415</v>
      </c>
      <c r="C148" s="1" t="s">
        <v>416</v>
      </c>
      <c r="D148" s="6">
        <v>733810</v>
      </c>
      <c r="E148" s="10">
        <v>74138</v>
      </c>
      <c r="F148" s="10">
        <v>62159</v>
      </c>
      <c r="G148" s="10">
        <v>61851</v>
      </c>
      <c r="H148" s="10">
        <v>65838</v>
      </c>
      <c r="I148" s="10">
        <v>68179</v>
      </c>
      <c r="J148" s="10">
        <v>57823</v>
      </c>
      <c r="K148" s="10">
        <v>75636</v>
      </c>
      <c r="L148" s="10">
        <v>70203</v>
      </c>
      <c r="M148" s="10">
        <v>66561</v>
      </c>
      <c r="N148" s="10">
        <v>70063</v>
      </c>
      <c r="O148" s="10">
        <v>71252</v>
      </c>
      <c r="P148" s="10">
        <v>79504</v>
      </c>
      <c r="Q148" s="6">
        <f t="shared" si="4"/>
        <v>823207</v>
      </c>
      <c r="R148" s="15">
        <f t="shared" si="5"/>
        <v>0.12182581322140607</v>
      </c>
    </row>
    <row r="149" spans="1:18">
      <c r="A149" s="1" t="s">
        <v>414</v>
      </c>
      <c r="B149" s="1" t="s">
        <v>508</v>
      </c>
      <c r="C149" s="1" t="s">
        <v>509</v>
      </c>
      <c r="D149" s="6">
        <v>45566</v>
      </c>
      <c r="E149" s="10">
        <v>3294</v>
      </c>
      <c r="F149" s="10">
        <v>4533</v>
      </c>
      <c r="G149" s="10">
        <v>4607</v>
      </c>
      <c r="H149" s="10">
        <v>4473</v>
      </c>
      <c r="I149" s="10">
        <v>5020</v>
      </c>
      <c r="J149" s="10">
        <v>4524</v>
      </c>
      <c r="K149" s="10">
        <v>4014</v>
      </c>
      <c r="L149" s="10">
        <v>5190</v>
      </c>
      <c r="M149" s="10">
        <v>5299</v>
      </c>
      <c r="N149" s="10">
        <v>6489</v>
      </c>
      <c r="O149" s="10">
        <v>5756</v>
      </c>
      <c r="P149" s="10">
        <v>5956</v>
      </c>
      <c r="Q149" s="6">
        <f t="shared" si="4"/>
        <v>59155</v>
      </c>
      <c r="R149" s="15">
        <f t="shared" si="5"/>
        <v>0.29822674801387006</v>
      </c>
    </row>
    <row r="150" spans="1:18">
      <c r="A150" s="1" t="s">
        <v>253</v>
      </c>
      <c r="B150" s="7" t="s">
        <v>304</v>
      </c>
      <c r="C150" s="7" t="s">
        <v>305</v>
      </c>
      <c r="D150" s="6">
        <v>932393</v>
      </c>
      <c r="E150" s="10">
        <v>84502</v>
      </c>
      <c r="F150" s="10">
        <v>70424</v>
      </c>
      <c r="G150" s="10">
        <v>73742</v>
      </c>
      <c r="H150" s="10">
        <v>76276</v>
      </c>
      <c r="I150" s="10">
        <v>85328</v>
      </c>
      <c r="J150" s="10">
        <v>76252</v>
      </c>
      <c r="K150" s="10">
        <v>91051</v>
      </c>
      <c r="L150" s="10">
        <v>98875</v>
      </c>
      <c r="M150" s="10">
        <v>90517</v>
      </c>
      <c r="N150" s="10">
        <v>90197</v>
      </c>
      <c r="O150" s="10">
        <v>81540</v>
      </c>
      <c r="P150" s="10">
        <v>83527</v>
      </c>
      <c r="Q150" s="6">
        <f t="shared" si="4"/>
        <v>1002231</v>
      </c>
      <c r="R150" s="15">
        <f t="shared" si="5"/>
        <v>7.4901892227848155E-2</v>
      </c>
    </row>
    <row r="151" spans="1:18">
      <c r="A151" s="1" t="s">
        <v>253</v>
      </c>
      <c r="B151" s="7" t="s">
        <v>324</v>
      </c>
      <c r="C151" s="7" t="s">
        <v>325</v>
      </c>
      <c r="D151" s="6">
        <v>176214</v>
      </c>
      <c r="E151" s="10">
        <v>14780</v>
      </c>
      <c r="F151" s="10">
        <v>14417</v>
      </c>
      <c r="G151" s="10">
        <v>14347</v>
      </c>
      <c r="H151" s="10">
        <v>14967</v>
      </c>
      <c r="I151" s="10">
        <v>17712</v>
      </c>
      <c r="J151" s="10">
        <v>16963</v>
      </c>
      <c r="K151" s="10">
        <v>18301</v>
      </c>
      <c r="L151" s="10">
        <v>20500</v>
      </c>
      <c r="M151" s="10">
        <v>16168</v>
      </c>
      <c r="N151" s="10">
        <v>18370</v>
      </c>
      <c r="O151" s="10">
        <v>15139</v>
      </c>
      <c r="P151" s="10">
        <v>12750</v>
      </c>
      <c r="Q151" s="6">
        <f t="shared" si="4"/>
        <v>194414</v>
      </c>
      <c r="R151" s="15">
        <f t="shared" si="5"/>
        <v>0.10328350755331583</v>
      </c>
    </row>
    <row r="152" spans="1:18">
      <c r="A152" s="1" t="s">
        <v>253</v>
      </c>
      <c r="B152" s="7" t="s">
        <v>320</v>
      </c>
      <c r="C152" s="7" t="s">
        <v>321</v>
      </c>
      <c r="D152" s="6">
        <v>274470</v>
      </c>
      <c r="E152" s="10">
        <v>21745</v>
      </c>
      <c r="F152" s="10">
        <v>21315</v>
      </c>
      <c r="G152" s="10">
        <v>21006</v>
      </c>
      <c r="H152" s="10">
        <v>21625</v>
      </c>
      <c r="I152" s="10">
        <v>25156</v>
      </c>
      <c r="J152" s="10">
        <v>24999</v>
      </c>
      <c r="K152" s="10">
        <v>26775</v>
      </c>
      <c r="L152" s="10">
        <v>28493</v>
      </c>
      <c r="M152" s="10">
        <v>25413</v>
      </c>
      <c r="N152" s="10">
        <v>27862</v>
      </c>
      <c r="O152" s="10">
        <v>29140</v>
      </c>
      <c r="P152" s="10">
        <v>28272</v>
      </c>
      <c r="Q152" s="6">
        <f t="shared" si="4"/>
        <v>301801</v>
      </c>
      <c r="R152" s="15">
        <f t="shared" si="5"/>
        <v>9.9577367289685581E-2</v>
      </c>
    </row>
    <row r="153" spans="1:18">
      <c r="A153" s="1" t="s">
        <v>253</v>
      </c>
      <c r="B153" s="7" t="s">
        <v>302</v>
      </c>
      <c r="C153" s="1" t="s">
        <v>303</v>
      </c>
      <c r="D153" s="6">
        <v>1432716</v>
      </c>
      <c r="E153" s="10">
        <v>119113</v>
      </c>
      <c r="F153" s="10">
        <v>98282</v>
      </c>
      <c r="G153" s="10">
        <v>111587</v>
      </c>
      <c r="H153" s="10">
        <v>119581</v>
      </c>
      <c r="I153" s="10">
        <v>134499</v>
      </c>
      <c r="J153" s="10">
        <v>133812</v>
      </c>
      <c r="K153" s="10">
        <v>169331</v>
      </c>
      <c r="L153" s="10">
        <v>170519</v>
      </c>
      <c r="M153" s="10">
        <v>131995</v>
      </c>
      <c r="N153" s="10">
        <v>155319</v>
      </c>
      <c r="O153" s="10">
        <v>129247</v>
      </c>
      <c r="P153" s="10">
        <v>121159</v>
      </c>
      <c r="Q153" s="6">
        <f t="shared" si="4"/>
        <v>1594444</v>
      </c>
      <c r="R153" s="15">
        <f t="shared" si="5"/>
        <v>0.11288210643281715</v>
      </c>
    </row>
    <row r="154" spans="1:18">
      <c r="A154" s="1" t="s">
        <v>253</v>
      </c>
      <c r="B154" s="7" t="s">
        <v>306</v>
      </c>
      <c r="C154" s="7" t="s">
        <v>307</v>
      </c>
      <c r="D154" s="6">
        <v>644910</v>
      </c>
      <c r="E154" s="10">
        <v>61678</v>
      </c>
      <c r="F154" s="10">
        <v>56962</v>
      </c>
      <c r="G154" s="10">
        <v>51959</v>
      </c>
      <c r="H154" s="10">
        <v>48049</v>
      </c>
      <c r="I154" s="10">
        <v>49620</v>
      </c>
      <c r="J154" s="10">
        <v>50909</v>
      </c>
      <c r="K154" s="10">
        <v>56640</v>
      </c>
      <c r="L154" s="10">
        <v>57544</v>
      </c>
      <c r="M154" s="10">
        <v>48978</v>
      </c>
      <c r="N154" s="10">
        <v>56592</v>
      </c>
      <c r="O154" s="10">
        <v>51583</v>
      </c>
      <c r="P154" s="10">
        <v>59123</v>
      </c>
      <c r="Q154" s="6">
        <f t="shared" si="4"/>
        <v>649637</v>
      </c>
      <c r="R154" s="15">
        <f t="shared" si="5"/>
        <v>7.3297049200664599E-3</v>
      </c>
    </row>
    <row r="155" spans="1:18">
      <c r="A155" s="1" t="s">
        <v>253</v>
      </c>
      <c r="B155" s="7" t="s">
        <v>310</v>
      </c>
      <c r="C155" s="7" t="s">
        <v>311</v>
      </c>
      <c r="D155" s="6">
        <v>209299</v>
      </c>
      <c r="E155" s="10">
        <v>20497</v>
      </c>
      <c r="F155" s="10">
        <v>21461</v>
      </c>
      <c r="G155" s="10">
        <v>23209</v>
      </c>
      <c r="H155" s="10">
        <v>23543</v>
      </c>
      <c r="I155" s="10">
        <v>23537</v>
      </c>
      <c r="J155" s="10">
        <v>15253</v>
      </c>
      <c r="K155" s="10">
        <v>18155</v>
      </c>
      <c r="L155" s="10">
        <v>20068</v>
      </c>
      <c r="M155" s="10">
        <v>20205</v>
      </c>
      <c r="N155" s="10">
        <v>23057</v>
      </c>
      <c r="O155" s="10">
        <v>22782</v>
      </c>
      <c r="P155" s="10">
        <v>19555</v>
      </c>
      <c r="Q155" s="6">
        <f t="shared" si="4"/>
        <v>251322</v>
      </c>
      <c r="R155" s="15">
        <f t="shared" si="5"/>
        <v>0.20077974572262658</v>
      </c>
    </row>
    <row r="156" spans="1:18">
      <c r="A156" s="1" t="s">
        <v>253</v>
      </c>
      <c r="B156" s="7" t="s">
        <v>300</v>
      </c>
      <c r="C156" s="7" t="s">
        <v>301</v>
      </c>
      <c r="D156" s="6">
        <v>10127616</v>
      </c>
      <c r="E156" s="10">
        <v>972751</v>
      </c>
      <c r="F156" s="10">
        <v>888737</v>
      </c>
      <c r="G156" s="10">
        <v>914484</v>
      </c>
      <c r="H156" s="10">
        <v>877404</v>
      </c>
      <c r="I156" s="10">
        <v>946990</v>
      </c>
      <c r="J156" s="10">
        <v>902509</v>
      </c>
      <c r="K156" s="10">
        <v>1077862</v>
      </c>
      <c r="L156" s="10">
        <v>1081095</v>
      </c>
      <c r="M156" s="10">
        <v>711768</v>
      </c>
      <c r="N156" s="10">
        <v>1006085</v>
      </c>
      <c r="O156" s="10">
        <v>949147</v>
      </c>
      <c r="P156" s="10">
        <v>1002557</v>
      </c>
      <c r="Q156" s="6">
        <f t="shared" si="4"/>
        <v>11331389</v>
      </c>
      <c r="R156" s="15">
        <f t="shared" si="5"/>
        <v>0.11886045047521554</v>
      </c>
    </row>
    <row r="157" spans="1:18">
      <c r="A157" s="1" t="s">
        <v>253</v>
      </c>
      <c r="B157" s="7" t="s">
        <v>312</v>
      </c>
      <c r="C157" s="7" t="s">
        <v>313</v>
      </c>
      <c r="D157" s="6">
        <v>394462</v>
      </c>
      <c r="E157" s="10">
        <v>47145</v>
      </c>
      <c r="F157" s="10">
        <v>45665</v>
      </c>
      <c r="G157" s="10">
        <v>40354</v>
      </c>
      <c r="H157" s="10">
        <v>37983</v>
      </c>
      <c r="I157" s="10">
        <v>44144</v>
      </c>
      <c r="J157" s="10">
        <v>43973</v>
      </c>
      <c r="K157" s="10">
        <v>50258</v>
      </c>
      <c r="L157" s="10">
        <v>51525</v>
      </c>
      <c r="M157" s="10">
        <v>37558</v>
      </c>
      <c r="N157" s="10">
        <v>39828</v>
      </c>
      <c r="O157" s="10">
        <v>39750</v>
      </c>
      <c r="P157" s="10">
        <v>42525</v>
      </c>
      <c r="Q157" s="6">
        <f t="shared" si="4"/>
        <v>520708</v>
      </c>
      <c r="R157" s="15">
        <f t="shared" si="5"/>
        <v>0.32004603738763171</v>
      </c>
    </row>
    <row r="158" spans="1:18">
      <c r="A158" s="1" t="s">
        <v>253</v>
      </c>
      <c r="B158" s="7" t="s">
        <v>314</v>
      </c>
      <c r="C158" s="7" t="s">
        <v>315</v>
      </c>
      <c r="D158" s="6">
        <v>286009</v>
      </c>
      <c r="E158" s="10">
        <v>25124</v>
      </c>
      <c r="F158" s="10">
        <v>24592</v>
      </c>
      <c r="G158" s="10">
        <v>25181</v>
      </c>
      <c r="H158" s="10">
        <v>22124</v>
      </c>
      <c r="I158" s="10">
        <v>23978</v>
      </c>
      <c r="J158" s="10">
        <v>23771</v>
      </c>
      <c r="K158" s="10">
        <v>24151</v>
      </c>
      <c r="L158" s="10">
        <v>26374</v>
      </c>
      <c r="M158" s="10">
        <v>24255</v>
      </c>
      <c r="N158" s="10">
        <v>25423</v>
      </c>
      <c r="O158" s="10">
        <v>24506</v>
      </c>
      <c r="P158" s="10">
        <v>24972</v>
      </c>
      <c r="Q158" s="6">
        <f t="shared" si="4"/>
        <v>294451</v>
      </c>
      <c r="R158" s="15">
        <f t="shared" si="5"/>
        <v>2.9516553674884261E-2</v>
      </c>
    </row>
    <row r="159" spans="1:18">
      <c r="A159" s="1" t="s">
        <v>253</v>
      </c>
      <c r="B159" s="7" t="s">
        <v>308</v>
      </c>
      <c r="C159" s="7" t="s">
        <v>309</v>
      </c>
      <c r="D159" s="6">
        <v>177873</v>
      </c>
      <c r="E159" s="10">
        <v>13346</v>
      </c>
      <c r="F159" s="10">
        <v>11079</v>
      </c>
      <c r="G159" s="10">
        <v>11918</v>
      </c>
      <c r="H159" s="10">
        <v>15254</v>
      </c>
      <c r="I159" s="10">
        <v>16110</v>
      </c>
      <c r="J159" s="10">
        <v>16231</v>
      </c>
      <c r="K159" s="10">
        <v>20316</v>
      </c>
      <c r="L159" s="10">
        <v>21791</v>
      </c>
      <c r="M159" s="10">
        <v>16021</v>
      </c>
      <c r="N159" s="10">
        <v>19133</v>
      </c>
      <c r="O159" s="10">
        <v>17454</v>
      </c>
      <c r="P159" s="10">
        <v>15482</v>
      </c>
      <c r="Q159" s="6">
        <f t="shared" si="4"/>
        <v>194135</v>
      </c>
      <c r="R159" s="15">
        <f t="shared" si="5"/>
        <v>9.1424780601890188E-2</v>
      </c>
    </row>
    <row r="160" spans="1:18">
      <c r="A160" s="1" t="s">
        <v>253</v>
      </c>
      <c r="B160" s="7" t="s">
        <v>322</v>
      </c>
      <c r="C160" s="7" t="s">
        <v>323</v>
      </c>
      <c r="D160" s="6">
        <v>244825</v>
      </c>
      <c r="E160" s="10">
        <v>22858</v>
      </c>
      <c r="F160" s="10">
        <v>22580</v>
      </c>
      <c r="G160" s="10">
        <v>19489</v>
      </c>
      <c r="H160" s="10">
        <v>19031</v>
      </c>
      <c r="I160" s="10">
        <v>21104</v>
      </c>
      <c r="J160" s="10">
        <v>18971</v>
      </c>
      <c r="K160" s="10">
        <v>20649</v>
      </c>
      <c r="L160" s="10">
        <v>20622</v>
      </c>
      <c r="M160" s="10">
        <v>18874</v>
      </c>
      <c r="N160" s="10">
        <v>21403</v>
      </c>
      <c r="O160" s="10">
        <v>21967</v>
      </c>
      <c r="P160" s="10">
        <v>21794</v>
      </c>
      <c r="Q160" s="6">
        <f t="shared" si="4"/>
        <v>249342</v>
      </c>
      <c r="R160" s="15">
        <f t="shared" si="5"/>
        <v>1.8449913203308466E-2</v>
      </c>
    </row>
    <row r="161" spans="1:21">
      <c r="A161" s="1" t="s">
        <v>253</v>
      </c>
      <c r="B161" s="7" t="s">
        <v>318</v>
      </c>
      <c r="C161" s="7" t="s">
        <v>319</v>
      </c>
      <c r="D161" s="6">
        <v>291660</v>
      </c>
      <c r="E161" s="10">
        <v>27261</v>
      </c>
      <c r="F161" s="10">
        <v>28624</v>
      </c>
      <c r="G161" s="10">
        <v>28947</v>
      </c>
      <c r="H161" s="10">
        <v>26785</v>
      </c>
      <c r="I161" s="10">
        <v>30362</v>
      </c>
      <c r="J161" s="10">
        <v>31049</v>
      </c>
      <c r="K161" s="10">
        <v>36373</v>
      </c>
      <c r="L161" s="10">
        <v>38445</v>
      </c>
      <c r="M161" s="10">
        <v>28652</v>
      </c>
      <c r="N161" s="10">
        <v>30560</v>
      </c>
      <c r="O161" s="10">
        <v>28068</v>
      </c>
      <c r="P161" s="10">
        <v>30645</v>
      </c>
      <c r="Q161" s="6">
        <f t="shared" si="4"/>
        <v>365771</v>
      </c>
      <c r="R161" s="15">
        <f t="shared" si="5"/>
        <v>0.25410066515806085</v>
      </c>
    </row>
    <row r="162" spans="1:21">
      <c r="A162" s="1" t="s">
        <v>253</v>
      </c>
      <c r="B162" s="7" t="s">
        <v>316</v>
      </c>
      <c r="C162" s="7" t="s">
        <v>317</v>
      </c>
      <c r="D162" s="6">
        <v>286456</v>
      </c>
      <c r="E162" s="10">
        <v>24289</v>
      </c>
      <c r="F162" s="10">
        <v>25603</v>
      </c>
      <c r="G162" s="10">
        <v>25947</v>
      </c>
      <c r="H162" s="10">
        <v>24196</v>
      </c>
      <c r="I162" s="10">
        <v>29157</v>
      </c>
      <c r="J162" s="10">
        <v>28786</v>
      </c>
      <c r="K162" s="10">
        <v>30626</v>
      </c>
      <c r="L162" s="10">
        <v>31977</v>
      </c>
      <c r="M162" s="10">
        <v>29331</v>
      </c>
      <c r="N162" s="10">
        <v>28793</v>
      </c>
      <c r="O162" s="10">
        <v>28535</v>
      </c>
      <c r="P162" s="10">
        <v>27281</v>
      </c>
      <c r="Q162" s="6">
        <f t="shared" si="4"/>
        <v>334521</v>
      </c>
      <c r="R162" s="15">
        <f t="shared" si="5"/>
        <v>0.16779191219593925</v>
      </c>
    </row>
    <row r="163" spans="1:21">
      <c r="A163" s="1" t="s">
        <v>326</v>
      </c>
      <c r="B163" s="7" t="s">
        <v>327</v>
      </c>
      <c r="C163" s="7" t="s">
        <v>328</v>
      </c>
      <c r="D163" s="6">
        <v>2002569</v>
      </c>
      <c r="E163" s="10">
        <v>255212</v>
      </c>
      <c r="F163" s="10">
        <v>220392</v>
      </c>
      <c r="G163" s="10">
        <v>207616</v>
      </c>
      <c r="H163" s="10">
        <v>188041</v>
      </c>
      <c r="I163" s="10">
        <v>184770</v>
      </c>
      <c r="J163" s="10">
        <v>145933</v>
      </c>
      <c r="K163" s="10">
        <v>198983</v>
      </c>
      <c r="L163" s="10">
        <v>194517</v>
      </c>
      <c r="M163" s="10">
        <v>190964</v>
      </c>
      <c r="N163" s="10">
        <f>96888+90945</f>
        <v>187833</v>
      </c>
      <c r="O163" s="10">
        <f>98273+93769</f>
        <v>192042</v>
      </c>
      <c r="P163" s="10">
        <f>104504+89052</f>
        <v>193556</v>
      </c>
      <c r="Q163" s="6">
        <f t="shared" si="4"/>
        <v>2359859</v>
      </c>
      <c r="R163" s="15">
        <f t="shared" si="5"/>
        <v>0.1784158248729506</v>
      </c>
    </row>
    <row r="164" spans="1:21">
      <c r="A164" s="1" t="s">
        <v>326</v>
      </c>
      <c r="B164" s="7" t="s">
        <v>329</v>
      </c>
      <c r="C164" s="7" t="s">
        <v>330</v>
      </c>
      <c r="D164" s="6">
        <v>158684</v>
      </c>
      <c r="E164" s="10">
        <v>56235</v>
      </c>
      <c r="F164" s="10">
        <v>42396</v>
      </c>
      <c r="G164" s="10">
        <v>22316</v>
      </c>
      <c r="H164" s="10">
        <v>14036</v>
      </c>
      <c r="I164" s="10">
        <v>9846</v>
      </c>
      <c r="J164" s="10">
        <v>7504</v>
      </c>
      <c r="K164" s="10">
        <v>12125</v>
      </c>
      <c r="L164" s="10">
        <f>5249+5102</f>
        <v>10351</v>
      </c>
      <c r="M164" s="10">
        <f>5707+5319</f>
        <v>11026</v>
      </c>
      <c r="N164" s="10">
        <f>6615+6735</f>
        <v>13350</v>
      </c>
      <c r="O164" s="10">
        <f>6753+6733</f>
        <v>13486</v>
      </c>
      <c r="P164" s="10">
        <f>19434+13635</f>
        <v>33069</v>
      </c>
      <c r="Q164" s="6">
        <f t="shared" si="4"/>
        <v>245740</v>
      </c>
      <c r="R164" s="15">
        <f t="shared" si="5"/>
        <v>0.54861233646744467</v>
      </c>
    </row>
    <row r="165" spans="1:21">
      <c r="A165" s="1" t="s">
        <v>16</v>
      </c>
      <c r="B165" s="1" t="s">
        <v>353</v>
      </c>
      <c r="C165" s="1" t="s">
        <v>354</v>
      </c>
      <c r="D165" s="6">
        <v>5796373</v>
      </c>
      <c r="E165" s="10">
        <v>394240</v>
      </c>
      <c r="F165" s="10">
        <v>362381</v>
      </c>
      <c r="G165" s="10">
        <v>460849</v>
      </c>
      <c r="H165" s="10">
        <v>436918</v>
      </c>
      <c r="I165" s="10">
        <v>514677</v>
      </c>
      <c r="J165" s="10">
        <v>529689</v>
      </c>
      <c r="K165" s="10">
        <v>544030</v>
      </c>
      <c r="L165" s="10">
        <v>512681</v>
      </c>
      <c r="M165" s="10">
        <v>491446</v>
      </c>
      <c r="N165" s="10">
        <v>526257</v>
      </c>
      <c r="O165" s="10">
        <v>460363</v>
      </c>
      <c r="P165" s="10">
        <v>464094</v>
      </c>
      <c r="Q165" s="6">
        <f t="shared" si="4"/>
        <v>5697625</v>
      </c>
      <c r="R165" s="15">
        <f t="shared" si="5"/>
        <v>-1.7036170722622535E-2</v>
      </c>
    </row>
    <row r="166" spans="1:21">
      <c r="A166" s="1" t="s">
        <v>16</v>
      </c>
      <c r="B166" s="1" t="s">
        <v>17</v>
      </c>
      <c r="C166" s="1" t="s">
        <v>18</v>
      </c>
      <c r="D166" s="6">
        <v>89331622</v>
      </c>
      <c r="E166" s="10">
        <v>6348118</v>
      </c>
      <c r="F166" s="10">
        <v>6263646</v>
      </c>
      <c r="G166" s="10">
        <v>7918805</v>
      </c>
      <c r="H166" s="10">
        <v>7671759</v>
      </c>
      <c r="I166" s="10">
        <v>8346301</v>
      </c>
      <c r="J166" s="10">
        <v>8473746</v>
      </c>
      <c r="K166" s="10">
        <v>8870510</v>
      </c>
      <c r="L166" s="10">
        <v>8363543</v>
      </c>
      <c r="M166" s="10">
        <v>7488365</v>
      </c>
      <c r="N166" s="10">
        <v>8047271</v>
      </c>
      <c r="O166" s="10">
        <v>7470411</v>
      </c>
      <c r="P166" s="10">
        <v>7210376</v>
      </c>
      <c r="Q166" s="6">
        <f t="shared" si="4"/>
        <v>92472851</v>
      </c>
      <c r="R166" s="15">
        <f t="shared" si="5"/>
        <v>3.5163684814768059E-2</v>
      </c>
    </row>
    <row r="167" spans="1:21" ht="15.75">
      <c r="A167" s="1" t="s">
        <v>16</v>
      </c>
      <c r="B167" s="1" t="s">
        <v>382</v>
      </c>
      <c r="C167" s="1" t="s">
        <v>348</v>
      </c>
      <c r="D167" s="6">
        <v>8691988</v>
      </c>
      <c r="E167" s="10">
        <v>648161</v>
      </c>
      <c r="F167" s="10">
        <v>608437</v>
      </c>
      <c r="G167" s="10">
        <v>801553</v>
      </c>
      <c r="H167" s="10">
        <v>725789</v>
      </c>
      <c r="I167" s="10">
        <v>816536</v>
      </c>
      <c r="J167" s="10">
        <v>815060</v>
      </c>
      <c r="K167" s="10">
        <v>848054</v>
      </c>
      <c r="L167" s="10">
        <v>792485</v>
      </c>
      <c r="M167" s="10">
        <v>722095</v>
      </c>
      <c r="N167" s="10">
        <v>793640</v>
      </c>
      <c r="O167" s="10">
        <v>756712</v>
      </c>
      <c r="P167" s="10">
        <v>752353</v>
      </c>
      <c r="Q167" s="6">
        <f t="shared" si="4"/>
        <v>9080875</v>
      </c>
      <c r="R167" s="15">
        <f t="shared" si="5"/>
        <v>4.4740857902703102E-2</v>
      </c>
      <c r="T167" s="13"/>
      <c r="U167" s="13"/>
    </row>
    <row r="168" spans="1:21" ht="15.75">
      <c r="A168" s="1" t="s">
        <v>16</v>
      </c>
      <c r="B168" s="1" t="s">
        <v>383</v>
      </c>
      <c r="C168" s="1" t="s">
        <v>53</v>
      </c>
      <c r="D168" s="6">
        <v>21936461</v>
      </c>
      <c r="E168" s="10">
        <v>1521935</v>
      </c>
      <c r="F168" s="10">
        <v>1404820</v>
      </c>
      <c r="G168" s="10">
        <v>1882404</v>
      </c>
      <c r="H168" s="10">
        <v>1899305</v>
      </c>
      <c r="I168" s="10">
        <v>2078548</v>
      </c>
      <c r="J168" s="10">
        <v>2126776</v>
      </c>
      <c r="K168" s="10">
        <v>2205035</v>
      </c>
      <c r="L168" s="10">
        <v>2051191</v>
      </c>
      <c r="M168" s="10">
        <v>1767564</v>
      </c>
      <c r="N168" s="10">
        <v>1940029</v>
      </c>
      <c r="O168" s="10">
        <v>1789962</v>
      </c>
      <c r="P168" s="10">
        <v>1724216</v>
      </c>
      <c r="Q168" s="6">
        <f t="shared" si="4"/>
        <v>22391785</v>
      </c>
      <c r="R168" s="15">
        <f t="shared" si="5"/>
        <v>2.0756493036866885E-2</v>
      </c>
      <c r="U168" s="13"/>
    </row>
    <row r="169" spans="1:21" ht="15.75">
      <c r="A169" s="1" t="s">
        <v>16</v>
      </c>
      <c r="B169" s="1" t="s">
        <v>489</v>
      </c>
      <c r="C169" s="1" t="s">
        <v>431</v>
      </c>
      <c r="D169" s="6">
        <v>1131523</v>
      </c>
      <c r="E169" s="10">
        <v>84985</v>
      </c>
      <c r="F169" s="10">
        <v>72009</v>
      </c>
      <c r="G169" s="10">
        <v>100715</v>
      </c>
      <c r="H169" s="10">
        <v>90523</v>
      </c>
      <c r="I169" s="10">
        <v>106598</v>
      </c>
      <c r="J169" s="10">
        <v>110633</v>
      </c>
      <c r="K169" s="10">
        <v>106684</v>
      </c>
      <c r="L169" s="10">
        <v>94026</v>
      </c>
      <c r="M169" s="10">
        <v>87372</v>
      </c>
      <c r="N169" s="10">
        <v>96990</v>
      </c>
      <c r="O169" s="10">
        <v>93537</v>
      </c>
      <c r="P169" s="10">
        <v>83864</v>
      </c>
      <c r="Q169" s="6">
        <f t="shared" si="4"/>
        <v>1127936</v>
      </c>
      <c r="R169" s="15">
        <f t="shared" si="5"/>
        <v>-3.1700637105918084E-3</v>
      </c>
    </row>
    <row r="170" spans="1:21">
      <c r="A170" s="1" t="s">
        <v>16</v>
      </c>
      <c r="B170" s="1" t="s">
        <v>423</v>
      </c>
      <c r="C170" s="1" t="s">
        <v>424</v>
      </c>
      <c r="D170" s="6">
        <v>2805692</v>
      </c>
      <c r="E170" s="10">
        <v>207816</v>
      </c>
      <c r="F170" s="10">
        <v>189108</v>
      </c>
      <c r="G170" s="10">
        <v>228381</v>
      </c>
      <c r="H170" s="10">
        <v>204664</v>
      </c>
      <c r="I170" s="10">
        <v>229188</v>
      </c>
      <c r="J170" s="10">
        <v>257521</v>
      </c>
      <c r="K170" s="10">
        <v>269723</v>
      </c>
      <c r="L170" s="10">
        <v>267656</v>
      </c>
      <c r="M170" s="10">
        <v>226248</v>
      </c>
      <c r="N170" s="10">
        <v>230976</v>
      </c>
      <c r="O170" s="10">
        <v>229733</v>
      </c>
      <c r="P170" s="10">
        <v>240692</v>
      </c>
      <c r="Q170" s="6">
        <f t="shared" si="4"/>
        <v>2781706</v>
      </c>
      <c r="R170" s="15">
        <f t="shared" si="5"/>
        <v>-8.5490495749355189E-3</v>
      </c>
      <c r="S170" s="13"/>
    </row>
    <row r="171" spans="1:21" ht="15.75">
      <c r="A171" s="1" t="s">
        <v>16</v>
      </c>
      <c r="B171" s="1" t="s">
        <v>452</v>
      </c>
      <c r="C171" s="1" t="s">
        <v>48</v>
      </c>
      <c r="D171" s="6">
        <v>27370210</v>
      </c>
      <c r="E171" s="10">
        <v>1861787</v>
      </c>
      <c r="F171" s="10">
        <v>1791285</v>
      </c>
      <c r="G171" s="10">
        <v>2399361</v>
      </c>
      <c r="H171" s="10">
        <v>2476222</v>
      </c>
      <c r="I171" s="10">
        <v>2601165</v>
      </c>
      <c r="J171" s="10">
        <v>2681617</v>
      </c>
      <c r="K171" s="10">
        <v>2830186</v>
      </c>
      <c r="L171" s="10">
        <v>2758774</v>
      </c>
      <c r="M171" s="10">
        <v>2440728</v>
      </c>
      <c r="N171" s="10">
        <v>2539905</v>
      </c>
      <c r="O171" s="10">
        <v>2293399</v>
      </c>
      <c r="P171" s="10">
        <v>2130946</v>
      </c>
      <c r="Q171" s="6">
        <f t="shared" si="4"/>
        <v>28805375</v>
      </c>
      <c r="R171" s="15">
        <f t="shared" si="5"/>
        <v>5.2435293700705987E-2</v>
      </c>
      <c r="S171" s="13"/>
    </row>
    <row r="172" spans="1:21">
      <c r="A172" s="1" t="s">
        <v>16</v>
      </c>
      <c r="B172" s="1" t="s">
        <v>535</v>
      </c>
      <c r="C172" s="1" t="s">
        <v>536</v>
      </c>
      <c r="D172" s="6">
        <v>5203104</v>
      </c>
      <c r="E172" s="10">
        <v>340619</v>
      </c>
      <c r="F172" s="10">
        <v>339608</v>
      </c>
      <c r="G172" s="10">
        <v>441495</v>
      </c>
      <c r="H172" s="10">
        <v>451174</v>
      </c>
      <c r="I172" s="10">
        <v>481623</v>
      </c>
      <c r="J172" s="10">
        <v>444899</v>
      </c>
      <c r="K172" s="10">
        <v>502029</v>
      </c>
      <c r="L172" s="10">
        <v>497271</v>
      </c>
      <c r="M172" s="10">
        <v>428919</v>
      </c>
      <c r="N172" s="10">
        <v>452146</v>
      </c>
      <c r="O172" s="10">
        <v>401097</v>
      </c>
      <c r="P172" s="10">
        <v>373888</v>
      </c>
      <c r="Q172" s="6">
        <f t="shared" si="4"/>
        <v>5154768</v>
      </c>
      <c r="R172" s="15">
        <f t="shared" si="5"/>
        <v>-9.2898392959279708E-3</v>
      </c>
      <c r="S172" s="13"/>
    </row>
    <row r="173" spans="1:21" ht="15.75">
      <c r="A173" s="1" t="s">
        <v>16</v>
      </c>
      <c r="B173" s="1" t="s">
        <v>417</v>
      </c>
      <c r="C173" s="1" t="s">
        <v>407</v>
      </c>
      <c r="D173" s="6">
        <v>4461271</v>
      </c>
      <c r="E173" s="10">
        <v>340954</v>
      </c>
      <c r="F173" s="10">
        <v>314656</v>
      </c>
      <c r="G173" s="10">
        <v>353839</v>
      </c>
      <c r="H173" s="10">
        <v>355686</v>
      </c>
      <c r="I173" s="10">
        <v>360339</v>
      </c>
      <c r="J173" s="10">
        <v>371931</v>
      </c>
      <c r="K173" s="10">
        <v>371837</v>
      </c>
      <c r="L173" s="10">
        <v>392826</v>
      </c>
      <c r="M173" s="10">
        <v>360321</v>
      </c>
      <c r="N173" s="10">
        <v>363684</v>
      </c>
      <c r="O173" s="10">
        <v>356223</v>
      </c>
      <c r="P173" s="10">
        <v>359272</v>
      </c>
      <c r="Q173" s="6">
        <f t="shared" si="4"/>
        <v>4301568</v>
      </c>
      <c r="R173" s="15">
        <f t="shared" si="5"/>
        <v>-3.5797646007158068E-2</v>
      </c>
      <c r="T173" s="13"/>
    </row>
    <row r="174" spans="1:21">
      <c r="A174" s="1" t="s">
        <v>16</v>
      </c>
      <c r="B174" s="1" t="s">
        <v>439</v>
      </c>
      <c r="C174" s="1" t="s">
        <v>440</v>
      </c>
      <c r="D174" s="6">
        <v>2021328</v>
      </c>
      <c r="E174" s="10">
        <v>125905</v>
      </c>
      <c r="F174" s="10">
        <v>127960</v>
      </c>
      <c r="G174" s="10">
        <v>206331</v>
      </c>
      <c r="H174" s="10">
        <v>238863</v>
      </c>
      <c r="I174" s="10">
        <v>252543</v>
      </c>
      <c r="J174" s="10">
        <v>237658</v>
      </c>
      <c r="K174" s="10">
        <v>242525</v>
      </c>
      <c r="L174" s="10">
        <v>218024</v>
      </c>
      <c r="M174" s="10">
        <v>215244</v>
      </c>
      <c r="N174" s="10">
        <v>244062</v>
      </c>
      <c r="O174" s="10">
        <v>215767</v>
      </c>
      <c r="P174" s="10">
        <v>195947</v>
      </c>
      <c r="Q174" s="6">
        <f t="shared" si="4"/>
        <v>2520829</v>
      </c>
      <c r="R174" s="15">
        <f t="shared" si="5"/>
        <v>0.24711526283710517</v>
      </c>
    </row>
    <row r="175" spans="1:21">
      <c r="A175" s="1" t="s">
        <v>16</v>
      </c>
      <c r="B175" s="1" t="s">
        <v>34</v>
      </c>
      <c r="C175" s="1" t="s">
        <v>35</v>
      </c>
      <c r="D175" s="6">
        <v>38254207</v>
      </c>
      <c r="E175" s="10">
        <v>2926697</v>
      </c>
      <c r="F175" s="10">
        <v>2824426</v>
      </c>
      <c r="G175" s="10">
        <v>3405907</v>
      </c>
      <c r="H175" s="10">
        <v>3265516</v>
      </c>
      <c r="I175" s="10">
        <v>3530349</v>
      </c>
      <c r="J175" s="10">
        <v>3457799</v>
      </c>
      <c r="K175" s="10">
        <v>3469509</v>
      </c>
      <c r="L175" s="10">
        <v>3371078</v>
      </c>
      <c r="M175" s="10">
        <v>3157526</v>
      </c>
      <c r="N175" s="10">
        <v>3257136</v>
      </c>
      <c r="O175" s="10">
        <v>3231288</v>
      </c>
      <c r="P175" s="10">
        <v>3246477</v>
      </c>
      <c r="Q175" s="6">
        <f t="shared" si="4"/>
        <v>39143708</v>
      </c>
      <c r="R175" s="15">
        <f t="shared" si="5"/>
        <v>2.3252370647756537E-2</v>
      </c>
    </row>
    <row r="176" spans="1:21" ht="15.75">
      <c r="A176" s="1" t="s">
        <v>16</v>
      </c>
      <c r="B176" s="1" t="s">
        <v>384</v>
      </c>
      <c r="C176" s="1" t="s">
        <v>57</v>
      </c>
      <c r="D176" s="6">
        <v>17673017</v>
      </c>
      <c r="E176" s="10">
        <v>1255181</v>
      </c>
      <c r="F176" s="10">
        <v>1096528</v>
      </c>
      <c r="G176" s="10">
        <v>1600336</v>
      </c>
      <c r="H176" s="10">
        <v>1591098</v>
      </c>
      <c r="I176" s="10">
        <v>1713498</v>
      </c>
      <c r="J176" s="10">
        <v>1773020</v>
      </c>
      <c r="K176" s="10">
        <v>1814403</v>
      </c>
      <c r="L176" s="10">
        <v>1737663</v>
      </c>
      <c r="M176" s="10">
        <v>1546262</v>
      </c>
      <c r="N176" s="10">
        <v>1677040</v>
      </c>
      <c r="O176" s="10">
        <v>1556070</v>
      </c>
      <c r="P176" s="10">
        <v>1519031</v>
      </c>
      <c r="Q176" s="6">
        <f t="shared" si="4"/>
        <v>18880130</v>
      </c>
      <c r="R176" s="15">
        <f t="shared" si="5"/>
        <v>6.830259938073957E-2</v>
      </c>
      <c r="S176" s="13"/>
    </row>
    <row r="177" spans="1:21" ht="15.75">
      <c r="A177" s="1" t="s">
        <v>16</v>
      </c>
      <c r="B177" s="1" t="s">
        <v>385</v>
      </c>
      <c r="C177" s="1" t="s">
        <v>19</v>
      </c>
      <c r="D177" s="6">
        <v>67026191</v>
      </c>
      <c r="E177" s="10">
        <v>4734246</v>
      </c>
      <c r="F177" s="10">
        <v>4190455</v>
      </c>
      <c r="G177" s="10">
        <v>5655045</v>
      </c>
      <c r="H177" s="10">
        <v>5526553</v>
      </c>
      <c r="I177" s="10">
        <v>5880116</v>
      </c>
      <c r="J177" s="10">
        <v>6147713</v>
      </c>
      <c r="K177" s="10">
        <v>6331934</v>
      </c>
      <c r="L177" s="10">
        <v>6257364</v>
      </c>
      <c r="M177" s="10">
        <v>5698832</v>
      </c>
      <c r="N177" s="10">
        <v>5939129</v>
      </c>
      <c r="O177" s="10">
        <v>5237859</v>
      </c>
      <c r="P177" s="10">
        <v>5179200</v>
      </c>
      <c r="Q177" s="6">
        <f t="shared" si="4"/>
        <v>66778446</v>
      </c>
      <c r="R177" s="15">
        <f t="shared" si="5"/>
        <v>-3.6962416676787901E-3</v>
      </c>
      <c r="S177" s="13"/>
    </row>
    <row r="178" spans="1:21">
      <c r="A178" s="1" t="s">
        <v>16</v>
      </c>
      <c r="B178" s="1" t="s">
        <v>349</v>
      </c>
      <c r="C178" s="1" t="s">
        <v>350</v>
      </c>
      <c r="D178" s="6">
        <v>7977588</v>
      </c>
      <c r="E178" s="10">
        <v>516867</v>
      </c>
      <c r="F178" s="10">
        <v>489900</v>
      </c>
      <c r="G178" s="10">
        <v>665558</v>
      </c>
      <c r="H178" s="10">
        <v>620275</v>
      </c>
      <c r="I178" s="10">
        <v>651810</v>
      </c>
      <c r="J178" s="10">
        <v>660304</v>
      </c>
      <c r="K178" s="10">
        <v>675929</v>
      </c>
      <c r="L178" s="10">
        <v>639515</v>
      </c>
      <c r="M178" s="10">
        <v>552692</v>
      </c>
      <c r="N178" s="10">
        <v>552736</v>
      </c>
      <c r="O178" s="10">
        <v>524608</v>
      </c>
      <c r="P178" s="10">
        <v>484736</v>
      </c>
      <c r="Q178" s="6">
        <f t="shared" si="4"/>
        <v>7034930</v>
      </c>
      <c r="R178" s="15">
        <f t="shared" si="5"/>
        <v>-0.11816328444136248</v>
      </c>
      <c r="S178" s="13"/>
      <c r="U178" s="13"/>
    </row>
    <row r="179" spans="1:21">
      <c r="A179" s="1" t="s">
        <v>16</v>
      </c>
      <c r="B179" s="1" t="s">
        <v>544</v>
      </c>
      <c r="C179" s="1" t="s">
        <v>543</v>
      </c>
      <c r="D179" s="6">
        <v>9492455</v>
      </c>
      <c r="E179" s="38">
        <v>624178</v>
      </c>
      <c r="F179" s="39">
        <v>585881</v>
      </c>
      <c r="G179" s="39">
        <v>809154</v>
      </c>
      <c r="H179" s="39">
        <v>791566</v>
      </c>
      <c r="I179" s="39">
        <v>812397</v>
      </c>
      <c r="J179" s="39">
        <v>859043</v>
      </c>
      <c r="K179" s="39">
        <v>879482</v>
      </c>
      <c r="L179" s="39">
        <v>846405</v>
      </c>
      <c r="M179" s="39">
        <v>758674</v>
      </c>
      <c r="N179" s="39">
        <v>785375</v>
      </c>
      <c r="O179" s="39">
        <v>712301</v>
      </c>
      <c r="P179" s="39">
        <v>738428</v>
      </c>
      <c r="Q179" s="6">
        <f t="shared" si="4"/>
        <v>9202884</v>
      </c>
      <c r="R179" s="15">
        <f t="shared" si="5"/>
        <v>-3.0505385593084244E-2</v>
      </c>
      <c r="S179" s="13"/>
      <c r="U179" s="13"/>
    </row>
    <row r="180" spans="1:21" ht="15.75">
      <c r="A180" s="1" t="s">
        <v>16</v>
      </c>
      <c r="B180" s="1" t="s">
        <v>451</v>
      </c>
      <c r="C180" s="1" t="s">
        <v>434</v>
      </c>
      <c r="D180" s="6">
        <v>1738173</v>
      </c>
      <c r="E180" s="10">
        <v>120274</v>
      </c>
      <c r="F180" s="10">
        <v>108749</v>
      </c>
      <c r="G180" s="10">
        <v>134990</v>
      </c>
      <c r="H180" s="10">
        <v>130845</v>
      </c>
      <c r="I180" s="10">
        <v>146897</v>
      </c>
      <c r="J180" s="10">
        <v>157153</v>
      </c>
      <c r="K180" s="10">
        <v>162495</v>
      </c>
      <c r="L180" s="10">
        <v>153668</v>
      </c>
      <c r="M180" s="10">
        <v>137721</v>
      </c>
      <c r="N180" s="10">
        <v>133533</v>
      </c>
      <c r="O180" s="10">
        <f>61120+60947</f>
        <v>122067</v>
      </c>
      <c r="P180" s="10">
        <f>63346+63525</f>
        <v>126871</v>
      </c>
      <c r="Q180" s="6">
        <f t="shared" si="4"/>
        <v>1635263</v>
      </c>
      <c r="R180" s="15">
        <f t="shared" si="5"/>
        <v>-5.9205844297431809E-2</v>
      </c>
    </row>
    <row r="181" spans="1:21">
      <c r="A181" s="1" t="s">
        <v>16</v>
      </c>
      <c r="B181" s="1" t="s">
        <v>517</v>
      </c>
      <c r="C181" s="1" t="s">
        <v>518</v>
      </c>
      <c r="D181" s="6">
        <v>1003375</v>
      </c>
      <c r="E181" s="10">
        <v>67962</v>
      </c>
      <c r="F181" s="10">
        <v>65338</v>
      </c>
      <c r="G181" s="10">
        <v>78907</v>
      </c>
      <c r="H181" s="10">
        <v>87742</v>
      </c>
      <c r="I181" s="10">
        <v>90030</v>
      </c>
      <c r="J181" s="10">
        <v>91366</v>
      </c>
      <c r="K181" s="10">
        <v>86706</v>
      </c>
      <c r="L181" s="10">
        <v>86998</v>
      </c>
      <c r="M181" s="10">
        <v>85623</v>
      </c>
      <c r="N181" s="10">
        <v>89864</v>
      </c>
      <c r="O181" s="10">
        <v>86756</v>
      </c>
      <c r="P181" s="10">
        <v>78866</v>
      </c>
      <c r="Q181" s="6">
        <f t="shared" si="4"/>
        <v>996158</v>
      </c>
      <c r="R181" s="15">
        <f t="shared" si="5"/>
        <v>-7.1927245546281604E-3</v>
      </c>
    </row>
    <row r="182" spans="1:21">
      <c r="A182" s="1" t="s">
        <v>16</v>
      </c>
      <c r="B182" s="1" t="s">
        <v>403</v>
      </c>
      <c r="C182" s="1" t="s">
        <v>404</v>
      </c>
      <c r="D182" s="6">
        <v>6366191</v>
      </c>
      <c r="E182" s="10">
        <v>446431</v>
      </c>
      <c r="F182" s="10">
        <v>425283</v>
      </c>
      <c r="G182" s="10">
        <v>571829</v>
      </c>
      <c r="H182" s="10">
        <v>537885</v>
      </c>
      <c r="I182" s="10">
        <v>552352</v>
      </c>
      <c r="J182" s="10">
        <v>596333</v>
      </c>
      <c r="K182" s="10">
        <v>585835</v>
      </c>
      <c r="L182" s="10">
        <v>548915</v>
      </c>
      <c r="M182" s="10">
        <v>524512</v>
      </c>
      <c r="N182" s="10">
        <v>551391</v>
      </c>
      <c r="O182" s="10">
        <v>522977</v>
      </c>
      <c r="P182" s="10">
        <v>510161</v>
      </c>
      <c r="Q182" s="6">
        <f t="shared" si="4"/>
        <v>6373904</v>
      </c>
      <c r="R182" s="15">
        <f t="shared" si="5"/>
        <v>1.211556486445442E-3</v>
      </c>
    </row>
    <row r="183" spans="1:21">
      <c r="A183" s="1" t="s">
        <v>16</v>
      </c>
      <c r="B183" s="1" t="s">
        <v>22</v>
      </c>
      <c r="C183" s="1" t="s">
        <v>23</v>
      </c>
      <c r="D183" s="6">
        <v>56905600</v>
      </c>
      <c r="E183" s="10">
        <v>4347023</v>
      </c>
      <c r="F183" s="10">
        <v>3878377</v>
      </c>
      <c r="G183" s="10">
        <v>4882309</v>
      </c>
      <c r="H183" s="10">
        <v>4624458</v>
      </c>
      <c r="I183" s="10">
        <v>4867241</v>
      </c>
      <c r="J183" s="10">
        <v>5340278</v>
      </c>
      <c r="K183" s="10">
        <v>5558910</v>
      </c>
      <c r="L183" s="10">
        <v>5189442</v>
      </c>
      <c r="M183" s="10">
        <v>4779853</v>
      </c>
      <c r="N183" s="10">
        <v>5005531</v>
      </c>
      <c r="O183" s="10">
        <v>4652811</v>
      </c>
      <c r="P183" s="10">
        <v>4679753</v>
      </c>
      <c r="Q183" s="6">
        <f t="shared" si="4"/>
        <v>57805986</v>
      </c>
      <c r="R183" s="15">
        <f t="shared" si="5"/>
        <v>1.5822449811617734E-2</v>
      </c>
      <c r="S183" s="17"/>
    </row>
    <row r="184" spans="1:21" ht="15.75">
      <c r="A184" s="1" t="s">
        <v>16</v>
      </c>
      <c r="B184" s="1" t="s">
        <v>505</v>
      </c>
      <c r="C184" s="1" t="s">
        <v>495</v>
      </c>
      <c r="D184" s="6">
        <v>7960809</v>
      </c>
      <c r="E184" s="10">
        <v>639204</v>
      </c>
      <c r="F184" s="10">
        <v>551172</v>
      </c>
      <c r="G184" s="10">
        <v>696011</v>
      </c>
      <c r="H184" s="10">
        <v>640730</v>
      </c>
      <c r="I184" s="10">
        <v>703910</v>
      </c>
      <c r="J184" s="10">
        <v>709391</v>
      </c>
      <c r="K184" s="10">
        <v>699258</v>
      </c>
      <c r="L184" s="10">
        <v>673352</v>
      </c>
      <c r="M184" s="10">
        <v>647386</v>
      </c>
      <c r="N184" s="10">
        <v>680513</v>
      </c>
      <c r="O184" s="12">
        <v>675724</v>
      </c>
      <c r="P184" s="10">
        <v>663369</v>
      </c>
      <c r="Q184" s="6">
        <f t="shared" si="4"/>
        <v>7980020</v>
      </c>
      <c r="R184" s="15">
        <f t="shared" si="5"/>
        <v>2.413196950209473E-3</v>
      </c>
      <c r="S184" s="13"/>
    </row>
    <row r="185" spans="1:21" ht="15.75">
      <c r="A185" s="1" t="s">
        <v>16</v>
      </c>
      <c r="B185" s="1" t="s">
        <v>386</v>
      </c>
      <c r="C185" s="1" t="s">
        <v>24</v>
      </c>
      <c r="D185" s="6">
        <v>51985038</v>
      </c>
      <c r="E185" s="10">
        <v>3928336</v>
      </c>
      <c r="F185" s="10">
        <v>3666599</v>
      </c>
      <c r="G185" s="10">
        <v>4503719</v>
      </c>
      <c r="H185" s="10">
        <v>4122932</v>
      </c>
      <c r="I185" s="10">
        <v>4536566</v>
      </c>
      <c r="J185" s="10">
        <v>4863158</v>
      </c>
      <c r="K185" s="10">
        <v>5099489</v>
      </c>
      <c r="L185" s="10">
        <v>5037947</v>
      </c>
      <c r="M185" s="10">
        <v>4344205</v>
      </c>
      <c r="N185" s="10">
        <v>4361142</v>
      </c>
      <c r="O185" s="10">
        <v>4088543</v>
      </c>
      <c r="P185" s="10">
        <v>4296496</v>
      </c>
      <c r="Q185" s="6">
        <f t="shared" si="4"/>
        <v>52849132</v>
      </c>
      <c r="R185" s="15">
        <f t="shared" si="5"/>
        <v>1.6621974961334107E-2</v>
      </c>
      <c r="S185" s="13"/>
    </row>
    <row r="186" spans="1:21">
      <c r="A186" s="1" t="s">
        <v>16</v>
      </c>
      <c r="B186" s="1" t="s">
        <v>437</v>
      </c>
      <c r="C186" s="1" t="s">
        <v>438</v>
      </c>
      <c r="D186" s="6">
        <v>1831062</v>
      </c>
      <c r="E186" s="10">
        <v>141542</v>
      </c>
      <c r="F186" s="10">
        <v>134109</v>
      </c>
      <c r="G186" s="10">
        <v>161509</v>
      </c>
      <c r="H186" s="10">
        <v>145277</v>
      </c>
      <c r="I186" s="10">
        <v>163894</v>
      </c>
      <c r="J186" s="10">
        <v>177525</v>
      </c>
      <c r="K186" s="10">
        <v>176263</v>
      </c>
      <c r="L186" s="10">
        <v>167975</v>
      </c>
      <c r="M186" s="10">
        <v>159603</v>
      </c>
      <c r="N186" s="10">
        <v>173131</v>
      </c>
      <c r="O186" s="10">
        <v>156352</v>
      </c>
      <c r="P186" s="10">
        <v>155816</v>
      </c>
      <c r="Q186" s="6">
        <f t="shared" si="4"/>
        <v>1912996</v>
      </c>
      <c r="R186" s="15">
        <f t="shared" si="5"/>
        <v>4.4746709832872877E-2</v>
      </c>
    </row>
    <row r="187" spans="1:21">
      <c r="A187" s="1" t="s">
        <v>16</v>
      </c>
      <c r="B187" s="1" t="s">
        <v>42</v>
      </c>
      <c r="C187" s="1" t="s">
        <v>43</v>
      </c>
      <c r="D187" s="6">
        <v>32377064</v>
      </c>
      <c r="E187" s="10">
        <v>2310879</v>
      </c>
      <c r="F187" s="10">
        <v>2087330</v>
      </c>
      <c r="G187" s="10">
        <v>2794014</v>
      </c>
      <c r="H187" s="10">
        <v>2677911</v>
      </c>
      <c r="I187" s="10">
        <v>2790615</v>
      </c>
      <c r="J187" s="10">
        <v>2962572</v>
      </c>
      <c r="K187" s="10">
        <v>3146321</v>
      </c>
      <c r="L187" s="10">
        <v>3067761</v>
      </c>
      <c r="M187" s="10">
        <v>2636884</v>
      </c>
      <c r="N187" s="10">
        <v>2808979</v>
      </c>
      <c r="O187" s="10">
        <v>2610659</v>
      </c>
      <c r="P187" s="10">
        <v>2513805</v>
      </c>
      <c r="Q187" s="6">
        <f t="shared" si="4"/>
        <v>32407730</v>
      </c>
      <c r="R187" s="15">
        <f t="shared" si="5"/>
        <v>9.471519715313903E-4</v>
      </c>
      <c r="S187" s="13"/>
    </row>
    <row r="188" spans="1:21">
      <c r="A188" s="1" t="s">
        <v>16</v>
      </c>
      <c r="B188" s="1" t="s">
        <v>421</v>
      </c>
      <c r="C188" s="1" t="s">
        <v>422</v>
      </c>
      <c r="D188" s="6">
        <v>3065393</v>
      </c>
      <c r="E188" s="10">
        <v>215877</v>
      </c>
      <c r="F188" s="10">
        <v>185101</v>
      </c>
      <c r="G188" s="10">
        <v>252779</v>
      </c>
      <c r="H188" s="10">
        <v>229630</v>
      </c>
      <c r="I188" s="10">
        <v>256715</v>
      </c>
      <c r="J188" s="10">
        <v>274850</v>
      </c>
      <c r="K188" s="10">
        <v>292500</v>
      </c>
      <c r="L188" s="10">
        <v>257825</v>
      </c>
      <c r="M188" s="10">
        <v>234371</v>
      </c>
      <c r="N188" s="10">
        <v>243838</v>
      </c>
      <c r="O188" s="10">
        <v>245049</v>
      </c>
      <c r="P188" s="10">
        <v>259101</v>
      </c>
      <c r="Q188" s="6">
        <f t="shared" si="4"/>
        <v>2947636</v>
      </c>
      <c r="R188" s="15">
        <f t="shared" si="5"/>
        <v>-3.8414976480992791E-2</v>
      </c>
    </row>
    <row r="189" spans="1:21">
      <c r="A189" s="1" t="s">
        <v>16</v>
      </c>
      <c r="B189" s="1" t="s">
        <v>51</v>
      </c>
      <c r="C189" s="1" t="s">
        <v>52</v>
      </c>
      <c r="D189" s="6">
        <v>22412627</v>
      </c>
      <c r="E189" s="10">
        <v>2067286</v>
      </c>
      <c r="F189" s="10">
        <v>1915099</v>
      </c>
      <c r="G189" s="10">
        <v>2364983</v>
      </c>
      <c r="H189" s="10">
        <v>2154136</v>
      </c>
      <c r="I189" s="10">
        <v>1914771</v>
      </c>
      <c r="J189" s="10">
        <v>1870576</v>
      </c>
      <c r="K189" s="10">
        <v>2037607</v>
      </c>
      <c r="L189" s="10">
        <v>1860304</v>
      </c>
      <c r="M189" s="10">
        <v>1463791</v>
      </c>
      <c r="N189" s="10">
        <v>1686278</v>
      </c>
      <c r="O189" s="10">
        <v>1912876</v>
      </c>
      <c r="P189" s="10">
        <v>2100135</v>
      </c>
      <c r="Q189" s="6">
        <f t="shared" si="4"/>
        <v>23347842</v>
      </c>
      <c r="R189" s="15">
        <f t="shared" si="5"/>
        <v>4.1727147826089217E-2</v>
      </c>
      <c r="S189" s="13"/>
    </row>
    <row r="190" spans="1:21">
      <c r="A190" s="1" t="s">
        <v>16</v>
      </c>
      <c r="B190" s="1" t="s">
        <v>398</v>
      </c>
      <c r="C190" s="1" t="s">
        <v>399</v>
      </c>
      <c r="D190" s="6">
        <v>7514316</v>
      </c>
      <c r="E190" s="10">
        <v>726322</v>
      </c>
      <c r="F190" s="10">
        <v>790124</v>
      </c>
      <c r="G190" s="10">
        <v>1073918</v>
      </c>
      <c r="H190" s="10">
        <v>907832</v>
      </c>
      <c r="I190" s="10">
        <v>587633</v>
      </c>
      <c r="J190" s="10">
        <v>473332</v>
      </c>
      <c r="K190" s="10">
        <v>457194</v>
      </c>
      <c r="L190" s="10">
        <v>420105</v>
      </c>
      <c r="M190" s="10">
        <v>351881</v>
      </c>
      <c r="N190" s="10">
        <v>469145</v>
      </c>
      <c r="O190" s="10">
        <v>612470</v>
      </c>
      <c r="P190" s="10">
        <v>667789</v>
      </c>
      <c r="Q190" s="6">
        <f t="shared" si="4"/>
        <v>7537745</v>
      </c>
      <c r="R190" s="15">
        <f t="shared" si="5"/>
        <v>3.1179151901516988E-3</v>
      </c>
    </row>
    <row r="191" spans="1:21">
      <c r="A191" s="1" t="s">
        <v>16</v>
      </c>
      <c r="B191" s="1" t="s">
        <v>537</v>
      </c>
      <c r="C191" s="1" t="s">
        <v>538</v>
      </c>
      <c r="D191" s="6">
        <v>1139000</v>
      </c>
      <c r="E191" s="10">
        <v>83173</v>
      </c>
      <c r="F191" s="10">
        <v>78138</v>
      </c>
      <c r="G191" s="10">
        <v>88774</v>
      </c>
      <c r="H191" s="10">
        <v>104505</v>
      </c>
      <c r="I191" s="10">
        <v>115530</v>
      </c>
      <c r="J191" s="10">
        <v>124141</v>
      </c>
      <c r="K191" s="10">
        <v>124885</v>
      </c>
      <c r="L191" s="10">
        <v>114677</v>
      </c>
      <c r="M191" s="10">
        <v>106180</v>
      </c>
      <c r="N191" s="10">
        <v>110694</v>
      </c>
      <c r="O191" s="10">
        <v>105109</v>
      </c>
      <c r="P191" s="10">
        <v>105751</v>
      </c>
      <c r="Q191" s="6">
        <f t="shared" si="4"/>
        <v>1261557</v>
      </c>
      <c r="R191" s="15">
        <f t="shared" si="5"/>
        <v>0.10760052677787524</v>
      </c>
    </row>
    <row r="192" spans="1:21">
      <c r="A192" s="1" t="s">
        <v>16</v>
      </c>
      <c r="B192" s="1" t="s">
        <v>432</v>
      </c>
      <c r="C192" s="1" t="s">
        <v>433</v>
      </c>
      <c r="D192" s="6">
        <v>2185924</v>
      </c>
      <c r="E192" s="10">
        <v>172254</v>
      </c>
      <c r="F192" s="10">
        <v>164228</v>
      </c>
      <c r="G192" s="10">
        <v>205834</v>
      </c>
      <c r="H192" s="10">
        <v>183308</v>
      </c>
      <c r="I192" s="10">
        <v>198892</v>
      </c>
      <c r="J192" s="10">
        <v>205349</v>
      </c>
      <c r="K192" s="10">
        <v>221356</v>
      </c>
      <c r="L192" s="10">
        <v>215706</v>
      </c>
      <c r="M192" s="10">
        <v>179772</v>
      </c>
      <c r="N192" s="10">
        <v>185269</v>
      </c>
      <c r="O192" s="10">
        <v>168087</v>
      </c>
      <c r="P192" s="10">
        <v>175277</v>
      </c>
      <c r="Q192" s="6">
        <f t="shared" ref="Q192:Q252" si="6">SUM(E192:P192)</f>
        <v>2275332</v>
      </c>
      <c r="R192" s="15">
        <f t="shared" si="5"/>
        <v>4.0901696490820427E-2</v>
      </c>
    </row>
    <row r="193" spans="1:19">
      <c r="A193" s="1" t="s">
        <v>16</v>
      </c>
      <c r="B193" s="1" t="s">
        <v>447</v>
      </c>
      <c r="C193" s="1" t="s">
        <v>448</v>
      </c>
      <c r="D193" s="6">
        <v>1262013</v>
      </c>
      <c r="E193" s="10">
        <v>87893</v>
      </c>
      <c r="F193" s="10">
        <v>86224</v>
      </c>
      <c r="G193" s="10">
        <v>140292</v>
      </c>
      <c r="H193" s="10">
        <v>155521</v>
      </c>
      <c r="I193" s="10">
        <v>162843</v>
      </c>
      <c r="J193" s="10">
        <v>166596</v>
      </c>
      <c r="K193" s="10">
        <v>170020</v>
      </c>
      <c r="L193" s="10">
        <v>157291</v>
      </c>
      <c r="M193" s="10">
        <v>151450</v>
      </c>
      <c r="N193" s="10">
        <v>170219</v>
      </c>
      <c r="O193" s="10">
        <v>157939</v>
      </c>
      <c r="P193" s="10">
        <v>147610</v>
      </c>
      <c r="Q193" s="6">
        <f t="shared" si="6"/>
        <v>1753898</v>
      </c>
      <c r="R193" s="15">
        <f t="shared" si="5"/>
        <v>0.38976222907370994</v>
      </c>
    </row>
    <row r="194" spans="1:19">
      <c r="A194" s="1" t="s">
        <v>16</v>
      </c>
      <c r="B194" s="1" t="s">
        <v>496</v>
      </c>
      <c r="C194" s="1" t="s">
        <v>497</v>
      </c>
      <c r="D194" s="6">
        <v>5379990</v>
      </c>
      <c r="E194" s="10">
        <v>406380</v>
      </c>
      <c r="F194" s="10">
        <v>396078</v>
      </c>
      <c r="G194" s="10">
        <v>504173</v>
      </c>
      <c r="H194" s="10">
        <v>491558</v>
      </c>
      <c r="I194" s="10">
        <v>505815</v>
      </c>
      <c r="J194" s="10">
        <v>482501</v>
      </c>
      <c r="K194" s="10">
        <v>513450</v>
      </c>
      <c r="L194" s="10">
        <v>505475</v>
      </c>
      <c r="M194" s="10">
        <v>435985</v>
      </c>
      <c r="N194" s="10">
        <v>490341</v>
      </c>
      <c r="O194" s="10">
        <v>446079</v>
      </c>
      <c r="P194" s="10">
        <v>429921</v>
      </c>
      <c r="Q194" s="6">
        <f t="shared" si="6"/>
        <v>5607756</v>
      </c>
      <c r="R194" s="15">
        <f t="shared" si="5"/>
        <v>4.2335766423357679E-2</v>
      </c>
    </row>
    <row r="195" spans="1:19">
      <c r="A195" s="1" t="s">
        <v>16</v>
      </c>
      <c r="B195" s="1" t="s">
        <v>26</v>
      </c>
      <c r="C195" s="1" t="s">
        <v>27</v>
      </c>
      <c r="D195" s="6">
        <v>40479569</v>
      </c>
      <c r="E195" s="10">
        <v>3152812</v>
      </c>
      <c r="F195" s="10">
        <v>2738885</v>
      </c>
      <c r="G195" s="10">
        <v>3448422</v>
      </c>
      <c r="H195" s="10">
        <v>3134880</v>
      </c>
      <c r="I195" s="10">
        <v>3515014</v>
      </c>
      <c r="J195" s="10">
        <v>3700776</v>
      </c>
      <c r="K195" s="10">
        <v>3972089</v>
      </c>
      <c r="L195" s="10">
        <v>3627359</v>
      </c>
      <c r="M195" s="10">
        <v>3014709</v>
      </c>
      <c r="N195" s="10">
        <v>3223932</v>
      </c>
      <c r="O195" s="10">
        <v>3199384</v>
      </c>
      <c r="P195" s="10">
        <v>3442427</v>
      </c>
      <c r="Q195" s="6">
        <f t="shared" si="6"/>
        <v>40170689</v>
      </c>
      <c r="R195" s="15">
        <f t="shared" si="5"/>
        <v>-7.6305160264922289E-3</v>
      </c>
      <c r="S195" s="13"/>
    </row>
    <row r="196" spans="1:19">
      <c r="A196" s="1" t="s">
        <v>16</v>
      </c>
      <c r="B196" s="7" t="s">
        <v>64</v>
      </c>
      <c r="C196" s="7" t="s">
        <v>65</v>
      </c>
      <c r="D196" s="6">
        <v>9054001</v>
      </c>
      <c r="E196" s="10">
        <v>737294</v>
      </c>
      <c r="F196" s="10">
        <v>641312</v>
      </c>
      <c r="G196" s="10">
        <v>843394</v>
      </c>
      <c r="H196" s="10">
        <v>781627</v>
      </c>
      <c r="I196" s="10">
        <v>846528</v>
      </c>
      <c r="J196" s="10">
        <v>888009</v>
      </c>
      <c r="K196" s="10">
        <v>895209</v>
      </c>
      <c r="L196" s="10">
        <v>838217</v>
      </c>
      <c r="M196" s="10">
        <v>780283</v>
      </c>
      <c r="N196" s="10">
        <v>875797</v>
      </c>
      <c r="O196" s="10">
        <v>850201</v>
      </c>
      <c r="P196" s="10">
        <v>852108</v>
      </c>
      <c r="Q196" s="6">
        <f t="shared" si="6"/>
        <v>9829979</v>
      </c>
      <c r="R196" s="15">
        <f t="shared" si="5"/>
        <v>8.5705535044672487E-2</v>
      </c>
      <c r="S196" s="13"/>
    </row>
    <row r="197" spans="1:19">
      <c r="A197" s="1" t="s">
        <v>16</v>
      </c>
      <c r="B197" s="1" t="s">
        <v>351</v>
      </c>
      <c r="C197" s="1" t="s">
        <v>352</v>
      </c>
      <c r="D197" s="6">
        <v>7526414</v>
      </c>
      <c r="E197" s="10">
        <v>542328</v>
      </c>
      <c r="F197" s="10">
        <v>508817</v>
      </c>
      <c r="G197" s="10">
        <v>699308</v>
      </c>
      <c r="H197" s="10">
        <v>628245</v>
      </c>
      <c r="I197" s="10">
        <v>646796</v>
      </c>
      <c r="J197" s="10">
        <v>692011</v>
      </c>
      <c r="K197" s="10">
        <v>691476</v>
      </c>
      <c r="L197" s="10">
        <v>634814</v>
      </c>
      <c r="M197" s="10">
        <v>598092</v>
      </c>
      <c r="N197" s="10">
        <v>655347</v>
      </c>
      <c r="O197" s="10">
        <v>597530</v>
      </c>
      <c r="P197" s="10">
        <v>584071</v>
      </c>
      <c r="Q197" s="6">
        <f t="shared" si="6"/>
        <v>7478835</v>
      </c>
      <c r="R197" s="15">
        <f t="shared" si="5"/>
        <v>-6.3216028243995304E-3</v>
      </c>
      <c r="S197" s="13"/>
    </row>
    <row r="198" spans="1:19">
      <c r="A198" s="1" t="s">
        <v>16</v>
      </c>
      <c r="B198" s="1" t="s">
        <v>449</v>
      </c>
      <c r="C198" s="1" t="s">
        <v>450</v>
      </c>
      <c r="D198" s="6">
        <v>1229340</v>
      </c>
      <c r="E198" s="10">
        <v>86723</v>
      </c>
      <c r="F198" s="10">
        <v>79342</v>
      </c>
      <c r="G198" s="10">
        <v>105492</v>
      </c>
      <c r="H198" s="10">
        <v>96765</v>
      </c>
      <c r="I198" s="10">
        <v>115564</v>
      </c>
      <c r="J198" s="10">
        <v>115535</v>
      </c>
      <c r="K198" s="10">
        <v>115335</v>
      </c>
      <c r="L198" s="10">
        <v>99106</v>
      </c>
      <c r="M198" s="10">
        <v>96658</v>
      </c>
      <c r="N198" s="10">
        <v>108761</v>
      </c>
      <c r="O198" s="10">
        <v>106482</v>
      </c>
      <c r="P198" s="10">
        <v>101411</v>
      </c>
      <c r="Q198" s="6">
        <f t="shared" si="6"/>
        <v>1227174</v>
      </c>
      <c r="R198" s="15">
        <f t="shared" si="5"/>
        <v>-1.7619210307969757E-3</v>
      </c>
    </row>
    <row r="199" spans="1:19">
      <c r="A199" s="1" t="s">
        <v>16</v>
      </c>
      <c r="B199" s="1" t="s">
        <v>486</v>
      </c>
      <c r="C199" s="1" t="s">
        <v>487</v>
      </c>
      <c r="D199" s="6">
        <v>5601500</v>
      </c>
      <c r="E199" s="10">
        <v>388446</v>
      </c>
      <c r="F199" s="10">
        <v>377241</v>
      </c>
      <c r="G199" s="10">
        <v>489989</v>
      </c>
      <c r="H199" s="10">
        <v>470930</v>
      </c>
      <c r="I199" s="10">
        <v>489555</v>
      </c>
      <c r="J199" s="10">
        <v>517231</v>
      </c>
      <c r="K199" s="10">
        <v>531390</v>
      </c>
      <c r="L199" s="10">
        <v>460614</v>
      </c>
      <c r="M199" s="10">
        <v>426347</v>
      </c>
      <c r="N199" s="10">
        <v>466438</v>
      </c>
      <c r="O199" s="10">
        <v>458530</v>
      </c>
      <c r="P199" s="10">
        <v>438546</v>
      </c>
      <c r="Q199" s="6">
        <f t="shared" si="6"/>
        <v>5515257</v>
      </c>
      <c r="R199" s="15">
        <f t="shared" ref="R199:R253" si="7">Q199/D199-1</f>
        <v>-1.5396411675444033E-2</v>
      </c>
      <c r="S199" s="18"/>
    </row>
    <row r="200" spans="1:19" ht="15.75">
      <c r="A200" s="1" t="s">
        <v>16</v>
      </c>
      <c r="B200" s="1" t="s">
        <v>418</v>
      </c>
      <c r="C200" s="1" t="s">
        <v>506</v>
      </c>
      <c r="D200" s="6">
        <v>9912203</v>
      </c>
      <c r="E200" s="10">
        <v>701758</v>
      </c>
      <c r="F200" s="10">
        <v>629489</v>
      </c>
      <c r="G200" s="10">
        <v>834766</v>
      </c>
      <c r="H200" s="10">
        <v>773598</v>
      </c>
      <c r="I200" s="10">
        <v>913672</v>
      </c>
      <c r="J200" s="10">
        <v>976470</v>
      </c>
      <c r="K200" s="10">
        <v>992153</v>
      </c>
      <c r="L200" s="10">
        <v>910256</v>
      </c>
      <c r="M200" s="10">
        <v>841140</v>
      </c>
      <c r="N200" s="10">
        <v>896247</v>
      </c>
      <c r="O200" s="10">
        <v>850552</v>
      </c>
      <c r="P200" s="10">
        <v>838351</v>
      </c>
      <c r="Q200" s="6">
        <f t="shared" si="6"/>
        <v>10158452</v>
      </c>
      <c r="R200" s="15">
        <f t="shared" si="7"/>
        <v>2.4843014211876069E-2</v>
      </c>
    </row>
    <row r="201" spans="1:19">
      <c r="A201" s="1" t="s">
        <v>16</v>
      </c>
      <c r="B201" s="1" t="s">
        <v>445</v>
      </c>
      <c r="C201" s="1" t="s">
        <v>446</v>
      </c>
      <c r="D201" s="6">
        <v>1688393</v>
      </c>
      <c r="E201" s="10">
        <v>114929</v>
      </c>
      <c r="F201" s="10">
        <v>109384</v>
      </c>
      <c r="G201" s="10">
        <v>143459</v>
      </c>
      <c r="H201" s="10">
        <v>133417</v>
      </c>
      <c r="I201" s="10">
        <v>156578</v>
      </c>
      <c r="J201" s="10">
        <v>175217</v>
      </c>
      <c r="K201" s="10">
        <v>176616</v>
      </c>
      <c r="L201" s="10">
        <v>154731</v>
      </c>
      <c r="M201" s="10">
        <v>152233</v>
      </c>
      <c r="N201" s="10">
        <v>167328</v>
      </c>
      <c r="O201" s="10">
        <v>145847</v>
      </c>
      <c r="P201" s="10">
        <v>144043</v>
      </c>
      <c r="Q201" s="6">
        <f t="shared" si="6"/>
        <v>1773782</v>
      </c>
      <c r="R201" s="15">
        <f t="shared" si="7"/>
        <v>5.0574125810756154E-2</v>
      </c>
    </row>
    <row r="202" spans="1:19">
      <c r="A202" s="1" t="s">
        <v>16</v>
      </c>
      <c r="B202" s="1" t="s">
        <v>28</v>
      </c>
      <c r="C202" s="1" t="s">
        <v>29</v>
      </c>
      <c r="D202" s="6">
        <v>39757359</v>
      </c>
      <c r="E202" s="10">
        <v>3165368</v>
      </c>
      <c r="F202" s="10">
        <v>2915992</v>
      </c>
      <c r="G202" s="10">
        <v>3564841</v>
      </c>
      <c r="H202" s="10">
        <v>3459970</v>
      </c>
      <c r="I202" s="10">
        <v>3652634</v>
      </c>
      <c r="J202" s="10">
        <v>3592789</v>
      </c>
      <c r="K202" s="10">
        <v>3692055</v>
      </c>
      <c r="L202" s="10">
        <v>3632969</v>
      </c>
      <c r="M202" s="10">
        <v>3535702</v>
      </c>
      <c r="N202" s="10">
        <v>3744609</v>
      </c>
      <c r="O202" s="10">
        <v>3318893</v>
      </c>
      <c r="P202" s="10">
        <v>3204016</v>
      </c>
      <c r="Q202" s="6">
        <f t="shared" si="6"/>
        <v>41479838</v>
      </c>
      <c r="R202" s="15">
        <f t="shared" si="7"/>
        <v>4.33247842242237E-2</v>
      </c>
      <c r="S202" s="13"/>
    </row>
    <row r="203" spans="1:19">
      <c r="A203" s="1" t="s">
        <v>16</v>
      </c>
      <c r="B203" s="1" t="s">
        <v>429</v>
      </c>
      <c r="C203" s="1" t="s">
        <v>430</v>
      </c>
      <c r="D203" s="6">
        <v>2255202</v>
      </c>
      <c r="E203" s="10">
        <v>155322</v>
      </c>
      <c r="F203" s="10">
        <v>135309</v>
      </c>
      <c r="G203" s="10">
        <v>181095</v>
      </c>
      <c r="H203" s="10">
        <v>171718</v>
      </c>
      <c r="I203" s="10">
        <v>199200</v>
      </c>
      <c r="J203" s="10">
        <v>212233</v>
      </c>
      <c r="K203" s="10">
        <v>212190</v>
      </c>
      <c r="L203" s="10">
        <v>189436</v>
      </c>
      <c r="M203" s="10">
        <v>182445</v>
      </c>
      <c r="N203" s="10">
        <v>194843</v>
      </c>
      <c r="O203" s="10">
        <v>190399</v>
      </c>
      <c r="P203" s="10">
        <v>180394</v>
      </c>
      <c r="Q203" s="6">
        <f t="shared" si="6"/>
        <v>2204584</v>
      </c>
      <c r="R203" s="15">
        <f t="shared" si="7"/>
        <v>-2.2444996058002764E-2</v>
      </c>
    </row>
    <row r="204" spans="1:19">
      <c r="A204" s="1" t="s">
        <v>16</v>
      </c>
      <c r="B204" s="1" t="s">
        <v>427</v>
      </c>
      <c r="C204" s="1" t="s">
        <v>428</v>
      </c>
      <c r="D204" s="6">
        <v>2978323</v>
      </c>
      <c r="E204" s="10">
        <v>219989</v>
      </c>
      <c r="F204" s="10">
        <v>208890</v>
      </c>
      <c r="G204" s="10">
        <v>237439</v>
      </c>
      <c r="H204" s="10">
        <v>243846</v>
      </c>
      <c r="I204" s="10">
        <v>261095</v>
      </c>
      <c r="J204" s="10">
        <v>278268</v>
      </c>
      <c r="K204" s="10">
        <v>309212</v>
      </c>
      <c r="L204" s="10">
        <v>306080</v>
      </c>
      <c r="M204" s="10">
        <v>265032</v>
      </c>
      <c r="N204" s="10">
        <v>271326</v>
      </c>
      <c r="O204" s="10">
        <v>256062</v>
      </c>
      <c r="P204" s="10">
        <v>258194</v>
      </c>
      <c r="Q204" s="6">
        <f t="shared" si="6"/>
        <v>3115433</v>
      </c>
      <c r="R204" s="15">
        <f t="shared" si="7"/>
        <v>4.6035973935667718E-2</v>
      </c>
      <c r="S204" s="13"/>
    </row>
    <row r="205" spans="1:19">
      <c r="A205" s="1" t="s">
        <v>16</v>
      </c>
      <c r="B205" s="1" t="s">
        <v>20</v>
      </c>
      <c r="C205" s="1" t="s">
        <v>21</v>
      </c>
      <c r="D205" s="6">
        <v>59069409</v>
      </c>
      <c r="E205" s="10">
        <v>4664231</v>
      </c>
      <c r="F205" s="10">
        <v>4121536</v>
      </c>
      <c r="G205" s="10">
        <v>4951017</v>
      </c>
      <c r="H205" s="10">
        <v>5028149</v>
      </c>
      <c r="I205" s="10">
        <v>5476188</v>
      </c>
      <c r="J205" s="10">
        <v>5631638</v>
      </c>
      <c r="K205" s="10">
        <v>6071342</v>
      </c>
      <c r="L205" s="10">
        <v>5918524</v>
      </c>
      <c r="M205" s="10">
        <v>4980288</v>
      </c>
      <c r="N205" s="10">
        <v>5124604</v>
      </c>
      <c r="O205" s="10">
        <v>4862577</v>
      </c>
      <c r="P205" s="10">
        <v>5028644</v>
      </c>
      <c r="Q205" s="6">
        <f t="shared" si="6"/>
        <v>61858738</v>
      </c>
      <c r="R205" s="15">
        <f t="shared" si="7"/>
        <v>4.7221210559259097E-2</v>
      </c>
      <c r="S205" s="13"/>
    </row>
    <row r="206" spans="1:19">
      <c r="A206" s="1" t="s">
        <v>16</v>
      </c>
      <c r="B206" s="1" t="s">
        <v>507</v>
      </c>
      <c r="C206" s="1" t="s">
        <v>402</v>
      </c>
      <c r="D206" s="6">
        <v>4785469</v>
      </c>
      <c r="E206" s="10">
        <v>364443</v>
      </c>
      <c r="F206" s="10">
        <v>334062</v>
      </c>
      <c r="G206" s="10">
        <v>403855</v>
      </c>
      <c r="H206" s="10">
        <v>393870</v>
      </c>
      <c r="I206" s="10">
        <v>396278</v>
      </c>
      <c r="J206" s="10">
        <v>390676</v>
      </c>
      <c r="K206" s="10">
        <v>396207</v>
      </c>
      <c r="L206" s="10">
        <v>398016</v>
      </c>
      <c r="M206" s="10">
        <v>360307</v>
      </c>
      <c r="N206" s="10">
        <v>368907</v>
      </c>
      <c r="O206" s="10">
        <v>373251</v>
      </c>
      <c r="P206" s="10">
        <v>371361</v>
      </c>
      <c r="Q206" s="6">
        <f t="shared" si="6"/>
        <v>4551233</v>
      </c>
      <c r="R206" s="15">
        <f t="shared" si="7"/>
        <v>-4.8947344554943317E-2</v>
      </c>
    </row>
    <row r="207" spans="1:19">
      <c r="A207" s="1" t="s">
        <v>16</v>
      </c>
      <c r="B207" s="1" t="s">
        <v>500</v>
      </c>
      <c r="C207" s="1" t="s">
        <v>501</v>
      </c>
      <c r="D207" s="6">
        <v>3349162</v>
      </c>
      <c r="E207" s="10">
        <v>224437</v>
      </c>
      <c r="F207" s="10">
        <v>223880</v>
      </c>
      <c r="G207" s="10">
        <v>289285</v>
      </c>
      <c r="H207" s="10">
        <v>273418</v>
      </c>
      <c r="I207" s="10">
        <v>324760</v>
      </c>
      <c r="J207" s="10">
        <v>324702</v>
      </c>
      <c r="K207" s="10">
        <v>319921</v>
      </c>
      <c r="L207" s="10">
        <v>278358</v>
      </c>
      <c r="M207" s="10">
        <v>287465</v>
      </c>
      <c r="N207" s="10">
        <v>318221</v>
      </c>
      <c r="O207" s="10">
        <v>278710</v>
      </c>
      <c r="P207" s="10">
        <v>255978</v>
      </c>
      <c r="Q207" s="6">
        <f t="shared" si="6"/>
        <v>3399135</v>
      </c>
      <c r="R207" s="15">
        <f t="shared" si="7"/>
        <v>1.4921045921338028E-2</v>
      </c>
    </row>
    <row r="208" spans="1:19">
      <c r="A208" s="1" t="s">
        <v>16</v>
      </c>
      <c r="B208" s="1" t="s">
        <v>522</v>
      </c>
      <c r="C208" s="1" t="s">
        <v>523</v>
      </c>
      <c r="D208" s="6">
        <v>10003186</v>
      </c>
      <c r="E208" s="10">
        <v>689599</v>
      </c>
      <c r="F208" s="10">
        <v>640806</v>
      </c>
      <c r="G208" s="10">
        <v>839334</v>
      </c>
      <c r="H208" s="10">
        <v>743041</v>
      </c>
      <c r="I208" s="10">
        <v>799798</v>
      </c>
      <c r="J208" s="10">
        <v>789039</v>
      </c>
      <c r="K208" s="10">
        <v>794350</v>
      </c>
      <c r="L208" s="10">
        <v>746840</v>
      </c>
      <c r="M208" s="10">
        <v>689562</v>
      </c>
      <c r="N208" s="10">
        <v>714229</v>
      </c>
      <c r="O208" s="10">
        <v>662089</v>
      </c>
      <c r="P208" s="10">
        <v>628888</v>
      </c>
      <c r="Q208" s="6">
        <f t="shared" si="6"/>
        <v>8737575</v>
      </c>
      <c r="R208" s="15">
        <f t="shared" si="7"/>
        <v>-0.12652079047615428</v>
      </c>
    </row>
    <row r="209" spans="1:19">
      <c r="A209" s="1" t="s">
        <v>16</v>
      </c>
      <c r="B209" s="1" t="s">
        <v>36</v>
      </c>
      <c r="C209" s="1" t="s">
        <v>37</v>
      </c>
      <c r="D209" s="6">
        <v>35698025</v>
      </c>
      <c r="E209" s="10">
        <v>3214244</v>
      </c>
      <c r="F209" s="10">
        <v>2836469</v>
      </c>
      <c r="G209" s="10">
        <v>3266783</v>
      </c>
      <c r="H209" s="10">
        <v>3166546</v>
      </c>
      <c r="I209" s="10">
        <v>3178553</v>
      </c>
      <c r="J209" s="10">
        <v>3209234</v>
      </c>
      <c r="K209" s="10">
        <v>3599481</v>
      </c>
      <c r="L209" s="10">
        <v>3337719</v>
      </c>
      <c r="M209" s="10">
        <v>2787602</v>
      </c>
      <c r="N209" s="10">
        <v>3045128</v>
      </c>
      <c r="O209" s="10">
        <v>3180589</v>
      </c>
      <c r="P209" s="10">
        <v>3492041</v>
      </c>
      <c r="Q209" s="6">
        <v>38314389</v>
      </c>
      <c r="R209" s="15">
        <f t="shared" si="7"/>
        <v>7.3291561648018311E-2</v>
      </c>
    </row>
    <row r="210" spans="1:19">
      <c r="A210" s="1" t="s">
        <v>16</v>
      </c>
      <c r="B210" s="1" t="s">
        <v>346</v>
      </c>
      <c r="C210" s="1" t="s">
        <v>347</v>
      </c>
      <c r="D210" s="6">
        <v>9848377</v>
      </c>
      <c r="E210" s="10">
        <v>707565</v>
      </c>
      <c r="F210" s="10">
        <v>652380</v>
      </c>
      <c r="G210" s="10">
        <v>896158</v>
      </c>
      <c r="H210" s="10">
        <v>844453</v>
      </c>
      <c r="I210" s="10">
        <v>883950</v>
      </c>
      <c r="J210" s="10">
        <v>877694</v>
      </c>
      <c r="K210" s="10">
        <v>899751</v>
      </c>
      <c r="L210" s="10">
        <v>902518</v>
      </c>
      <c r="M210" s="10">
        <v>742067</v>
      </c>
      <c r="N210" s="10">
        <v>779432</v>
      </c>
      <c r="O210" s="10">
        <v>684937</v>
      </c>
      <c r="P210" s="10">
        <v>651551</v>
      </c>
      <c r="Q210" s="6">
        <f t="shared" si="6"/>
        <v>9522456</v>
      </c>
      <c r="R210" s="15">
        <f t="shared" si="7"/>
        <v>-3.3093879326512421E-2</v>
      </c>
    </row>
    <row r="211" spans="1:19" ht="15.75">
      <c r="A211" s="1" t="s">
        <v>16</v>
      </c>
      <c r="B211" s="1" t="s">
        <v>387</v>
      </c>
      <c r="C211" s="1" t="s">
        <v>41</v>
      </c>
      <c r="D211" s="6">
        <v>32839441</v>
      </c>
      <c r="E211" s="10">
        <v>2358119</v>
      </c>
      <c r="F211" s="10">
        <v>2202646</v>
      </c>
      <c r="G211" s="10">
        <v>2924834</v>
      </c>
      <c r="H211" s="10">
        <v>2626501</v>
      </c>
      <c r="I211" s="10">
        <v>2794426</v>
      </c>
      <c r="J211" s="10">
        <v>3133823</v>
      </c>
      <c r="K211" s="10">
        <v>3365310</v>
      </c>
      <c r="L211" s="10">
        <v>3275120</v>
      </c>
      <c r="M211" s="10">
        <v>2706961</v>
      </c>
      <c r="N211" s="10">
        <v>2779189</v>
      </c>
      <c r="O211" s="10">
        <v>2462164</v>
      </c>
      <c r="P211" s="10">
        <v>2468486</v>
      </c>
      <c r="Q211" s="6">
        <f t="shared" si="6"/>
        <v>33097579</v>
      </c>
      <c r="R211" s="15">
        <f t="shared" si="7"/>
        <v>7.8606088331405477E-3</v>
      </c>
    </row>
    <row r="212" spans="1:19">
      <c r="A212" s="1" t="s">
        <v>16</v>
      </c>
      <c r="B212" s="1" t="s">
        <v>515</v>
      </c>
      <c r="C212" s="1" t="s">
        <v>516</v>
      </c>
      <c r="D212" s="6">
        <v>1736138</v>
      </c>
      <c r="E212" s="10">
        <v>69459</v>
      </c>
      <c r="F212" s="10">
        <v>68043</v>
      </c>
      <c r="G212" s="10">
        <v>126908</v>
      </c>
      <c r="H212" s="10">
        <v>154858</v>
      </c>
      <c r="I212" s="10">
        <v>204638</v>
      </c>
      <c r="J212" s="10"/>
      <c r="K212" s="10"/>
      <c r="L212" s="10"/>
      <c r="M212" s="10"/>
      <c r="N212" s="10"/>
      <c r="O212" s="10"/>
      <c r="P212" s="10"/>
      <c r="Q212" s="6">
        <f t="shared" si="6"/>
        <v>623906</v>
      </c>
      <c r="R212" s="15">
        <f t="shared" si="7"/>
        <v>-0.6406357098341261</v>
      </c>
      <c r="S212" s="13"/>
    </row>
    <row r="213" spans="1:19">
      <c r="A213" s="1" t="s">
        <v>16</v>
      </c>
      <c r="B213" s="1" t="s">
        <v>359</v>
      </c>
      <c r="C213" s="1" t="s">
        <v>360</v>
      </c>
      <c r="D213" s="6">
        <v>9076503</v>
      </c>
      <c r="E213" s="10">
        <v>683721</v>
      </c>
      <c r="F213" s="10">
        <v>623697</v>
      </c>
      <c r="G213" s="10">
        <v>824740</v>
      </c>
      <c r="H213" s="10">
        <v>795362</v>
      </c>
      <c r="I213" s="10">
        <v>885570</v>
      </c>
      <c r="J213" s="10">
        <v>894848</v>
      </c>
      <c r="K213" s="10">
        <v>882303</v>
      </c>
      <c r="L213" s="10">
        <v>805692</v>
      </c>
      <c r="M213" s="10">
        <v>780883</v>
      </c>
      <c r="N213" s="10">
        <v>878274</v>
      </c>
      <c r="O213" s="10">
        <v>781543</v>
      </c>
      <c r="P213" s="10">
        <v>765536</v>
      </c>
      <c r="Q213" s="6">
        <f t="shared" si="6"/>
        <v>9602169</v>
      </c>
      <c r="R213" s="15">
        <f t="shared" si="7"/>
        <v>5.7915036220447469E-2</v>
      </c>
    </row>
    <row r="214" spans="1:19">
      <c r="A214" s="1" t="s">
        <v>16</v>
      </c>
      <c r="B214" s="1" t="s">
        <v>405</v>
      </c>
      <c r="C214" s="1" t="s">
        <v>406</v>
      </c>
      <c r="D214" s="6">
        <v>8197868</v>
      </c>
      <c r="E214" s="10">
        <v>643021</v>
      </c>
      <c r="F214" s="10">
        <v>621220</v>
      </c>
      <c r="G214" s="10">
        <v>809824</v>
      </c>
      <c r="H214" s="10">
        <v>775386</v>
      </c>
      <c r="I214" s="10">
        <v>815613</v>
      </c>
      <c r="J214" s="10">
        <v>769895</v>
      </c>
      <c r="K214" s="10">
        <v>715165</v>
      </c>
      <c r="L214" s="10">
        <v>628246</v>
      </c>
      <c r="M214" s="10">
        <v>621042</v>
      </c>
      <c r="N214" s="10">
        <v>772879</v>
      </c>
      <c r="O214" s="10">
        <v>716429</v>
      </c>
      <c r="P214" s="10">
        <v>690317</v>
      </c>
      <c r="Q214" s="6">
        <f t="shared" si="6"/>
        <v>8579037</v>
      </c>
      <c r="R214" s="15">
        <f t="shared" si="7"/>
        <v>4.6496113379722592E-2</v>
      </c>
      <c r="S214" s="13"/>
    </row>
    <row r="215" spans="1:19" ht="15.75">
      <c r="A215" s="1" t="s">
        <v>16</v>
      </c>
      <c r="B215" s="1" t="s">
        <v>388</v>
      </c>
      <c r="C215" s="1" t="s">
        <v>25</v>
      </c>
      <c r="D215" s="6">
        <v>47870230</v>
      </c>
      <c r="E215" s="10">
        <v>3494048</v>
      </c>
      <c r="F215" s="10">
        <v>3083021</v>
      </c>
      <c r="G215" s="10">
        <v>3978689</v>
      </c>
      <c r="H215" s="10">
        <v>4057704</v>
      </c>
      <c r="I215" s="10">
        <v>4316403</v>
      </c>
      <c r="J215" s="10">
        <v>4484343</v>
      </c>
      <c r="K215" s="10">
        <v>4968189</v>
      </c>
      <c r="L215" s="10">
        <v>4675714</v>
      </c>
      <c r="M215" s="10">
        <v>4156721</v>
      </c>
      <c r="N215" s="10">
        <v>4134084</v>
      </c>
      <c r="O215" s="10">
        <v>3696617</v>
      </c>
      <c r="P215" s="10">
        <v>3828426</v>
      </c>
      <c r="Q215" s="6">
        <f t="shared" si="6"/>
        <v>48873959</v>
      </c>
      <c r="R215" s="15">
        <f t="shared" si="7"/>
        <v>2.0967707905309885E-2</v>
      </c>
      <c r="S215" s="13"/>
    </row>
    <row r="216" spans="1:19" ht="15.75">
      <c r="A216" s="1" t="s">
        <v>16</v>
      </c>
      <c r="B216" s="1" t="s">
        <v>389</v>
      </c>
      <c r="C216" s="1" t="s">
        <v>49</v>
      </c>
      <c r="D216" s="6">
        <v>23591554</v>
      </c>
      <c r="E216" s="10">
        <v>1692094</v>
      </c>
      <c r="F216" s="10">
        <v>1606882</v>
      </c>
      <c r="G216" s="10">
        <v>2079495</v>
      </c>
      <c r="H216" s="10">
        <v>2099424</v>
      </c>
      <c r="I216" s="10">
        <v>2266114</v>
      </c>
      <c r="J216" s="10">
        <v>2245295</v>
      </c>
      <c r="K216" s="10">
        <v>2298226</v>
      </c>
      <c r="L216" s="10">
        <v>2238820</v>
      </c>
      <c r="M216" s="10">
        <v>2069704</v>
      </c>
      <c r="N216" s="10">
        <v>2178245</v>
      </c>
      <c r="O216" s="10">
        <v>2039282</v>
      </c>
      <c r="P216" s="10">
        <v>2005156</v>
      </c>
      <c r="Q216" s="6">
        <f t="shared" si="6"/>
        <v>24818737</v>
      </c>
      <c r="R216" s="15">
        <f t="shared" si="7"/>
        <v>5.2017895896133037E-2</v>
      </c>
      <c r="S216" s="13"/>
    </row>
    <row r="217" spans="1:19" ht="15.75">
      <c r="A217" s="1" t="s">
        <v>16</v>
      </c>
      <c r="B217" s="1" t="s">
        <v>390</v>
      </c>
      <c r="C217" s="1" t="s">
        <v>40</v>
      </c>
      <c r="D217" s="6">
        <v>34158072</v>
      </c>
      <c r="E217" s="10">
        <v>2355629</v>
      </c>
      <c r="F217" s="10">
        <v>2148668</v>
      </c>
      <c r="G217" s="10">
        <v>2793759</v>
      </c>
      <c r="H217" s="10">
        <v>3009516</v>
      </c>
      <c r="I217" s="10">
        <v>3095808</v>
      </c>
      <c r="J217" s="10">
        <v>3221559</v>
      </c>
      <c r="K217" s="10">
        <v>3480085</v>
      </c>
      <c r="L217" s="10">
        <v>3213048</v>
      </c>
      <c r="M217" s="10">
        <v>2809711</v>
      </c>
      <c r="N217" s="10">
        <v>2910895</v>
      </c>
      <c r="O217" s="10">
        <v>2711098</v>
      </c>
      <c r="P217" s="10">
        <v>2766279</v>
      </c>
      <c r="Q217" s="6">
        <f t="shared" si="6"/>
        <v>34516055</v>
      </c>
      <c r="R217" s="15">
        <f t="shared" si="7"/>
        <v>1.0480187523464357E-2</v>
      </c>
      <c r="S217" s="13"/>
    </row>
    <row r="218" spans="1:19">
      <c r="A218" s="1" t="s">
        <v>16</v>
      </c>
      <c r="B218" s="1" t="s">
        <v>419</v>
      </c>
      <c r="C218" s="1" t="s">
        <v>420</v>
      </c>
      <c r="D218" s="6">
        <v>3332466</v>
      </c>
      <c r="E218" s="10">
        <v>215840</v>
      </c>
      <c r="F218" s="10">
        <v>190802</v>
      </c>
      <c r="G218" s="10">
        <v>251015</v>
      </c>
      <c r="H218" s="10">
        <v>268355</v>
      </c>
      <c r="I218" s="10">
        <v>302720</v>
      </c>
      <c r="J218" s="10">
        <v>311806</v>
      </c>
      <c r="K218" s="10">
        <v>327932</v>
      </c>
      <c r="L218" s="10">
        <v>295690</v>
      </c>
      <c r="M218" s="10">
        <v>257096</v>
      </c>
      <c r="N218" s="10">
        <v>258386</v>
      </c>
      <c r="O218" s="10">
        <v>256740</v>
      </c>
      <c r="P218" s="10">
        <v>257006</v>
      </c>
      <c r="Q218" s="6">
        <f t="shared" si="6"/>
        <v>3193388</v>
      </c>
      <c r="R218" s="15">
        <f t="shared" si="7"/>
        <v>-4.1734259254257999E-2</v>
      </c>
      <c r="S218" s="13"/>
    </row>
    <row r="219" spans="1:19">
      <c r="A219" s="1" t="s">
        <v>16</v>
      </c>
      <c r="B219" s="1" t="s">
        <v>357</v>
      </c>
      <c r="C219" s="1" t="s">
        <v>358</v>
      </c>
      <c r="D219" s="6">
        <v>9542333</v>
      </c>
      <c r="E219" s="10">
        <v>693666</v>
      </c>
      <c r="F219" s="10">
        <v>644857</v>
      </c>
      <c r="G219" s="10">
        <v>750768</v>
      </c>
      <c r="H219" s="10">
        <v>719894</v>
      </c>
      <c r="I219" s="10">
        <v>775434</v>
      </c>
      <c r="J219" s="10">
        <v>819418</v>
      </c>
      <c r="K219" s="10">
        <v>835282</v>
      </c>
      <c r="L219" s="10">
        <v>855290</v>
      </c>
      <c r="M219" s="10">
        <v>764110</v>
      </c>
      <c r="N219" s="10">
        <v>795824</v>
      </c>
      <c r="O219" s="10">
        <v>797859</v>
      </c>
      <c r="P219" s="10">
        <v>814168</v>
      </c>
      <c r="Q219" s="6">
        <f t="shared" si="6"/>
        <v>9266570</v>
      </c>
      <c r="R219" s="15">
        <f t="shared" si="7"/>
        <v>-2.8898907636109583E-2</v>
      </c>
      <c r="S219" s="13"/>
    </row>
    <row r="220" spans="1:19">
      <c r="A220" s="1" t="s">
        <v>16</v>
      </c>
      <c r="B220" s="1" t="s">
        <v>453</v>
      </c>
      <c r="C220" s="1" t="s">
        <v>454</v>
      </c>
      <c r="D220" s="6">
        <v>3466127</v>
      </c>
      <c r="E220" s="10">
        <v>249738</v>
      </c>
      <c r="F220" s="10">
        <v>216479</v>
      </c>
      <c r="G220" s="10">
        <v>282773</v>
      </c>
      <c r="H220" s="10">
        <v>278899</v>
      </c>
      <c r="I220" s="10">
        <v>326059</v>
      </c>
      <c r="J220" s="10">
        <v>335608</v>
      </c>
      <c r="K220" s="10">
        <v>337907</v>
      </c>
      <c r="L220" s="10">
        <v>311590</v>
      </c>
      <c r="M220" s="10">
        <v>302127</v>
      </c>
      <c r="N220" s="10">
        <v>322436</v>
      </c>
      <c r="O220" s="10">
        <v>301818</v>
      </c>
      <c r="P220" s="10">
        <v>296171</v>
      </c>
      <c r="Q220" s="6">
        <f t="shared" si="6"/>
        <v>3561605</v>
      </c>
      <c r="R220" s="15">
        <f t="shared" si="7"/>
        <v>2.7546018942756545E-2</v>
      </c>
      <c r="S220" s="13"/>
    </row>
    <row r="221" spans="1:19">
      <c r="A221" s="1" t="s">
        <v>16</v>
      </c>
      <c r="B221" s="1" t="s">
        <v>412</v>
      </c>
      <c r="C221" s="1" t="s">
        <v>413</v>
      </c>
      <c r="D221" s="6">
        <v>4287428</v>
      </c>
      <c r="E221" s="10">
        <v>303971</v>
      </c>
      <c r="F221" s="10">
        <v>301401</v>
      </c>
      <c r="G221" s="10">
        <v>377717</v>
      </c>
      <c r="H221" s="10">
        <v>338275</v>
      </c>
      <c r="I221" s="10">
        <v>386436</v>
      </c>
      <c r="J221" s="10">
        <v>404850</v>
      </c>
      <c r="K221" s="10">
        <v>396169</v>
      </c>
      <c r="L221" s="10">
        <v>355058</v>
      </c>
      <c r="M221" s="10">
        <v>343188</v>
      </c>
      <c r="N221" s="10">
        <v>355615</v>
      </c>
      <c r="O221" s="10">
        <v>329228</v>
      </c>
      <c r="P221" s="10">
        <v>319568</v>
      </c>
      <c r="Q221" s="6">
        <f t="shared" si="6"/>
        <v>4211476</v>
      </c>
      <c r="R221" s="15">
        <f t="shared" si="7"/>
        <v>-1.7715049675469774E-2</v>
      </c>
    </row>
    <row r="222" spans="1:19">
      <c r="A222" s="1" t="s">
        <v>16</v>
      </c>
      <c r="B222" s="1" t="s">
        <v>38</v>
      </c>
      <c r="C222" s="1" t="s">
        <v>39</v>
      </c>
      <c r="D222" s="6">
        <v>34877899</v>
      </c>
      <c r="E222" s="10">
        <v>2875335</v>
      </c>
      <c r="F222" s="10">
        <v>2707483</v>
      </c>
      <c r="G222" s="10">
        <v>3401183</v>
      </c>
      <c r="H222" s="10">
        <v>3181663</v>
      </c>
      <c r="I222" s="10">
        <v>3050780</v>
      </c>
      <c r="J222" s="10">
        <v>2991236</v>
      </c>
      <c r="K222" s="10">
        <v>3271795</v>
      </c>
      <c r="L222" s="10">
        <v>2931380</v>
      </c>
      <c r="M222" s="10">
        <v>2400996</v>
      </c>
      <c r="N222" s="10">
        <v>2750737</v>
      </c>
      <c r="O222" s="10">
        <v>2823428</v>
      </c>
      <c r="P222" s="10">
        <v>2966268</v>
      </c>
      <c r="Q222" s="6">
        <f t="shared" si="6"/>
        <v>35352284</v>
      </c>
      <c r="R222" s="15">
        <f t="shared" si="7"/>
        <v>1.3601306661275681E-2</v>
      </c>
      <c r="S222" s="13"/>
    </row>
    <row r="223" spans="1:19">
      <c r="A223" s="1" t="s">
        <v>16</v>
      </c>
      <c r="B223" s="1" t="s">
        <v>441</v>
      </c>
      <c r="C223" s="1" t="s">
        <v>442</v>
      </c>
      <c r="D223" s="6">
        <v>1165435</v>
      </c>
      <c r="E223" s="10">
        <v>69431</v>
      </c>
      <c r="F223" s="10">
        <v>98208</v>
      </c>
      <c r="G223" s="10">
        <v>134963</v>
      </c>
      <c r="H223" s="10">
        <v>152537</v>
      </c>
      <c r="I223" s="10">
        <v>124461</v>
      </c>
      <c r="J223" s="10">
        <v>165054</v>
      </c>
      <c r="K223" s="10">
        <v>212297</v>
      </c>
      <c r="L223" s="10">
        <v>162220</v>
      </c>
      <c r="M223" s="10">
        <v>107221</v>
      </c>
      <c r="N223" s="10">
        <v>123755</v>
      </c>
      <c r="O223" s="10">
        <v>102502</v>
      </c>
      <c r="P223" s="10">
        <v>124658</v>
      </c>
      <c r="Q223" s="6">
        <f t="shared" si="6"/>
        <v>1577307</v>
      </c>
      <c r="R223" s="15">
        <f t="shared" si="7"/>
        <v>0.35340623887218081</v>
      </c>
    </row>
    <row r="224" spans="1:19">
      <c r="A224" s="1" t="s">
        <v>16</v>
      </c>
      <c r="B224" s="1" t="s">
        <v>400</v>
      </c>
      <c r="C224" s="1" t="s">
        <v>401</v>
      </c>
      <c r="D224" s="6">
        <v>5887723</v>
      </c>
      <c r="E224" s="10">
        <v>538663</v>
      </c>
      <c r="F224" s="10">
        <v>542307</v>
      </c>
      <c r="G224" s="10">
        <v>702305</v>
      </c>
      <c r="H224" s="10">
        <v>604985</v>
      </c>
      <c r="I224" s="10">
        <v>460647</v>
      </c>
      <c r="J224" s="10">
        <v>403437</v>
      </c>
      <c r="K224" s="10">
        <v>417539</v>
      </c>
      <c r="L224" s="10">
        <v>392088</v>
      </c>
      <c r="M224" s="10">
        <v>320025</v>
      </c>
      <c r="N224" s="10">
        <v>392650</v>
      </c>
      <c r="O224" s="10">
        <v>478467</v>
      </c>
      <c r="P224" s="10">
        <v>514094</v>
      </c>
      <c r="Q224" s="6">
        <f t="shared" si="6"/>
        <v>5767207</v>
      </c>
      <c r="R224" s="15">
        <f t="shared" si="7"/>
        <v>-2.0469033614523013E-2</v>
      </c>
    </row>
    <row r="225" spans="1:19">
      <c r="A225" s="1" t="s">
        <v>16</v>
      </c>
      <c r="B225" s="1" t="s">
        <v>455</v>
      </c>
      <c r="C225" s="1" t="s">
        <v>456</v>
      </c>
      <c r="D225" s="6">
        <v>1495167</v>
      </c>
      <c r="E225" s="10">
        <v>159312</v>
      </c>
      <c r="F225" s="10">
        <v>168277</v>
      </c>
      <c r="G225" s="10">
        <v>206906</v>
      </c>
      <c r="H225" s="10">
        <v>176769</v>
      </c>
      <c r="I225" s="10">
        <v>108268</v>
      </c>
      <c r="J225" s="10">
        <v>65003</v>
      </c>
      <c r="K225" s="10">
        <v>58586</v>
      </c>
      <c r="L225" s="10">
        <v>58086</v>
      </c>
      <c r="M225" s="10">
        <v>72260</v>
      </c>
      <c r="N225" s="10">
        <v>114425</v>
      </c>
      <c r="O225" s="10">
        <v>158410</v>
      </c>
      <c r="P225" s="10">
        <v>164848</v>
      </c>
      <c r="Q225" s="6">
        <f t="shared" si="6"/>
        <v>1511150</v>
      </c>
      <c r="R225" s="15">
        <f t="shared" si="7"/>
        <v>1.0689775790931666E-2</v>
      </c>
    </row>
    <row r="226" spans="1:19">
      <c r="A226" s="1" t="s">
        <v>16</v>
      </c>
      <c r="B226" s="1" t="s">
        <v>46</v>
      </c>
      <c r="C226" s="1" t="s">
        <v>47</v>
      </c>
      <c r="D226" s="6">
        <v>30775961</v>
      </c>
      <c r="E226" s="10">
        <v>2211903</v>
      </c>
      <c r="F226" s="10">
        <v>2051065</v>
      </c>
      <c r="G226" s="10">
        <v>2702551</v>
      </c>
      <c r="H226" s="10">
        <v>2614760</v>
      </c>
      <c r="I226" s="10">
        <v>2788574</v>
      </c>
      <c r="J226" s="10">
        <v>2800215</v>
      </c>
      <c r="K226" s="10">
        <v>2893145</v>
      </c>
      <c r="L226" s="10">
        <v>2774522</v>
      </c>
      <c r="M226" s="10">
        <v>2501090</v>
      </c>
      <c r="N226" s="10">
        <v>2612330</v>
      </c>
      <c r="O226" s="10">
        <v>2447246</v>
      </c>
      <c r="P226" s="10">
        <v>2441729</v>
      </c>
      <c r="Q226" s="6">
        <f t="shared" si="6"/>
        <v>30839130</v>
      </c>
      <c r="R226" s="15">
        <f t="shared" si="7"/>
        <v>2.0525435420197802E-3</v>
      </c>
      <c r="S226" s="19"/>
    </row>
    <row r="227" spans="1:19">
      <c r="A227" s="1" t="s">
        <v>16</v>
      </c>
      <c r="B227" s="1" t="s">
        <v>32</v>
      </c>
      <c r="C227" s="1" t="s">
        <v>33</v>
      </c>
      <c r="D227" s="6">
        <v>38554530</v>
      </c>
      <c r="E227" s="10">
        <v>3251283</v>
      </c>
      <c r="F227" s="10">
        <v>2979417</v>
      </c>
      <c r="G227" s="10">
        <v>3737564</v>
      </c>
      <c r="H227" s="10">
        <v>3443988</v>
      </c>
      <c r="I227" s="10">
        <v>3483968</v>
      </c>
      <c r="J227" s="10">
        <v>3514726</v>
      </c>
      <c r="K227" s="10">
        <v>3626484</v>
      </c>
      <c r="L227" s="10">
        <v>3412048</v>
      </c>
      <c r="M227" s="10">
        <v>3092158</v>
      </c>
      <c r="N227" s="10">
        <v>3329709</v>
      </c>
      <c r="O227" s="10">
        <v>3301941</v>
      </c>
      <c r="P227" s="10">
        <v>3392391</v>
      </c>
      <c r="Q227" s="6">
        <f t="shared" si="6"/>
        <v>40565677</v>
      </c>
      <c r="R227" s="15">
        <f t="shared" si="7"/>
        <v>5.2163701645435712E-2</v>
      </c>
      <c r="S227" s="13"/>
    </row>
    <row r="228" spans="1:19">
      <c r="A228" s="1" t="s">
        <v>16</v>
      </c>
      <c r="B228" s="1" t="s">
        <v>510</v>
      </c>
      <c r="C228" s="1" t="s">
        <v>511</v>
      </c>
      <c r="D228" s="6">
        <v>804340</v>
      </c>
      <c r="E228" s="10">
        <v>74860</v>
      </c>
      <c r="F228" s="10">
        <v>71492</v>
      </c>
      <c r="G228" s="10">
        <v>104205</v>
      </c>
      <c r="H228" s="10">
        <v>75857</v>
      </c>
      <c r="I228" s="10">
        <v>69357</v>
      </c>
      <c r="J228" s="10">
        <v>83212</v>
      </c>
      <c r="K228" s="10">
        <v>97716</v>
      </c>
      <c r="L228" s="10">
        <v>75656</v>
      </c>
      <c r="M228" s="10">
        <v>61273</v>
      </c>
      <c r="N228" s="10">
        <v>67700</v>
      </c>
      <c r="O228" s="10">
        <v>75371</v>
      </c>
      <c r="P228" s="10">
        <v>99966</v>
      </c>
      <c r="Q228" s="6">
        <f t="shared" si="6"/>
        <v>956665</v>
      </c>
      <c r="R228" s="15">
        <f t="shared" si="7"/>
        <v>0.18937886963224515</v>
      </c>
    </row>
    <row r="229" spans="1:19">
      <c r="A229" s="1" t="s">
        <v>16</v>
      </c>
      <c r="B229" s="1" t="s">
        <v>344</v>
      </c>
      <c r="C229" s="1" t="s">
        <v>345</v>
      </c>
      <c r="D229" s="6">
        <v>8195359</v>
      </c>
      <c r="E229" s="10">
        <v>596317</v>
      </c>
      <c r="F229" s="10">
        <v>557750</v>
      </c>
      <c r="G229" s="10">
        <v>700899</v>
      </c>
      <c r="H229" s="10">
        <v>683196</v>
      </c>
      <c r="I229" s="10">
        <v>744395</v>
      </c>
      <c r="J229" s="10">
        <v>762222</v>
      </c>
      <c r="K229" s="10">
        <v>772896</v>
      </c>
      <c r="L229" s="10">
        <v>767792</v>
      </c>
      <c r="M229" s="10">
        <v>674959</v>
      </c>
      <c r="N229" s="10">
        <v>728441</v>
      </c>
      <c r="O229" s="10">
        <v>674828</v>
      </c>
      <c r="P229" s="10">
        <v>625015</v>
      </c>
      <c r="Q229" s="6">
        <f t="shared" si="6"/>
        <v>8288710</v>
      </c>
      <c r="R229" s="15">
        <f t="shared" si="7"/>
        <v>1.1390715159640852E-2</v>
      </c>
    </row>
    <row r="230" spans="1:19">
      <c r="A230" s="1" t="s">
        <v>16</v>
      </c>
      <c r="B230" s="1" t="s">
        <v>62</v>
      </c>
      <c r="C230" s="1" t="s">
        <v>63</v>
      </c>
      <c r="D230" s="6">
        <v>13184843</v>
      </c>
      <c r="E230" s="10">
        <v>964699</v>
      </c>
      <c r="F230" s="10">
        <v>887693</v>
      </c>
      <c r="G230" s="10">
        <v>1101092</v>
      </c>
      <c r="H230" s="10">
        <v>1052468</v>
      </c>
      <c r="I230" s="10">
        <v>1152852</v>
      </c>
      <c r="J230" s="10">
        <v>1266171</v>
      </c>
      <c r="K230" s="10">
        <v>1344460</v>
      </c>
      <c r="L230" s="10">
        <v>1357944</v>
      </c>
      <c r="M230" s="10">
        <v>1161832</v>
      </c>
      <c r="N230" s="10">
        <v>1132636</v>
      </c>
      <c r="O230" s="10">
        <v>1097126</v>
      </c>
      <c r="P230" s="10">
        <v>1156800</v>
      </c>
      <c r="Q230" s="6">
        <f t="shared" si="6"/>
        <v>13675773</v>
      </c>
      <c r="R230" s="15">
        <f t="shared" si="7"/>
        <v>3.7234421373087301E-2</v>
      </c>
      <c r="S230" s="13"/>
    </row>
    <row r="231" spans="1:19">
      <c r="A231" s="1" t="s">
        <v>16</v>
      </c>
      <c r="B231" s="1" t="s">
        <v>408</v>
      </c>
      <c r="C231" s="1" t="s">
        <v>409</v>
      </c>
      <c r="D231" s="6">
        <v>3936423</v>
      </c>
      <c r="E231" s="10">
        <v>255890</v>
      </c>
      <c r="F231" s="10">
        <v>247594</v>
      </c>
      <c r="G231" s="10">
        <v>323660</v>
      </c>
      <c r="H231" s="10">
        <v>330562</v>
      </c>
      <c r="I231" s="10">
        <v>351894</v>
      </c>
      <c r="J231" s="10">
        <v>349461</v>
      </c>
      <c r="K231" s="10">
        <v>377843</v>
      </c>
      <c r="L231" s="10">
        <v>363360</v>
      </c>
      <c r="M231" s="10">
        <v>325689</v>
      </c>
      <c r="N231" s="10">
        <v>349829</v>
      </c>
      <c r="O231" s="10">
        <v>318559</v>
      </c>
      <c r="P231" s="10">
        <v>289207</v>
      </c>
      <c r="Q231" s="6">
        <f t="shared" si="6"/>
        <v>3883548</v>
      </c>
      <c r="R231" s="15">
        <f t="shared" si="7"/>
        <v>-1.3432245467522197E-2</v>
      </c>
      <c r="S231" s="13"/>
    </row>
    <row r="232" spans="1:19">
      <c r="A232" s="1" t="s">
        <v>16</v>
      </c>
      <c r="B232" s="1" t="s">
        <v>355</v>
      </c>
      <c r="C232" s="1" t="s">
        <v>356</v>
      </c>
      <c r="D232" s="6">
        <v>9101920</v>
      </c>
      <c r="E232" s="10">
        <v>644563</v>
      </c>
      <c r="F232" s="10">
        <v>595571</v>
      </c>
      <c r="G232" s="10">
        <v>753972</v>
      </c>
      <c r="H232" s="10">
        <v>770613</v>
      </c>
      <c r="I232" s="10">
        <v>819592</v>
      </c>
      <c r="J232" s="10">
        <v>832011</v>
      </c>
      <c r="K232" s="10">
        <v>857350</v>
      </c>
      <c r="L232" s="10">
        <v>803002</v>
      </c>
      <c r="M232" s="10">
        <v>735830</v>
      </c>
      <c r="N232" s="10">
        <v>825173</v>
      </c>
      <c r="O232" s="10">
        <v>787838</v>
      </c>
      <c r="P232" s="10">
        <v>765896</v>
      </c>
      <c r="Q232" s="6">
        <f t="shared" si="6"/>
        <v>9191411</v>
      </c>
      <c r="R232" s="15">
        <f t="shared" si="7"/>
        <v>9.8321013588342776E-3</v>
      </c>
      <c r="S232" s="13"/>
    </row>
    <row r="233" spans="1:19">
      <c r="A233" s="1" t="s">
        <v>16</v>
      </c>
      <c r="B233" s="1" t="s">
        <v>410</v>
      </c>
      <c r="C233" s="1" t="s">
        <v>411</v>
      </c>
      <c r="D233" s="6">
        <v>3821804</v>
      </c>
      <c r="E233" s="10">
        <v>300125</v>
      </c>
      <c r="F233" s="10">
        <v>299090</v>
      </c>
      <c r="G233" s="10">
        <v>348583</v>
      </c>
      <c r="H233" s="10">
        <v>295537</v>
      </c>
      <c r="I233" s="10">
        <v>304220</v>
      </c>
      <c r="J233" s="10">
        <v>343054</v>
      </c>
      <c r="K233" s="10">
        <v>364849</v>
      </c>
      <c r="L233" s="10">
        <v>361348</v>
      </c>
      <c r="M233" s="10">
        <v>311031</v>
      </c>
      <c r="N233" s="10">
        <v>285490</v>
      </c>
      <c r="O233" s="10">
        <v>259425</v>
      </c>
      <c r="P233" s="10">
        <v>281403</v>
      </c>
      <c r="Q233" s="6">
        <f t="shared" si="6"/>
        <v>3754155</v>
      </c>
      <c r="R233" s="15">
        <f t="shared" si="7"/>
        <v>-1.7700803076243554E-2</v>
      </c>
    </row>
    <row r="234" spans="1:19">
      <c r="A234" s="1" t="s">
        <v>16</v>
      </c>
      <c r="B234" s="1" t="s">
        <v>425</v>
      </c>
      <c r="C234" s="1" t="s">
        <v>426</v>
      </c>
      <c r="D234" s="6">
        <v>3311747</v>
      </c>
      <c r="E234" s="10">
        <v>219255</v>
      </c>
      <c r="F234" s="10">
        <v>209797</v>
      </c>
      <c r="G234" s="10">
        <v>272654</v>
      </c>
      <c r="H234" s="10">
        <v>268657</v>
      </c>
      <c r="I234" s="10">
        <v>287643</v>
      </c>
      <c r="J234" s="10">
        <v>287713</v>
      </c>
      <c r="K234" s="10">
        <v>294934</v>
      </c>
      <c r="L234" s="10">
        <v>284956</v>
      </c>
      <c r="M234" s="10">
        <v>260440</v>
      </c>
      <c r="N234" s="10">
        <v>280951</v>
      </c>
      <c r="O234" s="10">
        <v>263339</v>
      </c>
      <c r="P234" s="10">
        <v>249617</v>
      </c>
      <c r="Q234" s="6">
        <f t="shared" si="6"/>
        <v>3179956</v>
      </c>
      <c r="R234" s="15">
        <f t="shared" si="7"/>
        <v>-3.9795008495516093E-2</v>
      </c>
    </row>
    <row r="235" spans="1:19">
      <c r="A235" s="1" t="s">
        <v>16</v>
      </c>
      <c r="B235" s="1" t="s">
        <v>519</v>
      </c>
      <c r="C235" s="1" t="s">
        <v>520</v>
      </c>
      <c r="D235" s="6">
        <v>8851297</v>
      </c>
      <c r="E235" s="10">
        <v>642388</v>
      </c>
      <c r="F235" s="10">
        <v>591286</v>
      </c>
      <c r="G235" s="10">
        <v>702670</v>
      </c>
      <c r="H235" s="10">
        <v>714983</v>
      </c>
      <c r="I235" s="10">
        <v>767409</v>
      </c>
      <c r="J235" s="10">
        <v>805883</v>
      </c>
      <c r="K235" s="10">
        <v>810878</v>
      </c>
      <c r="L235" s="10">
        <v>787332</v>
      </c>
      <c r="M235" s="10">
        <v>723359</v>
      </c>
      <c r="N235" s="10">
        <v>729651</v>
      </c>
      <c r="O235" s="10">
        <v>722465</v>
      </c>
      <c r="P235" s="10">
        <v>718575</v>
      </c>
      <c r="Q235" s="6">
        <f t="shared" si="6"/>
        <v>8716879</v>
      </c>
      <c r="R235" s="15">
        <f t="shared" si="7"/>
        <v>-1.5186248975715078E-2</v>
      </c>
    </row>
    <row r="236" spans="1:19">
      <c r="A236" s="1" t="s">
        <v>16</v>
      </c>
      <c r="B236" s="1" t="s">
        <v>54</v>
      </c>
      <c r="C236" s="1" t="s">
        <v>55</v>
      </c>
      <c r="D236" s="6">
        <v>21016686</v>
      </c>
      <c r="E236" s="10">
        <v>1610686</v>
      </c>
      <c r="F236" s="10">
        <v>1504753</v>
      </c>
      <c r="G236" s="10">
        <v>1799765</v>
      </c>
      <c r="H236" s="10">
        <v>1628957</v>
      </c>
      <c r="I236" s="10">
        <v>1698038</v>
      </c>
      <c r="J236" s="10">
        <v>1834471</v>
      </c>
      <c r="K236" s="10">
        <v>1948797</v>
      </c>
      <c r="L236" s="10">
        <v>1914386</v>
      </c>
      <c r="M236" s="10">
        <v>1651669</v>
      </c>
      <c r="N236" s="10">
        <v>1662053</v>
      </c>
      <c r="O236" s="10">
        <v>1527722</v>
      </c>
      <c r="P236" s="10">
        <v>1607836</v>
      </c>
      <c r="Q236" s="6">
        <f t="shared" si="6"/>
        <v>20389133</v>
      </c>
      <c r="R236" s="15">
        <f t="shared" si="7"/>
        <v>-2.9859750485875858E-2</v>
      </c>
      <c r="S236" s="13"/>
    </row>
    <row r="237" spans="1:19">
      <c r="A237" s="1" t="s">
        <v>16</v>
      </c>
      <c r="B237" s="1" t="s">
        <v>396</v>
      </c>
      <c r="C237" s="1" t="s">
        <v>397</v>
      </c>
      <c r="D237" s="6">
        <v>8034516</v>
      </c>
      <c r="E237" s="10">
        <v>591702</v>
      </c>
      <c r="F237" s="10">
        <v>545751</v>
      </c>
      <c r="G237" s="10">
        <v>719664</v>
      </c>
      <c r="H237" s="10">
        <v>671578</v>
      </c>
      <c r="I237" s="10">
        <v>702788</v>
      </c>
      <c r="J237" s="10">
        <v>755439</v>
      </c>
      <c r="K237" s="10">
        <v>769095</v>
      </c>
      <c r="L237" s="10">
        <v>702411</v>
      </c>
      <c r="M237" s="10">
        <v>640659</v>
      </c>
      <c r="N237" s="10">
        <v>706370</v>
      </c>
      <c r="O237" s="10">
        <v>683236</v>
      </c>
      <c r="P237" s="10">
        <v>682815</v>
      </c>
      <c r="Q237" s="6">
        <f t="shared" si="6"/>
        <v>8171508</v>
      </c>
      <c r="R237" s="15">
        <f t="shared" si="7"/>
        <v>1.7050435894333971E-2</v>
      </c>
    </row>
    <row r="238" spans="1:19">
      <c r="A238" s="1" t="s">
        <v>16</v>
      </c>
      <c r="B238" s="1" t="s">
        <v>58</v>
      </c>
      <c r="C238" s="1" t="s">
        <v>59</v>
      </c>
      <c r="D238" s="6">
        <v>16889622</v>
      </c>
      <c r="E238" s="10">
        <v>1256968</v>
      </c>
      <c r="F238" s="10">
        <v>1171459</v>
      </c>
      <c r="G238" s="10">
        <v>1380091</v>
      </c>
      <c r="H238" s="10">
        <v>1361558</v>
      </c>
      <c r="I238" s="10">
        <v>1416843</v>
      </c>
      <c r="J238" s="10">
        <v>1507434</v>
      </c>
      <c r="K238" s="10">
        <v>1608645</v>
      </c>
      <c r="L238" s="10">
        <v>1577798</v>
      </c>
      <c r="M238" s="10">
        <v>1390594</v>
      </c>
      <c r="N238" s="10">
        <v>1427168</v>
      </c>
      <c r="O238" s="10">
        <v>1378075</v>
      </c>
      <c r="P238" s="10">
        <v>1414089</v>
      </c>
      <c r="Q238" s="6">
        <f t="shared" si="6"/>
        <v>16890722</v>
      </c>
      <c r="R238" s="15">
        <f t="shared" si="7"/>
        <v>6.5128751845389132E-5</v>
      </c>
      <c r="S238" s="13"/>
    </row>
    <row r="239" spans="1:19">
      <c r="A239" s="1" t="s">
        <v>16</v>
      </c>
      <c r="B239" s="1" t="s">
        <v>30</v>
      </c>
      <c r="C239" s="1" t="s">
        <v>31</v>
      </c>
      <c r="D239" s="6">
        <v>39391234</v>
      </c>
      <c r="E239" s="10">
        <v>2893972</v>
      </c>
      <c r="F239" s="10">
        <v>2619193</v>
      </c>
      <c r="G239" s="10">
        <v>3139089</v>
      </c>
      <c r="H239" s="10">
        <v>3209189</v>
      </c>
      <c r="I239" s="10">
        <v>3558021</v>
      </c>
      <c r="J239" s="10">
        <v>3777419</v>
      </c>
      <c r="K239" s="10">
        <v>3947019</v>
      </c>
      <c r="L239" s="10">
        <v>3930681</v>
      </c>
      <c r="M239" s="10">
        <v>3573533</v>
      </c>
      <c r="N239" s="10">
        <v>3601311</v>
      </c>
      <c r="O239" s="10">
        <v>3331757</v>
      </c>
      <c r="P239" s="10">
        <v>3444075</v>
      </c>
      <c r="Q239" s="6">
        <f t="shared" si="6"/>
        <v>41025259</v>
      </c>
      <c r="R239" s="15">
        <f t="shared" si="7"/>
        <v>4.1481944942369564E-2</v>
      </c>
      <c r="S239" s="13"/>
    </row>
    <row r="240" spans="1:19">
      <c r="A240" s="1" t="s">
        <v>16</v>
      </c>
      <c r="B240" s="1" t="s">
        <v>493</v>
      </c>
      <c r="C240" s="1" t="s">
        <v>494</v>
      </c>
      <c r="D240" s="6">
        <v>8321750</v>
      </c>
      <c r="E240" s="10">
        <v>628410</v>
      </c>
      <c r="F240" s="10">
        <v>593421</v>
      </c>
      <c r="G240" s="10">
        <v>696589</v>
      </c>
      <c r="H240" s="10">
        <v>692279</v>
      </c>
      <c r="I240" s="10">
        <v>719825</v>
      </c>
      <c r="J240" s="10">
        <v>759605</v>
      </c>
      <c r="K240" s="10">
        <v>766687</v>
      </c>
      <c r="L240" s="10">
        <v>771136</v>
      </c>
      <c r="M240" s="10">
        <v>682422</v>
      </c>
      <c r="N240" s="10">
        <v>688963</v>
      </c>
      <c r="O240" s="10">
        <v>677844</v>
      </c>
      <c r="P240" s="10">
        <v>679800</v>
      </c>
      <c r="Q240" s="6">
        <f t="shared" si="6"/>
        <v>8356981</v>
      </c>
      <c r="R240" s="15">
        <f t="shared" si="7"/>
        <v>4.2336047105475672E-3</v>
      </c>
    </row>
    <row r="241" spans="1:20" ht="15.75">
      <c r="A241" s="1" t="s">
        <v>16</v>
      </c>
      <c r="B241" s="1" t="s">
        <v>504</v>
      </c>
      <c r="C241" s="1" t="s">
        <v>492</v>
      </c>
      <c r="D241" s="6">
        <v>8663452</v>
      </c>
      <c r="E241" s="10">
        <v>636742</v>
      </c>
      <c r="F241" s="10">
        <v>605390</v>
      </c>
      <c r="G241" s="10">
        <v>741489</v>
      </c>
      <c r="H241" s="10">
        <v>722815</v>
      </c>
      <c r="I241" s="10">
        <v>734671</v>
      </c>
      <c r="J241" s="10">
        <v>749815</v>
      </c>
      <c r="K241" s="10">
        <v>784927</v>
      </c>
      <c r="L241" s="10">
        <v>802534</v>
      </c>
      <c r="M241" s="10">
        <v>701135</v>
      </c>
      <c r="N241" s="10">
        <v>726513</v>
      </c>
      <c r="O241" s="10">
        <v>705465</v>
      </c>
      <c r="P241" s="10">
        <v>697512</v>
      </c>
      <c r="Q241" s="6">
        <f t="shared" si="6"/>
        <v>8609008</v>
      </c>
      <c r="R241" s="15">
        <f t="shared" si="7"/>
        <v>-6.2843310033922073E-3</v>
      </c>
    </row>
    <row r="242" spans="1:20">
      <c r="A242" s="1" t="s">
        <v>16</v>
      </c>
      <c r="B242" s="1" t="s">
        <v>435</v>
      </c>
      <c r="C242" s="1" t="s">
        <v>436</v>
      </c>
      <c r="D242" s="6">
        <v>1653302</v>
      </c>
      <c r="E242" s="10">
        <v>105408</v>
      </c>
      <c r="F242" s="10">
        <v>106991</v>
      </c>
      <c r="G242" s="10">
        <v>143655</v>
      </c>
      <c r="H242" s="10">
        <v>153985</v>
      </c>
      <c r="I242" s="10">
        <v>159334</v>
      </c>
      <c r="J242" s="10">
        <v>152197</v>
      </c>
      <c r="K242" s="10">
        <v>149867</v>
      </c>
      <c r="L242" s="10">
        <v>132774</v>
      </c>
      <c r="M242" s="10">
        <v>127607</v>
      </c>
      <c r="N242" s="10">
        <v>140189</v>
      </c>
      <c r="O242" s="10">
        <v>130917</v>
      </c>
      <c r="P242" s="10">
        <v>113770</v>
      </c>
      <c r="Q242" s="6">
        <f t="shared" si="6"/>
        <v>1616694</v>
      </c>
      <c r="R242" s="15">
        <f t="shared" si="7"/>
        <v>-2.2142355117213963E-2</v>
      </c>
    </row>
    <row r="243" spans="1:20">
      <c r="A243" s="1" t="s">
        <v>16</v>
      </c>
      <c r="B243" s="1" t="s">
        <v>44</v>
      </c>
      <c r="C243" s="1" t="s">
        <v>45</v>
      </c>
      <c r="D243" s="6">
        <v>31553166</v>
      </c>
      <c r="E243" s="10">
        <v>2277420</v>
      </c>
      <c r="F243" s="10">
        <v>2101559</v>
      </c>
      <c r="G243" s="10">
        <v>2615161</v>
      </c>
      <c r="H243" s="10">
        <v>2523668</v>
      </c>
      <c r="I243" s="10">
        <v>2781998</v>
      </c>
      <c r="J243" s="10">
        <v>3109050</v>
      </c>
      <c r="K243" s="10">
        <v>3354982</v>
      </c>
      <c r="L243" s="10">
        <v>3368945</v>
      </c>
      <c r="M243" s="10">
        <v>2843171</v>
      </c>
      <c r="N243" s="10">
        <v>2603860</v>
      </c>
      <c r="O243" s="10">
        <v>2547722</v>
      </c>
      <c r="P243" s="10">
        <v>2692523</v>
      </c>
      <c r="Q243" s="6">
        <f t="shared" si="6"/>
        <v>32820059</v>
      </c>
      <c r="R243" s="15">
        <f t="shared" si="7"/>
        <v>4.0151058058643052E-2</v>
      </c>
      <c r="S243" s="13"/>
    </row>
    <row r="244" spans="1:20">
      <c r="A244" s="1" t="s">
        <v>16</v>
      </c>
      <c r="B244" s="1" t="s">
        <v>502</v>
      </c>
      <c r="C244" s="1" t="s">
        <v>503</v>
      </c>
      <c r="D244" s="6">
        <v>3176204</v>
      </c>
      <c r="E244" s="10">
        <v>232359</v>
      </c>
      <c r="F244" s="10">
        <v>207566</v>
      </c>
      <c r="G244" s="10">
        <v>261285</v>
      </c>
      <c r="H244" s="10">
        <v>234919</v>
      </c>
      <c r="I244" s="10">
        <v>250118</v>
      </c>
      <c r="J244" s="10">
        <v>275812</v>
      </c>
      <c r="K244" s="10">
        <v>300474</v>
      </c>
      <c r="L244" s="10">
        <v>306337</v>
      </c>
      <c r="M244" s="10">
        <v>250947</v>
      </c>
      <c r="N244" s="10">
        <v>249050</v>
      </c>
      <c r="O244" s="10">
        <v>248729</v>
      </c>
      <c r="P244" s="10">
        <v>258495</v>
      </c>
      <c r="Q244" s="6">
        <f t="shared" si="6"/>
        <v>3076091</v>
      </c>
      <c r="R244" s="15">
        <f t="shared" si="7"/>
        <v>-3.1519700875636492E-2</v>
      </c>
    </row>
    <row r="245" spans="1:20">
      <c r="A245" s="1" t="s">
        <v>16</v>
      </c>
      <c r="B245" s="1" t="s">
        <v>443</v>
      </c>
      <c r="C245" s="1" t="s">
        <v>444</v>
      </c>
      <c r="D245" s="6">
        <v>796251</v>
      </c>
      <c r="E245" s="10">
        <v>50713</v>
      </c>
      <c r="F245" s="10">
        <v>43598</v>
      </c>
      <c r="G245" s="10">
        <v>60998</v>
      </c>
      <c r="H245" s="10">
        <v>55168</v>
      </c>
      <c r="I245" s="10">
        <v>62145</v>
      </c>
      <c r="J245" s="10">
        <v>72454</v>
      </c>
      <c r="K245" s="10">
        <v>75773</v>
      </c>
      <c r="L245" s="10">
        <v>59815</v>
      </c>
      <c r="M245" s="10">
        <v>64367</v>
      </c>
      <c r="N245" s="10">
        <v>67048</v>
      </c>
      <c r="O245" s="10">
        <v>60719</v>
      </c>
      <c r="P245" s="10">
        <v>58597</v>
      </c>
      <c r="Q245" s="6">
        <f t="shared" si="6"/>
        <v>731395</v>
      </c>
      <c r="R245" s="15">
        <f t="shared" si="7"/>
        <v>-8.1451703043387114E-2</v>
      </c>
    </row>
    <row r="246" spans="1:20">
      <c r="A246" s="1" t="s">
        <v>16</v>
      </c>
      <c r="B246" s="1" t="s">
        <v>394</v>
      </c>
      <c r="C246" s="1" t="s">
        <v>395</v>
      </c>
      <c r="D246" s="6">
        <v>12291121</v>
      </c>
      <c r="E246" s="10">
        <v>880803</v>
      </c>
      <c r="F246" s="10">
        <v>804242</v>
      </c>
      <c r="G246" s="10">
        <v>1083493</v>
      </c>
      <c r="H246" s="10">
        <v>984260</v>
      </c>
      <c r="I246" s="10">
        <v>1114966</v>
      </c>
      <c r="J246" s="10">
        <v>1183191</v>
      </c>
      <c r="K246" s="10">
        <v>1189093</v>
      </c>
      <c r="L246" s="10">
        <v>1095022</v>
      </c>
      <c r="M246" s="10">
        <v>1052517</v>
      </c>
      <c r="N246" s="10">
        <v>1123841</v>
      </c>
      <c r="O246" s="10">
        <v>1036554</v>
      </c>
      <c r="P246" s="10">
        <v>978168</v>
      </c>
      <c r="Q246" s="6">
        <f t="shared" si="6"/>
        <v>12526150</v>
      </c>
      <c r="R246" s="15">
        <f t="shared" si="7"/>
        <v>1.9121852270431727E-2</v>
      </c>
      <c r="S246" s="13"/>
    </row>
    <row r="247" spans="1:20" ht="15.75">
      <c r="A247" s="1" t="s">
        <v>16</v>
      </c>
      <c r="B247" s="7" t="s">
        <v>391</v>
      </c>
      <c r="C247" s="7" t="s">
        <v>337</v>
      </c>
      <c r="D247" s="6">
        <v>399795</v>
      </c>
      <c r="E247" s="10">
        <v>29329</v>
      </c>
      <c r="F247" s="10">
        <v>28894</v>
      </c>
      <c r="G247" s="10">
        <v>35354</v>
      </c>
      <c r="H247" s="10">
        <v>34104</v>
      </c>
      <c r="I247" s="10">
        <v>34921</v>
      </c>
      <c r="J247" s="10">
        <v>35116</v>
      </c>
      <c r="K247" s="10">
        <v>41778</v>
      </c>
      <c r="L247" s="10">
        <v>41712</v>
      </c>
      <c r="M247" s="10">
        <v>34049</v>
      </c>
      <c r="N247" s="10">
        <v>36779</v>
      </c>
      <c r="O247" s="10">
        <v>33288</v>
      </c>
      <c r="P247" s="10">
        <v>32864</v>
      </c>
      <c r="Q247" s="6">
        <f t="shared" si="6"/>
        <v>418188</v>
      </c>
      <c r="R247" s="15">
        <f t="shared" si="7"/>
        <v>4.6006078115033988E-2</v>
      </c>
    </row>
    <row r="248" spans="1:20">
      <c r="A248" s="1" t="s">
        <v>16</v>
      </c>
      <c r="B248" s="1" t="s">
        <v>60</v>
      </c>
      <c r="C248" s="1" t="s">
        <v>61</v>
      </c>
      <c r="D248" s="6">
        <v>16645765</v>
      </c>
      <c r="E248" s="10">
        <v>1278771</v>
      </c>
      <c r="F248" s="10">
        <v>1253040</v>
      </c>
      <c r="G248" s="10">
        <v>1718476</v>
      </c>
      <c r="H248" s="10">
        <v>1602023</v>
      </c>
      <c r="I248" s="10">
        <v>1443396</v>
      </c>
      <c r="J248" s="10">
        <v>1418197</v>
      </c>
      <c r="K248" s="10">
        <v>1465893</v>
      </c>
      <c r="L248" s="10">
        <v>1318497</v>
      </c>
      <c r="M248" s="10">
        <v>1125371</v>
      </c>
      <c r="N248" s="10">
        <v>1322017</v>
      </c>
      <c r="O248" s="10">
        <v>1376488</v>
      </c>
      <c r="P248" s="10">
        <v>1409882</v>
      </c>
      <c r="Q248" s="6">
        <f t="shared" si="6"/>
        <v>16732051</v>
      </c>
      <c r="R248" s="15">
        <f t="shared" si="7"/>
        <v>5.1836608290456443E-3</v>
      </c>
      <c r="T248" s="13"/>
    </row>
    <row r="249" spans="1:20">
      <c r="A249" s="1" t="s">
        <v>16</v>
      </c>
      <c r="B249" s="1" t="s">
        <v>498</v>
      </c>
      <c r="C249" s="1" t="s">
        <v>499</v>
      </c>
      <c r="D249" s="6">
        <v>3740675</v>
      </c>
      <c r="E249" s="10">
        <v>294149</v>
      </c>
      <c r="F249" s="10">
        <v>299304</v>
      </c>
      <c r="G249" s="10">
        <v>340956</v>
      </c>
      <c r="H249" s="10">
        <v>318507</v>
      </c>
      <c r="I249" s="10">
        <v>324336</v>
      </c>
      <c r="J249" s="10">
        <v>295947</v>
      </c>
      <c r="K249" s="10">
        <v>293565</v>
      </c>
      <c r="L249" s="10">
        <v>274583</v>
      </c>
      <c r="M249" s="10">
        <v>280989</v>
      </c>
      <c r="N249" s="10">
        <v>316775</v>
      </c>
      <c r="O249" s="10">
        <v>316217</v>
      </c>
      <c r="P249" s="10">
        <v>302871</v>
      </c>
      <c r="Q249" s="6">
        <f t="shared" si="6"/>
        <v>3658199</v>
      </c>
      <c r="R249" s="15">
        <f t="shared" si="7"/>
        <v>-2.2048427088693923E-2</v>
      </c>
      <c r="T249" s="13"/>
    </row>
    <row r="250" spans="1:20">
      <c r="A250" s="1" t="s">
        <v>16</v>
      </c>
      <c r="B250" s="1" t="s">
        <v>539</v>
      </c>
      <c r="C250" s="1" t="s">
        <v>540</v>
      </c>
      <c r="D250" s="6">
        <v>2846588</v>
      </c>
      <c r="E250" s="10">
        <v>200033</v>
      </c>
      <c r="F250" s="10">
        <v>166636</v>
      </c>
      <c r="G250" s="10">
        <v>237784</v>
      </c>
      <c r="H250" s="10">
        <v>211058</v>
      </c>
      <c r="I250" s="10">
        <v>251980</v>
      </c>
      <c r="J250" s="10">
        <v>272699</v>
      </c>
      <c r="K250" s="10">
        <v>267426</v>
      </c>
      <c r="L250" s="10">
        <v>240152</v>
      </c>
      <c r="M250" s="10">
        <v>233081</v>
      </c>
      <c r="N250" s="10">
        <v>254654</v>
      </c>
      <c r="O250" s="10">
        <v>233865</v>
      </c>
      <c r="P250" s="10">
        <v>225383</v>
      </c>
      <c r="Q250" s="6">
        <f t="shared" si="6"/>
        <v>2794751</v>
      </c>
      <c r="R250" s="15">
        <f t="shared" si="7"/>
        <v>-1.8210222202861837E-2</v>
      </c>
      <c r="T250" s="13"/>
    </row>
    <row r="251" spans="1:20" ht="15.75">
      <c r="A251" s="1" t="s">
        <v>16</v>
      </c>
      <c r="B251" s="1" t="s">
        <v>392</v>
      </c>
      <c r="C251" s="1" t="s">
        <v>50</v>
      </c>
      <c r="D251" s="6">
        <v>23591554</v>
      </c>
      <c r="E251" s="10">
        <v>1671953</v>
      </c>
      <c r="F251" s="10">
        <v>1500675</v>
      </c>
      <c r="G251" s="10">
        <v>1894945</v>
      </c>
      <c r="H251" s="10">
        <v>1918069</v>
      </c>
      <c r="I251" s="10">
        <v>2046257</v>
      </c>
      <c r="J251" s="10">
        <v>2116438</v>
      </c>
      <c r="K251" s="10">
        <v>2217730</v>
      </c>
      <c r="L251" s="10">
        <v>2149502</v>
      </c>
      <c r="M251" s="10">
        <v>1916552</v>
      </c>
      <c r="N251" s="10">
        <v>1977208</v>
      </c>
      <c r="O251" s="10">
        <v>1819545</v>
      </c>
      <c r="P251" s="10">
        <v>1852199</v>
      </c>
      <c r="Q251" s="6">
        <f t="shared" si="6"/>
        <v>23081073</v>
      </c>
      <c r="R251" s="15">
        <f t="shared" si="7"/>
        <v>-2.1638294789737E-2</v>
      </c>
      <c r="T251" s="13"/>
    </row>
    <row r="252" spans="1:20" ht="15.75">
      <c r="A252" s="1" t="s">
        <v>16</v>
      </c>
      <c r="B252" s="1" t="s">
        <v>393</v>
      </c>
      <c r="C252" s="1" t="s">
        <v>56</v>
      </c>
      <c r="D252" s="6">
        <v>18118713</v>
      </c>
      <c r="E252" s="10">
        <v>1263876</v>
      </c>
      <c r="F252" s="10">
        <v>1251796</v>
      </c>
      <c r="G252" s="10">
        <v>1639055</v>
      </c>
      <c r="H252" s="10">
        <v>1636552</v>
      </c>
      <c r="I252" s="10">
        <v>1742067</v>
      </c>
      <c r="J252" s="10">
        <v>1699984</v>
      </c>
      <c r="K252" s="10">
        <v>1718440</v>
      </c>
      <c r="L252" s="10">
        <v>1657441</v>
      </c>
      <c r="M252" s="10">
        <v>1520548</v>
      </c>
      <c r="N252" s="10">
        <v>1677946</v>
      </c>
      <c r="O252" s="10">
        <v>1575307</v>
      </c>
      <c r="P252" s="10">
        <v>1422325</v>
      </c>
      <c r="Q252" s="6">
        <f t="shared" si="6"/>
        <v>18805337</v>
      </c>
      <c r="R252" s="15">
        <f t="shared" si="7"/>
        <v>3.7895848341987559E-2</v>
      </c>
      <c r="S252" s="13"/>
    </row>
    <row r="253" spans="1:20">
      <c r="A253" s="1" t="s">
        <v>16</v>
      </c>
      <c r="B253" s="1" t="s">
        <v>526</v>
      </c>
      <c r="C253" s="1" t="s">
        <v>527</v>
      </c>
      <c r="D253" s="6">
        <v>1549395</v>
      </c>
      <c r="E253" s="10">
        <v>109509</v>
      </c>
      <c r="F253" s="10">
        <v>97021</v>
      </c>
      <c r="G253" s="10">
        <v>128237</v>
      </c>
      <c r="H253" s="10">
        <v>116839</v>
      </c>
      <c r="I253" s="10">
        <v>141191</v>
      </c>
      <c r="J253" s="10">
        <v>148278</v>
      </c>
      <c r="K253" s="10">
        <v>152948</v>
      </c>
      <c r="L253" s="10">
        <v>134710</v>
      </c>
      <c r="M253" s="10">
        <v>130240</v>
      </c>
      <c r="N253" s="10">
        <v>134337</v>
      </c>
      <c r="O253" s="10">
        <v>122222</v>
      </c>
      <c r="P253" s="10">
        <v>120822</v>
      </c>
      <c r="Q253" s="6">
        <v>1536354</v>
      </c>
      <c r="R253" s="15">
        <f t="shared" si="7"/>
        <v>-8.4168336673347E-3</v>
      </c>
    </row>
  </sheetData>
  <phoneticPr fontId="16" type="noConversion"/>
  <pageMargins left="0.7" right="0.7" top="0.75" bottom="0.75" header="0.3" footer="0.3"/>
  <pageSetup paperSize="9" orientation="portrait" r:id="rId1"/>
  <ignoredErrors>
    <ignoredError sqref="Q251:Q253 Q2:Q171 Q180:Q190 Q192:Q249 Q173:Q178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50"/>
  <sheetViews>
    <sheetView zoomScaleNormal="100" workbookViewId="0">
      <pane xSplit="4" ySplit="1" topLeftCell="E56" activePane="bottomRight" state="frozen"/>
      <selection activeCell="A4" sqref="A4"/>
      <selection pane="topRight" activeCell="A4" sqref="A4"/>
      <selection pane="bottomLeft" activeCell="A4" sqref="A4"/>
      <selection pane="bottomRight" activeCell="H13" sqref="H13"/>
    </sheetView>
  </sheetViews>
  <sheetFormatPr defaultRowHeight="15"/>
  <cols>
    <col min="1" max="1" width="22.42578125" customWidth="1"/>
    <col min="2" max="2" width="41.7109375" bestFit="1" customWidth="1"/>
    <col min="3" max="3" width="6.5703125" bestFit="1" customWidth="1"/>
    <col min="4" max="18" width="11.5703125" customWidth="1"/>
  </cols>
  <sheetData>
    <row r="1" spans="1:18">
      <c r="A1" s="4" t="s">
        <v>0</v>
      </c>
      <c r="B1" s="4" t="s">
        <v>1</v>
      </c>
      <c r="C1" s="4" t="s">
        <v>2</v>
      </c>
      <c r="D1" s="8" t="s">
        <v>340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8" t="s">
        <v>3</v>
      </c>
      <c r="R1" s="9" t="s">
        <v>339</v>
      </c>
    </row>
    <row r="2" spans="1:18">
      <c r="A2" s="1" t="s">
        <v>137</v>
      </c>
      <c r="B2" s="1" t="s">
        <v>138</v>
      </c>
      <c r="C2" s="1" t="s">
        <v>139</v>
      </c>
      <c r="D2" s="6">
        <v>727679</v>
      </c>
      <c r="E2" s="10">
        <v>86354</v>
      </c>
      <c r="F2" s="10">
        <v>61671</v>
      </c>
      <c r="G2" s="10">
        <v>81282</v>
      </c>
      <c r="H2" s="10">
        <v>69735</v>
      </c>
      <c r="I2" s="10">
        <v>67727</v>
      </c>
      <c r="J2" s="10">
        <v>75923</v>
      </c>
      <c r="K2" s="10">
        <v>80157</v>
      </c>
      <c r="L2" s="10">
        <v>78318</v>
      </c>
      <c r="M2" s="10">
        <v>82456</v>
      </c>
      <c r="N2" s="10">
        <v>82849</v>
      </c>
      <c r="O2" s="10">
        <v>83259</v>
      </c>
      <c r="P2" s="10">
        <v>90658</v>
      </c>
      <c r="Q2" s="6">
        <f>SUM(E2:P2)</f>
        <v>940389</v>
      </c>
      <c r="R2" s="2">
        <f>Q2/D2-1</f>
        <v>0.29231295667457768</v>
      </c>
    </row>
    <row r="3" spans="1:18">
      <c r="A3" s="1" t="s">
        <v>137</v>
      </c>
      <c r="B3" s="1" t="s">
        <v>172</v>
      </c>
      <c r="C3" s="1" t="s">
        <v>173</v>
      </c>
      <c r="D3" s="6">
        <v>2203653</v>
      </c>
      <c r="E3" s="10">
        <v>206997</v>
      </c>
      <c r="F3" s="10">
        <v>185748</v>
      </c>
      <c r="G3" s="10">
        <v>186301</v>
      </c>
      <c r="H3" s="10">
        <v>182035</v>
      </c>
      <c r="I3" s="10">
        <v>186146</v>
      </c>
      <c r="J3" s="10">
        <v>198169</v>
      </c>
      <c r="K3" s="10">
        <v>261764</v>
      </c>
      <c r="L3" s="10">
        <v>239923</v>
      </c>
      <c r="M3" s="10">
        <v>227918</v>
      </c>
      <c r="N3" s="10">
        <v>242876</v>
      </c>
      <c r="O3" s="10">
        <v>223288</v>
      </c>
      <c r="P3" s="10">
        <v>264302</v>
      </c>
      <c r="Q3" s="6">
        <f t="shared" ref="Q3:Q67" si="0">SUM(E3:P3)</f>
        <v>2605467</v>
      </c>
      <c r="R3" s="2">
        <f t="shared" ref="R3:R67" si="1">Q3/D3-1</f>
        <v>0.18233996005723219</v>
      </c>
    </row>
    <row r="4" spans="1:18">
      <c r="A4" s="1" t="s">
        <v>137</v>
      </c>
      <c r="B4" s="1" t="s">
        <v>184</v>
      </c>
      <c r="C4" s="1" t="s">
        <v>185</v>
      </c>
      <c r="D4" s="6">
        <v>190469</v>
      </c>
      <c r="E4" s="10">
        <v>18744</v>
      </c>
      <c r="F4" s="10">
        <v>18166</v>
      </c>
      <c r="G4" s="10">
        <v>18093</v>
      </c>
      <c r="H4" s="10">
        <v>17578</v>
      </c>
      <c r="I4" s="10">
        <v>18524</v>
      </c>
      <c r="J4" s="10">
        <v>18402</v>
      </c>
      <c r="K4" s="10">
        <v>21156</v>
      </c>
      <c r="L4" s="10">
        <v>21368</v>
      </c>
      <c r="M4" s="10">
        <v>20239</v>
      </c>
      <c r="N4" s="10">
        <v>21601</v>
      </c>
      <c r="O4" s="10">
        <v>21907</v>
      </c>
      <c r="P4" s="10">
        <v>26631</v>
      </c>
      <c r="Q4" s="6">
        <f t="shared" si="0"/>
        <v>242409</v>
      </c>
      <c r="R4" s="2">
        <f t="shared" si="1"/>
        <v>0.27269529424735794</v>
      </c>
    </row>
    <row r="5" spans="1:18">
      <c r="A5" s="1" t="s">
        <v>137</v>
      </c>
      <c r="B5" s="1" t="s">
        <v>146</v>
      </c>
      <c r="C5" s="1" t="s">
        <v>147</v>
      </c>
      <c r="D5" s="6">
        <v>12213825</v>
      </c>
      <c r="E5" s="10">
        <v>1165071</v>
      </c>
      <c r="F5" s="10">
        <v>1058092</v>
      </c>
      <c r="G5" s="10">
        <v>1104081</v>
      </c>
      <c r="H5" s="10">
        <v>1112125</v>
      </c>
      <c r="I5" s="10">
        <v>1109236</v>
      </c>
      <c r="J5" s="10">
        <v>1138218</v>
      </c>
      <c r="K5" s="10">
        <v>1322437</v>
      </c>
      <c r="L5" s="10">
        <v>1257546</v>
      </c>
      <c r="M5" s="10">
        <v>1234409</v>
      </c>
      <c r="N5" s="10">
        <v>1245378</v>
      </c>
      <c r="O5" s="10">
        <v>1238887</v>
      </c>
      <c r="P5" s="10">
        <v>1361581</v>
      </c>
      <c r="Q5" s="6">
        <f t="shared" si="0"/>
        <v>14347061</v>
      </c>
      <c r="R5" s="2">
        <f t="shared" si="1"/>
        <v>0.17465748854269658</v>
      </c>
    </row>
    <row r="6" spans="1:18">
      <c r="A6" s="1" t="s">
        <v>137</v>
      </c>
      <c r="B6" s="1" t="s">
        <v>162</v>
      </c>
      <c r="C6" s="1" t="s">
        <v>163</v>
      </c>
      <c r="D6" s="6">
        <v>82240</v>
      </c>
      <c r="E6" s="10">
        <v>9853</v>
      </c>
      <c r="F6" s="10">
        <v>8375</v>
      </c>
      <c r="G6" s="10">
        <v>8434</v>
      </c>
      <c r="H6" s="10">
        <v>7566</v>
      </c>
      <c r="I6" s="10">
        <v>8796</v>
      </c>
      <c r="J6" s="10">
        <v>11676</v>
      </c>
      <c r="K6" s="10">
        <v>10738</v>
      </c>
      <c r="L6" s="10">
        <v>10390</v>
      </c>
      <c r="M6" s="10">
        <v>9321</v>
      </c>
      <c r="N6" s="10">
        <v>9512</v>
      </c>
      <c r="O6" s="10">
        <v>8663</v>
      </c>
      <c r="P6" s="10">
        <v>10934</v>
      </c>
      <c r="Q6" s="6">
        <f t="shared" si="0"/>
        <v>114258</v>
      </c>
      <c r="R6" s="2">
        <f t="shared" si="1"/>
        <v>0.38932392996108955</v>
      </c>
    </row>
    <row r="7" spans="1:18">
      <c r="A7" s="1" t="s">
        <v>137</v>
      </c>
      <c r="B7" s="3" t="s">
        <v>214</v>
      </c>
      <c r="C7" s="3" t="s">
        <v>215</v>
      </c>
      <c r="D7" s="6">
        <v>3364404</v>
      </c>
      <c r="E7" s="10">
        <v>441734</v>
      </c>
      <c r="F7" s="10">
        <v>378065</v>
      </c>
      <c r="G7" s="10">
        <v>398736</v>
      </c>
      <c r="H7" s="10">
        <v>393634</v>
      </c>
      <c r="I7" s="10">
        <v>386334</v>
      </c>
      <c r="J7" s="10">
        <v>406021</v>
      </c>
      <c r="K7" s="10">
        <v>501917</v>
      </c>
      <c r="L7" s="10">
        <v>463020</v>
      </c>
      <c r="M7" s="10">
        <v>483408</v>
      </c>
      <c r="N7" s="10">
        <v>513623</v>
      </c>
      <c r="O7" s="10">
        <v>507403</v>
      </c>
      <c r="P7" s="10">
        <v>556171</v>
      </c>
      <c r="Q7" s="6">
        <f t="shared" si="0"/>
        <v>5430066</v>
      </c>
      <c r="R7" s="2">
        <f t="shared" si="1"/>
        <v>0.61397561053904348</v>
      </c>
    </row>
    <row r="8" spans="1:18">
      <c r="A8" s="1" t="s">
        <v>137</v>
      </c>
      <c r="B8" s="3" t="s">
        <v>216</v>
      </c>
      <c r="C8" s="3" t="s">
        <v>217</v>
      </c>
      <c r="D8" s="6">
        <v>312460</v>
      </c>
      <c r="E8" s="10">
        <v>27605</v>
      </c>
      <c r="F8" s="10">
        <v>26934</v>
      </c>
      <c r="G8" s="10">
        <v>31316</v>
      </c>
      <c r="H8" s="10">
        <v>29702</v>
      </c>
      <c r="I8" s="10">
        <v>32430</v>
      </c>
      <c r="J8" s="10">
        <v>31269</v>
      </c>
      <c r="K8" s="10">
        <v>29260</v>
      </c>
      <c r="L8" s="10">
        <v>32871</v>
      </c>
      <c r="M8" s="10">
        <v>29261</v>
      </c>
      <c r="N8" s="10">
        <v>29532</v>
      </c>
      <c r="O8" s="10">
        <v>30983</v>
      </c>
      <c r="P8" s="10">
        <v>30821</v>
      </c>
      <c r="Q8" s="6">
        <f t="shared" si="0"/>
        <v>361984</v>
      </c>
      <c r="R8" s="2">
        <f t="shared" si="1"/>
        <v>0.15849708762721626</v>
      </c>
    </row>
    <row r="9" spans="1:18">
      <c r="A9" s="1" t="s">
        <v>137</v>
      </c>
      <c r="B9" s="1" t="s">
        <v>148</v>
      </c>
      <c r="C9" s="1" t="s">
        <v>149</v>
      </c>
      <c r="D9" s="6">
        <v>1028643</v>
      </c>
      <c r="E9" s="10">
        <v>94997</v>
      </c>
      <c r="F9" s="10">
        <v>83962</v>
      </c>
      <c r="G9" s="10">
        <v>86326</v>
      </c>
      <c r="H9" s="10">
        <v>84387</v>
      </c>
      <c r="I9" s="10">
        <v>92352</v>
      </c>
      <c r="J9" s="10">
        <v>79701</v>
      </c>
      <c r="K9" s="10">
        <v>108557</v>
      </c>
      <c r="L9" s="10">
        <v>116647</v>
      </c>
      <c r="M9" s="10">
        <v>94608</v>
      </c>
      <c r="N9" s="10">
        <v>126662</v>
      </c>
      <c r="O9" s="10">
        <v>114461</v>
      </c>
      <c r="P9" s="10">
        <v>126105</v>
      </c>
      <c r="Q9" s="6">
        <f t="shared" si="0"/>
        <v>1208765</v>
      </c>
      <c r="R9" s="2">
        <f t="shared" si="1"/>
        <v>0.17510642662225862</v>
      </c>
    </row>
    <row r="10" spans="1:18">
      <c r="A10" s="1" t="s">
        <v>137</v>
      </c>
      <c r="B10" s="7" t="s">
        <v>204</v>
      </c>
      <c r="C10" s="7" t="s">
        <v>205</v>
      </c>
      <c r="D10" s="6">
        <v>5617171</v>
      </c>
      <c r="E10" s="10">
        <v>599167</v>
      </c>
      <c r="F10" s="10">
        <v>516246</v>
      </c>
      <c r="G10" s="10">
        <v>566068</v>
      </c>
      <c r="H10" s="10">
        <v>551536</v>
      </c>
      <c r="I10" s="10">
        <v>532254</v>
      </c>
      <c r="J10" s="10">
        <v>534352</v>
      </c>
      <c r="K10" s="10">
        <v>654098</v>
      </c>
      <c r="L10" s="10">
        <v>655749</v>
      </c>
      <c r="M10" s="10">
        <v>660010</v>
      </c>
      <c r="N10" s="10">
        <v>685456</v>
      </c>
      <c r="O10" s="10">
        <v>638810</v>
      </c>
      <c r="P10" s="10">
        <v>667318</v>
      </c>
      <c r="Q10" s="6">
        <f t="shared" si="0"/>
        <v>7261064</v>
      </c>
      <c r="R10" s="2">
        <f t="shared" si="1"/>
        <v>0.292654968132535</v>
      </c>
    </row>
    <row r="11" spans="1:18">
      <c r="A11" s="1" t="s">
        <v>137</v>
      </c>
      <c r="B11" s="3" t="s">
        <v>220</v>
      </c>
      <c r="C11" s="3" t="s">
        <v>221</v>
      </c>
      <c r="D11" s="6">
        <v>13699657</v>
      </c>
      <c r="E11" s="10">
        <v>1133782</v>
      </c>
      <c r="F11" s="10">
        <v>1084098</v>
      </c>
      <c r="G11" s="10">
        <v>1287578</v>
      </c>
      <c r="H11" s="10">
        <v>1250376</v>
      </c>
      <c r="I11" s="10">
        <v>1292299</v>
      </c>
      <c r="J11" s="10">
        <v>1197572</v>
      </c>
      <c r="K11" s="10">
        <v>1325735</v>
      </c>
      <c r="L11" s="10">
        <v>1400589</v>
      </c>
      <c r="M11" s="10">
        <v>1372673</v>
      </c>
      <c r="N11" s="10">
        <v>1408988</v>
      </c>
      <c r="O11" s="10">
        <v>1380622</v>
      </c>
      <c r="P11" s="10">
        <v>1365150</v>
      </c>
      <c r="Q11" s="6">
        <f t="shared" si="0"/>
        <v>15499462</v>
      </c>
      <c r="R11" s="2">
        <f t="shared" si="1"/>
        <v>0.13137591692989092</v>
      </c>
    </row>
    <row r="12" spans="1:18">
      <c r="A12" s="1" t="s">
        <v>137</v>
      </c>
      <c r="B12" s="1" t="s">
        <v>186</v>
      </c>
      <c r="C12" s="1" t="s">
        <v>187</v>
      </c>
      <c r="D12" s="6">
        <v>96778</v>
      </c>
      <c r="E12" s="10">
        <v>9639</v>
      </c>
      <c r="F12" s="10">
        <v>9716</v>
      </c>
      <c r="G12" s="10">
        <v>8730</v>
      </c>
      <c r="H12" s="10">
        <v>9177</v>
      </c>
      <c r="I12" s="10">
        <v>11184</v>
      </c>
      <c r="J12" s="10">
        <v>11184</v>
      </c>
      <c r="K12" s="10">
        <v>10465</v>
      </c>
      <c r="L12" s="10">
        <v>11432</v>
      </c>
      <c r="M12" s="10">
        <v>10622</v>
      </c>
      <c r="N12" s="10">
        <v>10009</v>
      </c>
      <c r="O12" s="10">
        <v>9547</v>
      </c>
      <c r="P12" s="10">
        <v>13268</v>
      </c>
      <c r="Q12" s="6">
        <f t="shared" si="0"/>
        <v>124973</v>
      </c>
      <c r="R12" s="2">
        <f t="shared" si="1"/>
        <v>0.29133687408295272</v>
      </c>
    </row>
    <row r="13" spans="1:18">
      <c r="A13" s="1" t="s">
        <v>137</v>
      </c>
      <c r="B13" s="1" t="s">
        <v>150</v>
      </c>
      <c r="C13" s="1" t="s">
        <v>151</v>
      </c>
      <c r="D13" s="6">
        <v>1671704</v>
      </c>
      <c r="E13" s="10">
        <v>178020</v>
      </c>
      <c r="F13" s="10">
        <v>149410</v>
      </c>
      <c r="G13" s="10">
        <v>143432</v>
      </c>
      <c r="H13" s="10">
        <v>163981</v>
      </c>
      <c r="I13" s="10">
        <v>169792</v>
      </c>
      <c r="J13" s="10">
        <v>156814</v>
      </c>
      <c r="K13" s="10">
        <v>207787</v>
      </c>
      <c r="L13" s="10">
        <v>199982</v>
      </c>
      <c r="M13" s="10">
        <v>187914</v>
      </c>
      <c r="N13" s="10">
        <v>190735</v>
      </c>
      <c r="O13" s="10">
        <v>180467</v>
      </c>
      <c r="P13" s="10">
        <v>205933</v>
      </c>
      <c r="Q13" s="6">
        <f t="shared" si="0"/>
        <v>2134267</v>
      </c>
      <c r="R13" s="2">
        <f t="shared" si="1"/>
        <v>0.27670149739427563</v>
      </c>
    </row>
    <row r="14" spans="1:18">
      <c r="A14" s="1" t="s">
        <v>137</v>
      </c>
      <c r="B14" s="3" t="s">
        <v>222</v>
      </c>
      <c r="C14" s="3" t="s">
        <v>223</v>
      </c>
      <c r="D14" s="6">
        <v>4853733</v>
      </c>
      <c r="E14" s="10">
        <v>396209</v>
      </c>
      <c r="F14" s="10">
        <v>388450</v>
      </c>
      <c r="G14" s="10">
        <v>459664</v>
      </c>
      <c r="H14" s="10">
        <v>463811</v>
      </c>
      <c r="I14" s="10">
        <v>453902</v>
      </c>
      <c r="J14" s="10">
        <v>446747</v>
      </c>
      <c r="K14" s="10">
        <v>489142</v>
      </c>
      <c r="L14" s="10">
        <v>542282</v>
      </c>
      <c r="M14" s="10">
        <v>535300</v>
      </c>
      <c r="N14" s="10">
        <v>538158</v>
      </c>
      <c r="O14" s="10">
        <v>535015</v>
      </c>
      <c r="P14" s="10">
        <v>525935</v>
      </c>
      <c r="Q14" s="6">
        <f t="shared" si="0"/>
        <v>5774615</v>
      </c>
      <c r="R14" s="2">
        <f t="shared" si="1"/>
        <v>0.18972654655705212</v>
      </c>
    </row>
    <row r="15" spans="1:18">
      <c r="A15" s="1" t="s">
        <v>137</v>
      </c>
      <c r="B15" s="3" t="s">
        <v>226</v>
      </c>
      <c r="C15" s="3" t="s">
        <v>227</v>
      </c>
      <c r="D15" s="6">
        <v>2108383</v>
      </c>
      <c r="E15" s="10">
        <v>273102</v>
      </c>
      <c r="F15" s="10">
        <v>257218</v>
      </c>
      <c r="G15" s="10">
        <v>230999</v>
      </c>
      <c r="H15" s="10">
        <v>210549</v>
      </c>
      <c r="I15" s="10">
        <v>186330</v>
      </c>
      <c r="J15" s="10">
        <v>174089</v>
      </c>
      <c r="K15" s="10">
        <v>183242</v>
      </c>
      <c r="L15" s="10">
        <v>206388</v>
      </c>
      <c r="M15" s="10">
        <v>220321</v>
      </c>
      <c r="N15" s="10">
        <v>229714</v>
      </c>
      <c r="O15" s="10">
        <v>243861</v>
      </c>
      <c r="P15" s="10">
        <v>256437</v>
      </c>
      <c r="Q15" s="6">
        <f t="shared" si="0"/>
        <v>2672250</v>
      </c>
      <c r="R15" s="2">
        <f t="shared" si="1"/>
        <v>0.26744049823964611</v>
      </c>
    </row>
    <row r="16" spans="1:18">
      <c r="A16" s="1" t="s">
        <v>137</v>
      </c>
      <c r="B16" s="1" t="s">
        <v>156</v>
      </c>
      <c r="C16" s="1" t="s">
        <v>157</v>
      </c>
      <c r="D16" s="6">
        <v>4211651</v>
      </c>
      <c r="E16" s="10">
        <v>529651</v>
      </c>
      <c r="F16" s="10">
        <v>383019</v>
      </c>
      <c r="G16" s="10">
        <v>372204</v>
      </c>
      <c r="H16" s="10">
        <v>349399</v>
      </c>
      <c r="I16" s="10">
        <v>332532</v>
      </c>
      <c r="J16" s="10">
        <v>364582</v>
      </c>
      <c r="K16" s="10">
        <v>498095</v>
      </c>
      <c r="L16" s="10">
        <v>451644</v>
      </c>
      <c r="M16" s="10">
        <v>438766</v>
      </c>
      <c r="N16" s="10">
        <v>442343</v>
      </c>
      <c r="O16" s="10">
        <v>415538</v>
      </c>
      <c r="P16" s="10">
        <v>494948</v>
      </c>
      <c r="Q16" s="6">
        <f t="shared" si="0"/>
        <v>5072721</v>
      </c>
      <c r="R16" s="2">
        <f t="shared" si="1"/>
        <v>0.20444951397919731</v>
      </c>
    </row>
    <row r="17" spans="1:18">
      <c r="A17" s="1" t="s">
        <v>137</v>
      </c>
      <c r="B17" s="3" t="s">
        <v>224</v>
      </c>
      <c r="C17" s="3" t="s">
        <v>225</v>
      </c>
      <c r="D17" s="6">
        <v>807540</v>
      </c>
      <c r="E17" s="10">
        <v>95118</v>
      </c>
      <c r="F17" s="10">
        <v>87129</v>
      </c>
      <c r="G17" s="10">
        <v>95803</v>
      </c>
      <c r="H17" s="10">
        <v>84489</v>
      </c>
      <c r="I17" s="10">
        <v>81297</v>
      </c>
      <c r="J17" s="10">
        <v>78095</v>
      </c>
      <c r="K17" s="10">
        <v>94031</v>
      </c>
      <c r="L17" s="10">
        <v>108680</v>
      </c>
      <c r="M17" s="10">
        <v>102405</v>
      </c>
      <c r="N17" s="10">
        <v>107070</v>
      </c>
      <c r="O17" s="10">
        <v>106879</v>
      </c>
      <c r="P17" s="10">
        <v>114619</v>
      </c>
      <c r="Q17" s="6">
        <f t="shared" si="0"/>
        <v>1155615</v>
      </c>
      <c r="R17" s="2">
        <f t="shared" si="1"/>
        <v>0.43103128018426329</v>
      </c>
    </row>
    <row r="18" spans="1:18">
      <c r="A18" s="1" t="s">
        <v>137</v>
      </c>
      <c r="B18" s="7" t="s">
        <v>194</v>
      </c>
      <c r="C18" s="7" t="s">
        <v>195</v>
      </c>
      <c r="D18" s="6">
        <v>11828656</v>
      </c>
      <c r="E18" s="10">
        <v>1127975</v>
      </c>
      <c r="F18" s="10">
        <v>977210</v>
      </c>
      <c r="G18" s="10">
        <v>952714</v>
      </c>
      <c r="H18" s="10">
        <v>897192</v>
      </c>
      <c r="I18" s="10">
        <v>823138</v>
      </c>
      <c r="J18" s="10">
        <v>896110</v>
      </c>
      <c r="K18" s="10">
        <v>1102429</v>
      </c>
      <c r="L18" s="10">
        <v>1084482</v>
      </c>
      <c r="M18" s="10">
        <v>1098733</v>
      </c>
      <c r="N18" s="10">
        <v>1146096</v>
      </c>
      <c r="O18" s="10">
        <v>1049036</v>
      </c>
      <c r="P18" s="10">
        <v>1182829</v>
      </c>
      <c r="Q18" s="6">
        <f t="shared" si="0"/>
        <v>12337944</v>
      </c>
      <c r="R18" s="2">
        <f t="shared" si="1"/>
        <v>4.3055440956267566E-2</v>
      </c>
    </row>
    <row r="19" spans="1:18">
      <c r="A19" s="1" t="s">
        <v>137</v>
      </c>
      <c r="B19" s="7" t="s">
        <v>152</v>
      </c>
      <c r="C19" s="7" t="s">
        <v>153</v>
      </c>
      <c r="D19" s="6">
        <v>1772424</v>
      </c>
      <c r="E19" s="10">
        <v>170238</v>
      </c>
      <c r="F19" s="10">
        <v>151090</v>
      </c>
      <c r="G19" s="10">
        <v>177670</v>
      </c>
      <c r="H19" s="10">
        <v>183095</v>
      </c>
      <c r="I19" s="10">
        <v>186775</v>
      </c>
      <c r="J19" s="10">
        <v>182762</v>
      </c>
      <c r="K19" s="10">
        <v>224881</v>
      </c>
      <c r="L19" s="10">
        <v>212324</v>
      </c>
      <c r="M19" s="10">
        <v>211107</v>
      </c>
      <c r="N19" s="10">
        <v>213546</v>
      </c>
      <c r="O19" s="10">
        <v>207962</v>
      </c>
      <c r="P19" s="10">
        <v>227198</v>
      </c>
      <c r="Q19" s="6">
        <f t="shared" si="0"/>
        <v>2348648</v>
      </c>
      <c r="R19" s="2">
        <f t="shared" si="1"/>
        <v>0.32510505386972866</v>
      </c>
    </row>
    <row r="20" spans="1:18">
      <c r="A20" s="1" t="s">
        <v>137</v>
      </c>
      <c r="B20" s="3" t="s">
        <v>212</v>
      </c>
      <c r="C20" s="3" t="s">
        <v>213</v>
      </c>
      <c r="D20" s="6">
        <v>21727649</v>
      </c>
      <c r="E20" s="10">
        <v>2472671</v>
      </c>
      <c r="F20" s="10">
        <v>2019905</v>
      </c>
      <c r="G20" s="10">
        <v>2026560</v>
      </c>
      <c r="H20" s="10">
        <v>1946939</v>
      </c>
      <c r="I20" s="10">
        <v>1970984</v>
      </c>
      <c r="J20" s="10">
        <v>2045939</v>
      </c>
      <c r="K20" s="10">
        <v>2484985</v>
      </c>
      <c r="L20" s="10">
        <v>2364716</v>
      </c>
      <c r="M20" s="10">
        <v>2343842</v>
      </c>
      <c r="N20" s="10">
        <v>2410844</v>
      </c>
      <c r="O20" s="10">
        <v>2274794</v>
      </c>
      <c r="P20" s="10">
        <v>2487006</v>
      </c>
      <c r="Q20" s="6">
        <f t="shared" si="0"/>
        <v>26849185</v>
      </c>
      <c r="R20" s="2">
        <f t="shared" si="1"/>
        <v>0.23571514801256233</v>
      </c>
    </row>
    <row r="21" spans="1:18">
      <c r="A21" s="1" t="s">
        <v>137</v>
      </c>
      <c r="B21" s="1" t="s">
        <v>140</v>
      </c>
      <c r="C21" s="1" t="s">
        <v>141</v>
      </c>
      <c r="D21" s="6">
        <v>361378</v>
      </c>
      <c r="E21" s="10">
        <v>44546</v>
      </c>
      <c r="F21" s="10">
        <v>33290</v>
      </c>
      <c r="G21" s="10">
        <v>34761</v>
      </c>
      <c r="H21" s="10">
        <v>31646</v>
      </c>
      <c r="I21" s="10">
        <v>27757</v>
      </c>
      <c r="J21" s="10">
        <v>29669</v>
      </c>
      <c r="K21" s="10">
        <v>32679</v>
      </c>
      <c r="L21" s="10">
        <v>32241</v>
      </c>
      <c r="M21" s="10">
        <v>33509</v>
      </c>
      <c r="N21" s="10">
        <v>37443</v>
      </c>
      <c r="O21" s="10">
        <v>34323</v>
      </c>
      <c r="P21" s="10">
        <v>40708</v>
      </c>
      <c r="Q21" s="6">
        <f t="shared" si="0"/>
        <v>412572</v>
      </c>
      <c r="R21" s="2">
        <f t="shared" si="1"/>
        <v>0.14166329992417914</v>
      </c>
    </row>
    <row r="22" spans="1:18">
      <c r="A22" s="1" t="s">
        <v>137</v>
      </c>
      <c r="B22" s="1" t="s">
        <v>174</v>
      </c>
      <c r="C22" s="1" t="s">
        <v>175</v>
      </c>
      <c r="D22" s="6">
        <v>195181</v>
      </c>
      <c r="E22" s="10">
        <v>15023</v>
      </c>
      <c r="F22" s="10">
        <v>15512</v>
      </c>
      <c r="G22" s="10">
        <v>14646</v>
      </c>
      <c r="H22" s="10">
        <v>18195</v>
      </c>
      <c r="I22" s="10">
        <v>20609</v>
      </c>
      <c r="J22" s="10">
        <v>20500</v>
      </c>
      <c r="K22" s="10">
        <v>24261</v>
      </c>
      <c r="L22" s="10">
        <v>22400</v>
      </c>
      <c r="M22" s="10">
        <v>20890</v>
      </c>
      <c r="N22" s="10">
        <v>21677</v>
      </c>
      <c r="O22" s="10">
        <v>20732</v>
      </c>
      <c r="P22" s="10">
        <v>19850</v>
      </c>
      <c r="Q22" s="6">
        <f t="shared" si="0"/>
        <v>234295</v>
      </c>
      <c r="R22" s="2">
        <f t="shared" si="1"/>
        <v>0.2003986043723518</v>
      </c>
    </row>
    <row r="23" spans="1:18">
      <c r="A23" s="1" t="s">
        <v>137</v>
      </c>
      <c r="B23" s="7" t="s">
        <v>196</v>
      </c>
      <c r="C23" s="7" t="s">
        <v>197</v>
      </c>
      <c r="D23" s="6">
        <v>114093</v>
      </c>
      <c r="E23" s="10">
        <v>10947</v>
      </c>
      <c r="F23" s="10">
        <v>10162</v>
      </c>
      <c r="G23" s="10">
        <v>10274</v>
      </c>
      <c r="H23" s="10">
        <v>9217</v>
      </c>
      <c r="I23" s="10">
        <v>11740</v>
      </c>
      <c r="J23" s="10">
        <v>10676</v>
      </c>
      <c r="K23" s="10">
        <v>13100</v>
      </c>
      <c r="L23" s="10">
        <v>11930</v>
      </c>
      <c r="M23" s="10">
        <v>12314</v>
      </c>
      <c r="N23" s="10">
        <v>10861</v>
      </c>
      <c r="O23" s="10">
        <v>10719</v>
      </c>
      <c r="P23" s="10">
        <v>13337</v>
      </c>
      <c r="Q23" s="6">
        <f t="shared" si="0"/>
        <v>135277</v>
      </c>
      <c r="R23" s="2">
        <f t="shared" si="1"/>
        <v>0.18567309125012055</v>
      </c>
    </row>
    <row r="24" spans="1:18">
      <c r="A24" s="1" t="s">
        <v>137</v>
      </c>
      <c r="B24" s="1" t="s">
        <v>158</v>
      </c>
      <c r="C24" s="1" t="s">
        <v>159</v>
      </c>
      <c r="D24" s="6">
        <v>598015</v>
      </c>
      <c r="E24" s="10">
        <v>91929</v>
      </c>
      <c r="F24" s="10">
        <v>75108</v>
      </c>
      <c r="G24" s="10">
        <v>71911</v>
      </c>
      <c r="H24" s="10">
        <v>66880</v>
      </c>
      <c r="I24" s="10">
        <v>60632</v>
      </c>
      <c r="J24" s="10">
        <v>76301</v>
      </c>
      <c r="K24" s="10">
        <v>85002</v>
      </c>
      <c r="L24" s="10">
        <v>74699</v>
      </c>
      <c r="M24" s="10">
        <v>77480</v>
      </c>
      <c r="N24" s="10">
        <v>76371</v>
      </c>
      <c r="O24" s="10">
        <v>74198</v>
      </c>
      <c r="P24" s="10">
        <v>95532</v>
      </c>
      <c r="Q24" s="6">
        <f t="shared" si="0"/>
        <v>926043</v>
      </c>
      <c r="R24" s="2">
        <f t="shared" si="1"/>
        <v>0.54852804695534396</v>
      </c>
    </row>
    <row r="25" spans="1:18">
      <c r="A25" s="1" t="s">
        <v>137</v>
      </c>
      <c r="B25" s="3" t="s">
        <v>228</v>
      </c>
      <c r="C25" s="3" t="s">
        <v>229</v>
      </c>
      <c r="D25" s="6">
        <v>208492</v>
      </c>
      <c r="E25" s="10">
        <v>16874</v>
      </c>
      <c r="F25" s="10">
        <v>18346</v>
      </c>
      <c r="G25" s="10">
        <v>24290</v>
      </c>
      <c r="H25" s="10">
        <v>25293</v>
      </c>
      <c r="I25" s="10">
        <v>25207</v>
      </c>
      <c r="J25" s="10">
        <v>21199</v>
      </c>
      <c r="K25" s="10">
        <v>23697</v>
      </c>
      <c r="L25" s="10">
        <v>25000</v>
      </c>
      <c r="M25" s="10">
        <v>25642</v>
      </c>
      <c r="N25" s="10">
        <v>26728</v>
      </c>
      <c r="O25" s="10">
        <v>29502</v>
      </c>
      <c r="P25" s="10">
        <v>27383</v>
      </c>
      <c r="Q25" s="6">
        <f t="shared" si="0"/>
        <v>289161</v>
      </c>
      <c r="R25" s="2">
        <f t="shared" si="1"/>
        <v>0.38691652437503588</v>
      </c>
    </row>
    <row r="26" spans="1:18">
      <c r="A26" s="1" t="s">
        <v>137</v>
      </c>
      <c r="B26" s="1" t="s">
        <v>160</v>
      </c>
      <c r="C26" s="1" t="s">
        <v>161</v>
      </c>
      <c r="D26" s="6">
        <v>247775</v>
      </c>
      <c r="E26" s="10">
        <v>23230</v>
      </c>
      <c r="F26" s="10">
        <v>16674</v>
      </c>
      <c r="G26" s="10">
        <v>20622</v>
      </c>
      <c r="H26" s="10">
        <v>18616</v>
      </c>
      <c r="I26" s="10">
        <v>21092</v>
      </c>
      <c r="J26" s="10">
        <v>20352</v>
      </c>
      <c r="K26" s="10">
        <v>21545</v>
      </c>
      <c r="L26" s="10">
        <v>20813</v>
      </c>
      <c r="M26" s="10">
        <v>19542</v>
      </c>
      <c r="N26" s="10">
        <v>19186</v>
      </c>
      <c r="O26" s="10">
        <v>19059</v>
      </c>
      <c r="P26" s="10">
        <v>24049</v>
      </c>
      <c r="Q26" s="6">
        <f t="shared" si="0"/>
        <v>244780</v>
      </c>
      <c r="R26" s="2">
        <f t="shared" si="1"/>
        <v>-1.2087579457168762E-2</v>
      </c>
    </row>
    <row r="27" spans="1:18">
      <c r="A27" s="1" t="s">
        <v>137</v>
      </c>
      <c r="B27" s="3" t="s">
        <v>230</v>
      </c>
      <c r="C27" s="3" t="s">
        <v>231</v>
      </c>
      <c r="D27" s="6">
        <v>572717</v>
      </c>
      <c r="E27" s="10">
        <v>50244</v>
      </c>
      <c r="F27" s="10">
        <v>45350</v>
      </c>
      <c r="G27" s="10">
        <v>59769</v>
      </c>
      <c r="H27" s="10">
        <v>60293</v>
      </c>
      <c r="I27" s="10">
        <v>60822</v>
      </c>
      <c r="J27" s="10">
        <v>59122</v>
      </c>
      <c r="K27" s="10">
        <v>65589</v>
      </c>
      <c r="L27" s="10">
        <v>67943</v>
      </c>
      <c r="M27" s="10">
        <v>65456</v>
      </c>
      <c r="N27" s="10">
        <v>67365</v>
      </c>
      <c r="O27" s="10">
        <v>65988</v>
      </c>
      <c r="P27" s="10">
        <v>64492</v>
      </c>
      <c r="Q27" s="6">
        <f t="shared" si="0"/>
        <v>732433</v>
      </c>
      <c r="R27" s="2">
        <f t="shared" si="1"/>
        <v>0.27887420837865817</v>
      </c>
    </row>
    <row r="28" spans="1:18">
      <c r="A28" s="1" t="s">
        <v>137</v>
      </c>
      <c r="B28" s="1" t="s">
        <v>198</v>
      </c>
      <c r="C28" s="1" t="s">
        <v>199</v>
      </c>
      <c r="D28" s="6">
        <v>374379</v>
      </c>
      <c r="E28" s="10">
        <v>29600</v>
      </c>
      <c r="F28" s="10">
        <v>28306</v>
      </c>
      <c r="G28" s="10">
        <v>33756</v>
      </c>
      <c r="H28" s="10">
        <v>33107</v>
      </c>
      <c r="I28" s="10">
        <v>35528</v>
      </c>
      <c r="J28" s="10">
        <v>34174</v>
      </c>
      <c r="K28" s="10">
        <v>35935</v>
      </c>
      <c r="L28" s="10">
        <v>36480</v>
      </c>
      <c r="M28" s="10">
        <v>35467</v>
      </c>
      <c r="N28" s="10">
        <v>38702</v>
      </c>
      <c r="O28" s="10">
        <v>34926</v>
      </c>
      <c r="P28" s="10">
        <v>34164</v>
      </c>
      <c r="Q28" s="6">
        <f t="shared" si="0"/>
        <v>410145</v>
      </c>
      <c r="R28" s="2">
        <f t="shared" si="1"/>
        <v>9.5534204642888643E-2</v>
      </c>
    </row>
    <row r="29" spans="1:18">
      <c r="A29" s="1" t="s">
        <v>137</v>
      </c>
      <c r="B29" s="1" t="s">
        <v>178</v>
      </c>
      <c r="C29" s="1" t="s">
        <v>179</v>
      </c>
      <c r="D29" s="6">
        <v>469836</v>
      </c>
      <c r="E29" s="10">
        <v>45524</v>
      </c>
      <c r="F29" s="10">
        <v>37629</v>
      </c>
      <c r="G29" s="10">
        <v>40356</v>
      </c>
      <c r="H29" s="10">
        <v>38492</v>
      </c>
      <c r="I29" s="10">
        <v>37997</v>
      </c>
      <c r="J29" s="10">
        <v>40360</v>
      </c>
      <c r="K29" s="10">
        <v>56288</v>
      </c>
      <c r="L29" s="10">
        <v>50082</v>
      </c>
      <c r="M29" s="10">
        <v>43491</v>
      </c>
      <c r="N29" s="10">
        <v>47540</v>
      </c>
      <c r="O29" s="10">
        <v>48481</v>
      </c>
      <c r="P29" s="10">
        <v>55813</v>
      </c>
      <c r="Q29" s="6">
        <f t="shared" si="0"/>
        <v>542053</v>
      </c>
      <c r="R29" s="2">
        <f t="shared" si="1"/>
        <v>0.15370682536033842</v>
      </c>
    </row>
    <row r="30" spans="1:18">
      <c r="A30" s="1" t="s">
        <v>137</v>
      </c>
      <c r="B30" s="1" t="s">
        <v>142</v>
      </c>
      <c r="C30" s="1" t="s">
        <v>143</v>
      </c>
      <c r="D30" s="6">
        <v>1117250</v>
      </c>
      <c r="E30" s="10">
        <v>163997</v>
      </c>
      <c r="F30" s="10">
        <v>127431</v>
      </c>
      <c r="G30" s="10">
        <v>119544</v>
      </c>
      <c r="H30" s="10">
        <v>108939</v>
      </c>
      <c r="I30" s="10">
        <v>91122</v>
      </c>
      <c r="J30" s="10">
        <v>94169</v>
      </c>
      <c r="K30" s="10">
        <v>120107</v>
      </c>
      <c r="L30" s="10">
        <v>105787</v>
      </c>
      <c r="M30" s="10">
        <v>121066</v>
      </c>
      <c r="N30" s="10">
        <v>124228</v>
      </c>
      <c r="O30" s="10">
        <v>115743</v>
      </c>
      <c r="P30" s="10">
        <v>142648</v>
      </c>
      <c r="Q30" s="6">
        <f t="shared" si="0"/>
        <v>1434781</v>
      </c>
      <c r="R30" s="2">
        <f t="shared" si="1"/>
        <v>0.28420765271872894</v>
      </c>
    </row>
    <row r="31" spans="1:18">
      <c r="A31" s="1" t="s">
        <v>137</v>
      </c>
      <c r="B31" s="1" t="s">
        <v>188</v>
      </c>
      <c r="C31" s="1" t="s">
        <v>189</v>
      </c>
      <c r="D31" s="6">
        <v>2300022</v>
      </c>
      <c r="E31" s="10">
        <v>235682</v>
      </c>
      <c r="F31" s="10">
        <v>208180</v>
      </c>
      <c r="G31" s="10">
        <v>179227</v>
      </c>
      <c r="H31" s="10">
        <v>192918</v>
      </c>
      <c r="I31" s="10">
        <v>186382</v>
      </c>
      <c r="J31" s="10">
        <v>214235</v>
      </c>
      <c r="K31" s="10">
        <v>249201</v>
      </c>
      <c r="L31" s="10">
        <v>236234</v>
      </c>
      <c r="M31" s="10">
        <v>242800</v>
      </c>
      <c r="N31" s="10">
        <v>248937</v>
      </c>
      <c r="O31" s="10">
        <v>236476</v>
      </c>
      <c r="P31" s="10">
        <v>258351</v>
      </c>
      <c r="Q31" s="6">
        <f t="shared" si="0"/>
        <v>2688623</v>
      </c>
      <c r="R31" s="2">
        <f t="shared" si="1"/>
        <v>0.16895534042717841</v>
      </c>
    </row>
    <row r="32" spans="1:18">
      <c r="A32" s="1" t="s">
        <v>137</v>
      </c>
      <c r="B32" s="1" t="s">
        <v>176</v>
      </c>
      <c r="C32" s="1" t="s">
        <v>177</v>
      </c>
      <c r="D32" s="6">
        <v>243094</v>
      </c>
      <c r="E32" s="10">
        <v>19538</v>
      </c>
      <c r="F32" s="10">
        <v>18963</v>
      </c>
      <c r="G32" s="10">
        <v>22673</v>
      </c>
      <c r="H32" s="10">
        <v>9496</v>
      </c>
      <c r="I32" s="10">
        <v>23270</v>
      </c>
      <c r="J32" s="10">
        <v>23367</v>
      </c>
      <c r="K32" s="10">
        <v>25793</v>
      </c>
      <c r="L32" s="10">
        <v>24406</v>
      </c>
      <c r="M32" s="10">
        <v>23839</v>
      </c>
      <c r="N32" s="10">
        <v>24769</v>
      </c>
      <c r="O32" s="10">
        <v>23274</v>
      </c>
      <c r="P32" s="10">
        <v>3027</v>
      </c>
      <c r="Q32" s="6">
        <f t="shared" si="0"/>
        <v>242415</v>
      </c>
      <c r="R32" s="2">
        <f t="shared" si="1"/>
        <v>-2.7931582021769596E-3</v>
      </c>
    </row>
    <row r="33" spans="1:18">
      <c r="A33" s="1" t="s">
        <v>137</v>
      </c>
      <c r="B33" s="3" t="s">
        <v>206</v>
      </c>
      <c r="C33" s="3" t="s">
        <v>207</v>
      </c>
      <c r="D33" s="6">
        <v>84999</v>
      </c>
      <c r="E33" s="10">
        <v>6935</v>
      </c>
      <c r="F33" s="10">
        <v>6764</v>
      </c>
      <c r="G33" s="10">
        <v>9771</v>
      </c>
      <c r="H33" s="10">
        <v>9841</v>
      </c>
      <c r="I33" s="10">
        <v>10470</v>
      </c>
      <c r="J33" s="10">
        <v>9292</v>
      </c>
      <c r="K33" s="10">
        <v>10030</v>
      </c>
      <c r="L33" s="10">
        <v>10164</v>
      </c>
      <c r="M33" s="10">
        <v>9227</v>
      </c>
      <c r="N33" s="10">
        <v>9309</v>
      </c>
      <c r="O33" s="10">
        <v>14494</v>
      </c>
      <c r="P33" s="10">
        <v>14843</v>
      </c>
      <c r="Q33" s="6">
        <f t="shared" si="0"/>
        <v>121140</v>
      </c>
      <c r="R33" s="2">
        <f t="shared" si="1"/>
        <v>0.42519323756750071</v>
      </c>
    </row>
    <row r="34" spans="1:18">
      <c r="A34" s="1" t="s">
        <v>137</v>
      </c>
      <c r="B34" s="1" t="s">
        <v>164</v>
      </c>
      <c r="C34" s="1" t="s">
        <v>165</v>
      </c>
      <c r="D34" s="6">
        <v>1894113</v>
      </c>
      <c r="E34" s="10">
        <v>257812</v>
      </c>
      <c r="F34" s="10">
        <v>192531</v>
      </c>
      <c r="G34" s="10">
        <v>189782</v>
      </c>
      <c r="H34" s="10">
        <v>171735</v>
      </c>
      <c r="I34" s="10">
        <v>152998</v>
      </c>
      <c r="J34" s="10">
        <v>158762</v>
      </c>
      <c r="K34" s="10">
        <v>232460</v>
      </c>
      <c r="L34" s="10">
        <v>195416</v>
      </c>
      <c r="M34" s="10">
        <v>203608</v>
      </c>
      <c r="N34" s="10">
        <v>211510</v>
      </c>
      <c r="O34" s="10">
        <v>204691</v>
      </c>
      <c r="P34" s="10">
        <v>244528</v>
      </c>
      <c r="Q34" s="6">
        <f t="shared" si="0"/>
        <v>2415833</v>
      </c>
      <c r="R34" s="2">
        <f t="shared" si="1"/>
        <v>0.27544291180093272</v>
      </c>
    </row>
    <row r="35" spans="1:18">
      <c r="A35" s="1" t="s">
        <v>137</v>
      </c>
      <c r="B35" s="3" t="s">
        <v>232</v>
      </c>
      <c r="C35" s="3" t="s">
        <v>233</v>
      </c>
      <c r="D35" s="6">
        <v>593900</v>
      </c>
      <c r="E35" s="10">
        <v>73370</v>
      </c>
      <c r="F35" s="10">
        <v>57840</v>
      </c>
      <c r="G35" s="10">
        <v>68358</v>
      </c>
      <c r="H35" s="10">
        <v>67975</v>
      </c>
      <c r="I35" s="10">
        <v>64537</v>
      </c>
      <c r="J35" s="10">
        <v>59832</v>
      </c>
      <c r="K35" s="10">
        <v>68758</v>
      </c>
      <c r="L35" s="10">
        <v>68034</v>
      </c>
      <c r="M35" s="10">
        <v>68232</v>
      </c>
      <c r="N35" s="10">
        <v>84316</v>
      </c>
      <c r="O35" s="10">
        <v>79379</v>
      </c>
      <c r="P35" s="10">
        <v>91856</v>
      </c>
      <c r="Q35" s="6">
        <f t="shared" si="0"/>
        <v>852487</v>
      </c>
      <c r="R35" s="2">
        <f t="shared" si="1"/>
        <v>0.43540495032833815</v>
      </c>
    </row>
    <row r="36" spans="1:18">
      <c r="A36" s="1" t="s">
        <v>137</v>
      </c>
      <c r="B36" s="1" t="s">
        <v>154</v>
      </c>
      <c r="C36" s="1" t="s">
        <v>155</v>
      </c>
      <c r="D36" s="6">
        <v>298484</v>
      </c>
      <c r="E36" s="10">
        <v>26502</v>
      </c>
      <c r="F36" s="10">
        <v>25088</v>
      </c>
      <c r="G36" s="10">
        <v>30992</v>
      </c>
      <c r="H36" s="10">
        <v>29554</v>
      </c>
      <c r="I36" s="10">
        <v>31639</v>
      </c>
      <c r="J36" s="10">
        <v>32463</v>
      </c>
      <c r="K36" s="10">
        <v>38404</v>
      </c>
      <c r="L36" s="10">
        <v>37059</v>
      </c>
      <c r="M36" s="10">
        <v>35067</v>
      </c>
      <c r="N36" s="10">
        <v>33432</v>
      </c>
      <c r="O36" s="10">
        <v>32452</v>
      </c>
      <c r="P36" s="10">
        <v>36565</v>
      </c>
      <c r="Q36" s="6">
        <f t="shared" si="0"/>
        <v>389217</v>
      </c>
      <c r="R36" s="2">
        <f t="shared" si="1"/>
        <v>0.30397944278420286</v>
      </c>
    </row>
    <row r="37" spans="1:18">
      <c r="A37" s="1" t="s">
        <v>137</v>
      </c>
      <c r="B37" s="7" t="s">
        <v>202</v>
      </c>
      <c r="C37" s="7" t="s">
        <v>203</v>
      </c>
      <c r="D37" s="6">
        <v>598360</v>
      </c>
      <c r="E37" s="10">
        <v>52517</v>
      </c>
      <c r="F37" s="10">
        <v>49817</v>
      </c>
      <c r="G37" s="10">
        <v>66997</v>
      </c>
      <c r="H37" s="10">
        <v>66582</v>
      </c>
      <c r="I37" s="10">
        <v>70696</v>
      </c>
      <c r="J37" s="10">
        <v>62634</v>
      </c>
      <c r="K37" s="10">
        <v>66080</v>
      </c>
      <c r="L37" s="10">
        <v>69796</v>
      </c>
      <c r="M37" s="10">
        <v>66577</v>
      </c>
      <c r="N37" s="10">
        <v>63462</v>
      </c>
      <c r="O37" s="10">
        <v>59318</v>
      </c>
      <c r="P37" s="10">
        <v>63209</v>
      </c>
      <c r="Q37" s="6">
        <f t="shared" si="0"/>
        <v>757685</v>
      </c>
      <c r="R37" s="2">
        <f t="shared" si="1"/>
        <v>0.26626946988435063</v>
      </c>
    </row>
    <row r="38" spans="1:18">
      <c r="A38" s="1" t="s">
        <v>137</v>
      </c>
      <c r="B38" s="1" t="s">
        <v>166</v>
      </c>
      <c r="C38" s="1" t="s">
        <v>167</v>
      </c>
      <c r="D38" s="6">
        <v>207271</v>
      </c>
      <c r="E38" s="10">
        <v>16177</v>
      </c>
      <c r="F38" s="10">
        <v>15692</v>
      </c>
      <c r="G38" s="10">
        <v>18869</v>
      </c>
      <c r="H38" s="10">
        <v>17998</v>
      </c>
      <c r="I38" s="10">
        <v>19613</v>
      </c>
      <c r="J38" s="10">
        <v>19586</v>
      </c>
      <c r="K38" s="10">
        <v>24586</v>
      </c>
      <c r="L38" s="10">
        <v>23828</v>
      </c>
      <c r="M38" s="10">
        <v>24253</v>
      </c>
      <c r="N38" s="10">
        <v>21853</v>
      </c>
      <c r="O38" s="10">
        <v>23777</v>
      </c>
      <c r="P38" s="10">
        <v>27929</v>
      </c>
      <c r="Q38" s="6">
        <f t="shared" si="0"/>
        <v>254161</v>
      </c>
      <c r="R38" s="2">
        <f t="shared" si="1"/>
        <v>0.22622556942360483</v>
      </c>
    </row>
    <row r="39" spans="1:18">
      <c r="A39" s="1" t="s">
        <v>137</v>
      </c>
      <c r="B39" s="3" t="s">
        <v>234</v>
      </c>
      <c r="C39" s="3" t="s">
        <v>235</v>
      </c>
      <c r="D39" s="6">
        <v>5607703</v>
      </c>
      <c r="E39" s="10">
        <v>533870</v>
      </c>
      <c r="F39" s="10">
        <v>476188</v>
      </c>
      <c r="G39" s="10">
        <v>504464</v>
      </c>
      <c r="H39" s="10">
        <v>513554</v>
      </c>
      <c r="I39" s="10">
        <v>510298</v>
      </c>
      <c r="J39" s="10">
        <v>503674</v>
      </c>
      <c r="K39" s="10">
        <v>594420</v>
      </c>
      <c r="L39" s="10">
        <v>599512</v>
      </c>
      <c r="M39" s="10">
        <v>601953</v>
      </c>
      <c r="N39" s="10">
        <v>600143</v>
      </c>
      <c r="O39" s="10">
        <v>612136</v>
      </c>
      <c r="P39" s="10">
        <v>626004</v>
      </c>
      <c r="Q39" s="6">
        <f t="shared" si="0"/>
        <v>6676216</v>
      </c>
      <c r="R39" s="2">
        <f t="shared" si="1"/>
        <v>0.19054379306464697</v>
      </c>
    </row>
    <row r="40" spans="1:18">
      <c r="A40" s="1" t="s">
        <v>137</v>
      </c>
      <c r="B40" s="1" t="s">
        <v>190</v>
      </c>
      <c r="C40" s="1" t="s">
        <v>191</v>
      </c>
      <c r="D40" s="6">
        <v>561331</v>
      </c>
      <c r="E40" s="10">
        <v>60112</v>
      </c>
      <c r="F40" s="10">
        <v>49642</v>
      </c>
      <c r="G40" s="10">
        <v>53186</v>
      </c>
      <c r="H40" s="10">
        <v>51374</v>
      </c>
      <c r="I40" s="10">
        <v>52004</v>
      </c>
      <c r="J40" s="10">
        <v>54129</v>
      </c>
      <c r="K40" s="10">
        <v>69111</v>
      </c>
      <c r="L40" s="10">
        <v>65660</v>
      </c>
      <c r="M40" s="10">
        <v>64094</v>
      </c>
      <c r="N40" s="10">
        <v>61519</v>
      </c>
      <c r="O40" s="10">
        <v>62930</v>
      </c>
      <c r="P40" s="10">
        <v>73144</v>
      </c>
      <c r="Q40" s="6">
        <f t="shared" si="0"/>
        <v>716905</v>
      </c>
      <c r="R40" s="2">
        <f t="shared" si="1"/>
        <v>0.27715198341085734</v>
      </c>
    </row>
    <row r="41" spans="1:18">
      <c r="A41" s="1" t="s">
        <v>137</v>
      </c>
      <c r="B41" s="1" t="s">
        <v>168</v>
      </c>
      <c r="C41" s="1" t="s">
        <v>169</v>
      </c>
      <c r="D41" s="6">
        <v>5250565</v>
      </c>
      <c r="E41" s="10">
        <v>590920</v>
      </c>
      <c r="F41" s="10">
        <v>486977</v>
      </c>
      <c r="G41" s="10">
        <v>469069</v>
      </c>
      <c r="H41" s="10">
        <v>434093</v>
      </c>
      <c r="I41" s="10">
        <v>410099</v>
      </c>
      <c r="J41" s="10">
        <v>442255</v>
      </c>
      <c r="K41" s="10">
        <v>523058</v>
      </c>
      <c r="L41" s="10">
        <v>502013</v>
      </c>
      <c r="M41" s="10">
        <v>512473</v>
      </c>
      <c r="N41" s="10">
        <v>507724</v>
      </c>
      <c r="O41" s="10">
        <v>504197</v>
      </c>
      <c r="P41" s="10">
        <v>576104</v>
      </c>
      <c r="Q41" s="6">
        <f t="shared" si="0"/>
        <v>5958982</v>
      </c>
      <c r="R41" s="2">
        <f t="shared" si="1"/>
        <v>0.1349220512459135</v>
      </c>
    </row>
    <row r="42" spans="1:18">
      <c r="A42" s="1" t="s">
        <v>137</v>
      </c>
      <c r="B42" s="1" t="s">
        <v>192</v>
      </c>
      <c r="C42" s="1" t="s">
        <v>193</v>
      </c>
      <c r="D42" s="6">
        <v>323114</v>
      </c>
      <c r="E42" s="10">
        <v>32970</v>
      </c>
      <c r="F42" s="10">
        <v>29556</v>
      </c>
      <c r="G42" s="10">
        <v>28083</v>
      </c>
      <c r="H42" s="10">
        <v>29122</v>
      </c>
      <c r="I42" s="10">
        <v>28376</v>
      </c>
      <c r="J42" s="10">
        <v>26947</v>
      </c>
      <c r="K42" s="10">
        <v>27753</v>
      </c>
      <c r="L42" s="10">
        <v>28617</v>
      </c>
      <c r="M42" s="10">
        <v>29398</v>
      </c>
      <c r="N42" s="10">
        <v>30708</v>
      </c>
      <c r="O42" s="10">
        <v>28669</v>
      </c>
      <c r="P42" s="10">
        <v>35717</v>
      </c>
      <c r="Q42" s="6">
        <f t="shared" si="0"/>
        <v>355916</v>
      </c>
      <c r="R42" s="2">
        <f t="shared" si="1"/>
        <v>0.10151834956083605</v>
      </c>
    </row>
    <row r="43" spans="1:18">
      <c r="A43" s="1" t="s">
        <v>137</v>
      </c>
      <c r="B43" s="1" t="s">
        <v>144</v>
      </c>
      <c r="C43" s="1" t="s">
        <v>145</v>
      </c>
      <c r="D43" s="6">
        <v>7052720</v>
      </c>
      <c r="E43" s="10">
        <v>840325</v>
      </c>
      <c r="F43" s="10">
        <v>672302</v>
      </c>
      <c r="G43" s="10">
        <v>573640</v>
      </c>
      <c r="H43" s="10">
        <v>540764</v>
      </c>
      <c r="I43" s="10">
        <v>494884</v>
      </c>
      <c r="J43" s="10">
        <v>574421</v>
      </c>
      <c r="K43" s="10">
        <v>646862</v>
      </c>
      <c r="L43" s="10">
        <v>642152</v>
      </c>
      <c r="M43" s="10">
        <v>664629</v>
      </c>
      <c r="N43" s="10">
        <v>658174</v>
      </c>
      <c r="O43" s="10">
        <v>637831</v>
      </c>
      <c r="P43" s="10">
        <v>750323</v>
      </c>
      <c r="Q43" s="6">
        <f t="shared" si="0"/>
        <v>7696307</v>
      </c>
      <c r="R43" s="2">
        <f t="shared" si="1"/>
        <v>9.125372905772533E-2</v>
      </c>
    </row>
    <row r="44" spans="1:18">
      <c r="A44" s="1" t="s">
        <v>137</v>
      </c>
      <c r="B44" s="1" t="s">
        <v>182</v>
      </c>
      <c r="C44" s="1" t="s">
        <v>183</v>
      </c>
      <c r="D44" s="6">
        <v>364615</v>
      </c>
      <c r="E44" s="10">
        <v>32185</v>
      </c>
      <c r="F44" s="10">
        <v>28214</v>
      </c>
      <c r="G44" s="10">
        <v>29380</v>
      </c>
      <c r="H44" s="10">
        <v>29357</v>
      </c>
      <c r="I44" s="10">
        <v>29369</v>
      </c>
      <c r="J44" s="10">
        <v>31176</v>
      </c>
      <c r="K44" s="10">
        <v>38490</v>
      </c>
      <c r="L44" s="10">
        <v>36300</v>
      </c>
      <c r="M44" s="10">
        <v>40357</v>
      </c>
      <c r="N44" s="10">
        <v>38339</v>
      </c>
      <c r="O44" s="10">
        <v>35043</v>
      </c>
      <c r="P44" s="10">
        <v>36912</v>
      </c>
      <c r="Q44" s="6">
        <f t="shared" si="0"/>
        <v>405122</v>
      </c>
      <c r="R44" s="2">
        <f t="shared" si="1"/>
        <v>0.11109526486842292</v>
      </c>
    </row>
    <row r="45" spans="1:18">
      <c r="A45" s="1" t="s">
        <v>137</v>
      </c>
      <c r="B45" s="7" t="s">
        <v>200</v>
      </c>
      <c r="C45" s="7" t="s">
        <v>201</v>
      </c>
      <c r="D45" s="6">
        <v>5099643</v>
      </c>
      <c r="E45" s="10">
        <v>591728</v>
      </c>
      <c r="F45" s="10">
        <v>556568</v>
      </c>
      <c r="G45" s="10">
        <v>640844</v>
      </c>
      <c r="H45" s="10">
        <v>592596</v>
      </c>
      <c r="I45" s="10">
        <v>646156</v>
      </c>
      <c r="J45" s="10">
        <v>601329</v>
      </c>
      <c r="K45" s="10">
        <v>673387</v>
      </c>
      <c r="L45" s="10">
        <v>726270</v>
      </c>
      <c r="M45" s="10">
        <v>707471</v>
      </c>
      <c r="N45" s="10">
        <v>712695</v>
      </c>
      <c r="O45" s="10">
        <v>694941</v>
      </c>
      <c r="P45" s="10">
        <v>678863</v>
      </c>
      <c r="Q45" s="6">
        <f t="shared" si="0"/>
        <v>7822848</v>
      </c>
      <c r="R45" s="2">
        <f t="shared" si="1"/>
        <v>0.53399914464600751</v>
      </c>
    </row>
    <row r="46" spans="1:18">
      <c r="A46" s="1" t="s">
        <v>137</v>
      </c>
      <c r="B46" s="3" t="s">
        <v>218</v>
      </c>
      <c r="C46" s="3" t="s">
        <v>219</v>
      </c>
      <c r="D46" s="6">
        <v>43820</v>
      </c>
      <c r="E46" s="10">
        <v>2960</v>
      </c>
      <c r="F46" s="10">
        <v>2893</v>
      </c>
      <c r="G46" s="10">
        <v>4460</v>
      </c>
      <c r="H46" s="10">
        <v>4488</v>
      </c>
      <c r="I46" s="10">
        <v>5815</v>
      </c>
      <c r="J46" s="10">
        <v>6002</v>
      </c>
      <c r="K46" s="10">
        <v>5807</v>
      </c>
      <c r="L46" s="10">
        <v>6483</v>
      </c>
      <c r="M46" s="10">
        <v>4901</v>
      </c>
      <c r="N46" s="10">
        <v>6922</v>
      </c>
      <c r="O46" s="10">
        <v>16748</v>
      </c>
      <c r="P46" s="10">
        <v>16697</v>
      </c>
      <c r="Q46" s="6">
        <f t="shared" si="0"/>
        <v>84176</v>
      </c>
      <c r="R46" s="2">
        <f t="shared" si="1"/>
        <v>0.92094933820173441</v>
      </c>
    </row>
    <row r="47" spans="1:18">
      <c r="A47" s="1" t="s">
        <v>137</v>
      </c>
      <c r="B47" s="1" t="s">
        <v>180</v>
      </c>
      <c r="C47" s="1" t="s">
        <v>181</v>
      </c>
      <c r="D47" s="6">
        <v>894756</v>
      </c>
      <c r="E47" s="10">
        <v>114137</v>
      </c>
      <c r="F47" s="10">
        <v>93049</v>
      </c>
      <c r="G47" s="10">
        <v>93130</v>
      </c>
      <c r="H47" s="10">
        <v>94564</v>
      </c>
      <c r="I47" s="10">
        <v>93540</v>
      </c>
      <c r="J47" s="10">
        <v>100057</v>
      </c>
      <c r="K47" s="10">
        <v>131716</v>
      </c>
      <c r="L47" s="10">
        <v>126353</v>
      </c>
      <c r="M47" s="10">
        <v>130363</v>
      </c>
      <c r="N47" s="10">
        <v>129895</v>
      </c>
      <c r="O47" s="10">
        <v>118040</v>
      </c>
      <c r="P47" s="10">
        <v>154302</v>
      </c>
      <c r="Q47" s="6">
        <f t="shared" si="0"/>
        <v>1379146</v>
      </c>
      <c r="R47" s="2">
        <f t="shared" si="1"/>
        <v>0.54136546723352508</v>
      </c>
    </row>
    <row r="48" spans="1:18">
      <c r="A48" s="1" t="s">
        <v>137</v>
      </c>
      <c r="B48" s="1" t="s">
        <v>170</v>
      </c>
      <c r="C48" s="1" t="s">
        <v>171</v>
      </c>
      <c r="D48" s="6">
        <v>557798</v>
      </c>
      <c r="E48" s="10">
        <v>60781</v>
      </c>
      <c r="F48" s="10">
        <v>53414</v>
      </c>
      <c r="G48" s="10">
        <v>58411</v>
      </c>
      <c r="H48" s="10">
        <v>54383</v>
      </c>
      <c r="I48" s="10">
        <v>57593</v>
      </c>
      <c r="J48" s="10">
        <v>62310</v>
      </c>
      <c r="K48" s="10">
        <v>69193</v>
      </c>
      <c r="L48" s="10">
        <v>71046</v>
      </c>
      <c r="M48" s="10">
        <v>69546</v>
      </c>
      <c r="N48" s="10">
        <v>74102</v>
      </c>
      <c r="O48" s="10">
        <v>73726</v>
      </c>
      <c r="P48" s="10">
        <v>93474</v>
      </c>
      <c r="Q48" s="6">
        <f t="shared" si="0"/>
        <v>797979</v>
      </c>
      <c r="R48" s="2">
        <f t="shared" si="1"/>
        <v>0.4305877755029599</v>
      </c>
    </row>
    <row r="49" spans="1:18">
      <c r="A49" s="1" t="s">
        <v>137</v>
      </c>
      <c r="B49" s="1" t="s">
        <v>490</v>
      </c>
      <c r="C49" s="1" t="s">
        <v>491</v>
      </c>
      <c r="D49" s="6">
        <v>73851</v>
      </c>
      <c r="E49" s="10">
        <v>4173</v>
      </c>
      <c r="F49" s="10">
        <v>4823</v>
      </c>
      <c r="G49" s="10">
        <v>5896</v>
      </c>
      <c r="H49" s="10">
        <v>5711</v>
      </c>
      <c r="I49" s="10">
        <v>9904</v>
      </c>
      <c r="J49" s="10">
        <v>5619</v>
      </c>
      <c r="K49" s="10">
        <v>5468</v>
      </c>
      <c r="L49" s="10">
        <v>6593</v>
      </c>
      <c r="M49" s="10">
        <v>7026</v>
      </c>
      <c r="N49" s="10">
        <v>6136</v>
      </c>
      <c r="O49" s="11">
        <v>6868</v>
      </c>
      <c r="P49" s="11">
        <v>7172</v>
      </c>
      <c r="Q49" s="6">
        <f t="shared" si="0"/>
        <v>75389</v>
      </c>
      <c r="R49" s="2">
        <f t="shared" si="1"/>
        <v>2.0825716645678449E-2</v>
      </c>
    </row>
    <row r="50" spans="1:18">
      <c r="A50" s="1" t="s">
        <v>137</v>
      </c>
      <c r="B50" s="3" t="s">
        <v>208</v>
      </c>
      <c r="C50" s="3" t="s">
        <v>209</v>
      </c>
      <c r="D50" s="6">
        <v>570900</v>
      </c>
      <c r="E50" s="10">
        <v>52158</v>
      </c>
      <c r="F50" s="10">
        <v>49554</v>
      </c>
      <c r="G50" s="10">
        <v>61412</v>
      </c>
      <c r="H50" s="10">
        <v>60659</v>
      </c>
      <c r="I50" s="10">
        <v>60734</v>
      </c>
      <c r="J50" s="10">
        <v>61289</v>
      </c>
      <c r="K50" s="10">
        <v>68103</v>
      </c>
      <c r="L50" s="10">
        <v>71805</v>
      </c>
      <c r="M50" s="10">
        <v>70451</v>
      </c>
      <c r="N50" s="10">
        <v>73612</v>
      </c>
      <c r="O50" s="10">
        <v>68763</v>
      </c>
      <c r="P50" s="10">
        <v>66855</v>
      </c>
      <c r="Q50" s="6">
        <f t="shared" si="0"/>
        <v>765395</v>
      </c>
      <c r="R50" s="2">
        <f t="shared" si="1"/>
        <v>0.3406813802767561</v>
      </c>
    </row>
    <row r="51" spans="1:18">
      <c r="A51" s="1" t="s">
        <v>137</v>
      </c>
      <c r="B51" s="3" t="s">
        <v>210</v>
      </c>
      <c r="C51" s="3" t="s">
        <v>211</v>
      </c>
      <c r="D51" s="6">
        <v>2342283</v>
      </c>
      <c r="E51" s="10">
        <v>221399</v>
      </c>
      <c r="F51" s="10">
        <v>193541</v>
      </c>
      <c r="G51" s="10">
        <v>203071</v>
      </c>
      <c r="H51" s="10">
        <v>205197</v>
      </c>
      <c r="I51" s="10">
        <v>194274</v>
      </c>
      <c r="J51" s="10">
        <v>197457</v>
      </c>
      <c r="K51" s="10">
        <v>223666</v>
      </c>
      <c r="L51" s="10">
        <v>234299</v>
      </c>
      <c r="M51" s="10">
        <v>233718</v>
      </c>
      <c r="N51" s="10">
        <v>236977</v>
      </c>
      <c r="O51" s="10">
        <v>238192</v>
      </c>
      <c r="P51" s="10">
        <v>262938</v>
      </c>
      <c r="Q51" s="6">
        <f t="shared" si="0"/>
        <v>2644729</v>
      </c>
      <c r="R51" s="2">
        <f t="shared" si="1"/>
        <v>0.12912444824130986</v>
      </c>
    </row>
    <row r="52" spans="1:18" ht="15.75">
      <c r="A52" s="1" t="s">
        <v>66</v>
      </c>
      <c r="B52" s="1" t="s">
        <v>362</v>
      </c>
      <c r="C52" s="7" t="s">
        <v>72</v>
      </c>
      <c r="D52" s="6">
        <v>12175011</v>
      </c>
      <c r="E52" s="10">
        <v>958166</v>
      </c>
      <c r="F52" s="10">
        <v>953324</v>
      </c>
      <c r="G52" s="10">
        <v>1076815</v>
      </c>
      <c r="H52" s="10">
        <v>1010381</v>
      </c>
      <c r="I52" s="10">
        <v>1031310</v>
      </c>
      <c r="J52" s="10">
        <v>1066890</v>
      </c>
      <c r="K52" s="10">
        <v>1219330</v>
      </c>
      <c r="L52" s="10">
        <v>1215140</v>
      </c>
      <c r="M52" s="10">
        <v>1053366</v>
      </c>
      <c r="N52" s="10">
        <v>1043320</v>
      </c>
      <c r="O52" s="10">
        <v>967179</v>
      </c>
      <c r="P52" s="10">
        <v>1038488</v>
      </c>
      <c r="Q52" s="6">
        <f t="shared" si="0"/>
        <v>12633709</v>
      </c>
      <c r="R52" s="2">
        <f t="shared" si="1"/>
        <v>3.7675366371332286E-2</v>
      </c>
    </row>
    <row r="53" spans="1:18">
      <c r="A53" s="1" t="s">
        <v>66</v>
      </c>
      <c r="B53" s="1" t="s">
        <v>73</v>
      </c>
      <c r="C53" s="7" t="s">
        <v>74</v>
      </c>
      <c r="D53" s="6">
        <v>6090213</v>
      </c>
      <c r="E53" s="10">
        <v>486471</v>
      </c>
      <c r="F53" s="10">
        <v>478773</v>
      </c>
      <c r="G53" s="10">
        <v>533252</v>
      </c>
      <c r="H53" s="10">
        <v>506106</v>
      </c>
      <c r="I53" s="10">
        <v>506068</v>
      </c>
      <c r="J53" s="10">
        <v>499742</v>
      </c>
      <c r="K53" s="10">
        <v>546240</v>
      </c>
      <c r="L53" s="10">
        <v>565230</v>
      </c>
      <c r="M53" s="10">
        <v>483197</v>
      </c>
      <c r="N53" s="10">
        <v>488404</v>
      </c>
      <c r="O53" s="10">
        <v>478853</v>
      </c>
      <c r="P53" s="10">
        <v>517784</v>
      </c>
      <c r="Q53" s="6">
        <f t="shared" si="0"/>
        <v>6090120</v>
      </c>
      <c r="R53" s="2">
        <f t="shared" si="1"/>
        <v>-1.5270401872657935E-5</v>
      </c>
    </row>
    <row r="54" spans="1:18">
      <c r="A54" s="1" t="s">
        <v>66</v>
      </c>
      <c r="B54" s="1" t="s">
        <v>79</v>
      </c>
      <c r="C54" s="7" t="s">
        <v>80</v>
      </c>
      <c r="D54" s="6">
        <v>3417164</v>
      </c>
      <c r="E54" s="10">
        <v>212898</v>
      </c>
      <c r="F54" s="10">
        <v>221673</v>
      </c>
      <c r="G54" s="10">
        <v>307855</v>
      </c>
      <c r="H54" s="10">
        <v>319430</v>
      </c>
      <c r="I54" s="10">
        <v>315577</v>
      </c>
      <c r="J54" s="10">
        <v>297328</v>
      </c>
      <c r="K54" s="10">
        <v>358708</v>
      </c>
      <c r="L54" s="10">
        <v>382676</v>
      </c>
      <c r="M54" s="10">
        <v>304691</v>
      </c>
      <c r="N54" s="10">
        <v>297754</v>
      </c>
      <c r="O54" s="10">
        <v>228782</v>
      </c>
      <c r="P54" s="10">
        <v>260781</v>
      </c>
      <c r="Q54" s="6">
        <f t="shared" si="0"/>
        <v>3508153</v>
      </c>
      <c r="R54" s="2">
        <f t="shared" si="1"/>
        <v>2.6627050969751487E-2</v>
      </c>
    </row>
    <row r="55" spans="1:18">
      <c r="A55" s="1" t="s">
        <v>66</v>
      </c>
      <c r="B55" s="1" t="s">
        <v>83</v>
      </c>
      <c r="C55" s="7" t="s">
        <v>84</v>
      </c>
      <c r="D55" s="6">
        <v>1367631</v>
      </c>
      <c r="E55" s="10">
        <v>125936</v>
      </c>
      <c r="F55" s="10">
        <v>112635</v>
      </c>
      <c r="G55" s="10">
        <v>127187</v>
      </c>
      <c r="H55" s="10">
        <v>109376</v>
      </c>
      <c r="I55" s="10">
        <v>107730</v>
      </c>
      <c r="J55" s="10">
        <v>105047</v>
      </c>
      <c r="K55" s="10">
        <v>122965</v>
      </c>
      <c r="L55" s="10">
        <v>131914</v>
      </c>
      <c r="M55" s="10">
        <v>107971</v>
      </c>
      <c r="N55" s="10">
        <v>109499</v>
      </c>
      <c r="O55" s="10">
        <v>104952</v>
      </c>
      <c r="P55" s="10">
        <v>126595</v>
      </c>
      <c r="Q55" s="6">
        <f t="shared" si="0"/>
        <v>1391807</v>
      </c>
      <c r="R55" s="2">
        <f t="shared" si="1"/>
        <v>1.7677282834331676E-2</v>
      </c>
    </row>
    <row r="56" spans="1:18" ht="15.75">
      <c r="A56" s="1" t="s">
        <v>66</v>
      </c>
      <c r="B56" s="1" t="s">
        <v>363</v>
      </c>
      <c r="C56" s="7" t="s">
        <v>71</v>
      </c>
      <c r="D56" s="6">
        <v>12224534</v>
      </c>
      <c r="E56" s="10">
        <v>1045308</v>
      </c>
      <c r="F56" s="10">
        <v>990471</v>
      </c>
      <c r="G56" s="10">
        <v>1122089</v>
      </c>
      <c r="H56" s="10">
        <v>1037661</v>
      </c>
      <c r="I56" s="10">
        <v>1030279</v>
      </c>
      <c r="J56" s="10">
        <v>1131038</v>
      </c>
      <c r="K56" s="10">
        <v>1261034</v>
      </c>
      <c r="L56" s="10">
        <v>1282582</v>
      </c>
      <c r="M56" s="10">
        <v>1097448</v>
      </c>
      <c r="N56" s="10">
        <v>1064544</v>
      </c>
      <c r="O56" s="10">
        <v>896687</v>
      </c>
      <c r="P56" s="10">
        <v>1012198</v>
      </c>
      <c r="Q56" s="6">
        <f t="shared" si="0"/>
        <v>12971339</v>
      </c>
      <c r="R56" s="2">
        <f t="shared" si="1"/>
        <v>6.1090672249756173E-2</v>
      </c>
    </row>
    <row r="57" spans="1:18">
      <c r="A57" s="1" t="s">
        <v>66</v>
      </c>
      <c r="B57" s="1" t="s">
        <v>75</v>
      </c>
      <c r="C57" s="7" t="s">
        <v>76</v>
      </c>
      <c r="D57" s="6">
        <v>4206741</v>
      </c>
      <c r="E57" s="10">
        <v>359137</v>
      </c>
      <c r="F57" s="10">
        <v>364321</v>
      </c>
      <c r="G57" s="10">
        <v>411865</v>
      </c>
      <c r="H57" s="10">
        <v>356707</v>
      </c>
      <c r="I57" s="10">
        <v>378656</v>
      </c>
      <c r="J57" s="10">
        <v>385069</v>
      </c>
      <c r="K57" s="10">
        <v>369721</v>
      </c>
      <c r="L57" s="10">
        <v>390115</v>
      </c>
      <c r="M57" s="10">
        <v>354828</v>
      </c>
      <c r="N57" s="10">
        <v>378485</v>
      </c>
      <c r="O57" s="10">
        <v>347151</v>
      </c>
      <c r="P57" s="10">
        <v>377839</v>
      </c>
      <c r="Q57" s="6">
        <f t="shared" si="0"/>
        <v>4473894</v>
      </c>
      <c r="R57" s="2">
        <f t="shared" si="1"/>
        <v>6.3505930125006493E-2</v>
      </c>
    </row>
    <row r="58" spans="1:18">
      <c r="A58" s="1" t="s">
        <v>66</v>
      </c>
      <c r="B58" s="1" t="s">
        <v>533</v>
      </c>
      <c r="C58" s="7" t="s">
        <v>534</v>
      </c>
      <c r="D58" s="6">
        <v>1035026</v>
      </c>
      <c r="E58" s="10">
        <v>110786</v>
      </c>
      <c r="F58" s="10">
        <v>114170</v>
      </c>
      <c r="G58" s="10">
        <v>122618</v>
      </c>
      <c r="H58" s="10">
        <v>105533</v>
      </c>
      <c r="I58" s="10">
        <v>81401</v>
      </c>
      <c r="J58" s="10">
        <v>88335</v>
      </c>
      <c r="K58" s="10">
        <v>94250</v>
      </c>
      <c r="L58" s="10">
        <v>94365</v>
      </c>
      <c r="M58" s="10">
        <v>99082</v>
      </c>
      <c r="N58" s="10">
        <v>99309</v>
      </c>
      <c r="O58" s="10">
        <v>79078</v>
      </c>
      <c r="P58" s="10">
        <v>101161</v>
      </c>
      <c r="Q58" s="6">
        <f t="shared" si="0"/>
        <v>1190088</v>
      </c>
      <c r="R58" s="2"/>
    </row>
    <row r="59" spans="1:18">
      <c r="A59" s="1" t="s">
        <v>66</v>
      </c>
      <c r="B59" s="1" t="s">
        <v>67</v>
      </c>
      <c r="C59" s="7" t="s">
        <v>68</v>
      </c>
      <c r="D59" s="6">
        <v>30368339</v>
      </c>
      <c r="E59" s="10">
        <v>2460902</v>
      </c>
      <c r="F59" s="10">
        <v>2330989</v>
      </c>
      <c r="G59" s="10">
        <v>2692793</v>
      </c>
      <c r="H59" s="10">
        <v>2529341</v>
      </c>
      <c r="I59" s="10">
        <v>2641815</v>
      </c>
      <c r="J59" s="10">
        <v>2739010</v>
      </c>
      <c r="K59" s="10">
        <v>3103719</v>
      </c>
      <c r="L59" s="10">
        <v>3199895</v>
      </c>
      <c r="M59" s="10">
        <v>2662064</v>
      </c>
      <c r="N59" s="10">
        <v>2632227</v>
      </c>
      <c r="O59" s="10">
        <v>2312625</v>
      </c>
      <c r="P59" s="10">
        <v>2630718</v>
      </c>
      <c r="Q59" s="6">
        <f t="shared" si="0"/>
        <v>31936098</v>
      </c>
      <c r="R59" s="2">
        <f t="shared" si="1"/>
        <v>5.1624785932480544E-2</v>
      </c>
    </row>
    <row r="60" spans="1:18">
      <c r="A60" s="1" t="s">
        <v>66</v>
      </c>
      <c r="B60" s="1" t="s">
        <v>69</v>
      </c>
      <c r="C60" s="7" t="s">
        <v>70</v>
      </c>
      <c r="D60" s="6">
        <v>16177438</v>
      </c>
      <c r="E60" s="10">
        <v>1260258</v>
      </c>
      <c r="F60" s="10">
        <v>1248449</v>
      </c>
      <c r="G60" s="10">
        <v>1395595</v>
      </c>
      <c r="H60" s="10">
        <v>1315792</v>
      </c>
      <c r="I60" s="10">
        <v>1415239</v>
      </c>
      <c r="J60" s="10">
        <v>1494298</v>
      </c>
      <c r="K60" s="10">
        <v>1667067</v>
      </c>
      <c r="L60" s="10">
        <v>1704738</v>
      </c>
      <c r="M60" s="10">
        <v>1417721</v>
      </c>
      <c r="N60" s="10">
        <v>1331307</v>
      </c>
      <c r="O60" s="10">
        <v>1176741</v>
      </c>
      <c r="P60" s="10">
        <v>1351569</v>
      </c>
      <c r="Q60" s="6">
        <f t="shared" si="0"/>
        <v>16778774</v>
      </c>
      <c r="R60" s="2">
        <f t="shared" si="1"/>
        <v>3.7171275204392673E-2</v>
      </c>
    </row>
    <row r="61" spans="1:18">
      <c r="A61" s="1" t="s">
        <v>66</v>
      </c>
      <c r="B61" s="1" t="s">
        <v>81</v>
      </c>
      <c r="C61" s="1" t="s">
        <v>82</v>
      </c>
      <c r="D61" s="6">
        <v>1532889</v>
      </c>
      <c r="E61" s="10">
        <v>110542</v>
      </c>
      <c r="F61" s="10">
        <v>103345</v>
      </c>
      <c r="G61" s="10">
        <v>131042</v>
      </c>
      <c r="H61" s="10">
        <v>126604</v>
      </c>
      <c r="I61" s="10">
        <v>134139</v>
      </c>
      <c r="J61" s="10">
        <v>127947</v>
      </c>
      <c r="K61" s="10">
        <v>139127</v>
      </c>
      <c r="L61" s="10">
        <v>148122</v>
      </c>
      <c r="M61" s="10">
        <v>130038</v>
      </c>
      <c r="N61" s="10">
        <v>130748</v>
      </c>
      <c r="O61" s="10">
        <v>110919</v>
      </c>
      <c r="P61" s="10">
        <v>122140</v>
      </c>
      <c r="Q61" s="6">
        <f t="shared" si="0"/>
        <v>1514713</v>
      </c>
      <c r="R61" s="2">
        <f t="shared" si="1"/>
        <v>-1.1857349097031844E-2</v>
      </c>
    </row>
    <row r="62" spans="1:18">
      <c r="A62" s="1" t="s">
        <v>66</v>
      </c>
      <c r="B62" s="1" t="s">
        <v>77</v>
      </c>
      <c r="C62" s="7" t="s">
        <v>78</v>
      </c>
      <c r="D62" s="6">
        <v>3379440</v>
      </c>
      <c r="E62" s="10">
        <v>284894</v>
      </c>
      <c r="F62" s="10">
        <v>277971</v>
      </c>
      <c r="G62" s="10">
        <v>302256</v>
      </c>
      <c r="H62" s="10">
        <v>263593</v>
      </c>
      <c r="I62" s="10">
        <v>274430</v>
      </c>
      <c r="J62" s="10">
        <v>285277</v>
      </c>
      <c r="K62" s="10">
        <v>308858</v>
      </c>
      <c r="L62" s="10">
        <v>306755</v>
      </c>
      <c r="M62" s="10">
        <v>271011</v>
      </c>
      <c r="N62" s="10">
        <v>275298</v>
      </c>
      <c r="O62" s="10">
        <v>247696</v>
      </c>
      <c r="P62" s="10">
        <v>271935</v>
      </c>
      <c r="Q62" s="6">
        <f t="shared" si="0"/>
        <v>3369974</v>
      </c>
      <c r="R62" s="2">
        <f t="shared" si="1"/>
        <v>-2.8010557962265814E-3</v>
      </c>
    </row>
    <row r="63" spans="1:18">
      <c r="A63" s="1" t="s">
        <v>236</v>
      </c>
      <c r="B63" s="1" t="s">
        <v>457</v>
      </c>
      <c r="C63" s="1" t="s">
        <v>458</v>
      </c>
      <c r="D63" s="6">
        <v>900629</v>
      </c>
      <c r="E63" s="10">
        <v>96711</v>
      </c>
      <c r="F63" s="10">
        <v>86838</v>
      </c>
      <c r="G63" s="10">
        <v>65731</v>
      </c>
      <c r="H63" s="10">
        <v>89763</v>
      </c>
      <c r="I63" s="10">
        <v>93765</v>
      </c>
      <c r="J63" s="10">
        <v>92613</v>
      </c>
      <c r="K63" s="10">
        <v>107732</v>
      </c>
      <c r="L63" s="10">
        <v>101403</v>
      </c>
      <c r="M63" s="10">
        <v>106152</v>
      </c>
      <c r="N63" s="10">
        <v>112711</v>
      </c>
      <c r="O63" s="10">
        <v>113449</v>
      </c>
      <c r="P63" s="10">
        <v>105923</v>
      </c>
      <c r="Q63" s="6">
        <f t="shared" si="0"/>
        <v>1172791</v>
      </c>
      <c r="R63" s="2">
        <f t="shared" si="1"/>
        <v>0.3021910242730359</v>
      </c>
    </row>
    <row r="64" spans="1:18">
      <c r="A64" s="1" t="s">
        <v>236</v>
      </c>
      <c r="B64" s="1" t="s">
        <v>459</v>
      </c>
      <c r="C64" s="1" t="s">
        <v>460</v>
      </c>
      <c r="D64" s="6">
        <v>333004</v>
      </c>
      <c r="E64" s="10">
        <v>38246</v>
      </c>
      <c r="F64" s="10">
        <v>34279</v>
      </c>
      <c r="G64" s="10">
        <v>19548</v>
      </c>
      <c r="H64" s="10">
        <v>23416</v>
      </c>
      <c r="I64" s="10">
        <v>25856</v>
      </c>
      <c r="J64" s="10">
        <v>25861</v>
      </c>
      <c r="K64" s="10">
        <v>36492</v>
      </c>
      <c r="L64" s="10">
        <v>31693</v>
      </c>
      <c r="M64" s="10">
        <v>30629</v>
      </c>
      <c r="N64" s="10">
        <v>33030</v>
      </c>
      <c r="O64" s="10">
        <v>33157</v>
      </c>
      <c r="P64" s="10">
        <v>34105</v>
      </c>
      <c r="Q64" s="6">
        <f t="shared" si="0"/>
        <v>366312</v>
      </c>
      <c r="R64" s="2">
        <f t="shared" si="1"/>
        <v>0.10002282254867811</v>
      </c>
    </row>
    <row r="65" spans="1:18">
      <c r="A65" s="1" t="s">
        <v>236</v>
      </c>
      <c r="B65" s="1" t="s">
        <v>461</v>
      </c>
      <c r="C65" s="1" t="s">
        <v>462</v>
      </c>
      <c r="D65" s="6">
        <v>292068</v>
      </c>
      <c r="E65" s="10">
        <v>31278</v>
      </c>
      <c r="F65" s="10">
        <v>28709</v>
      </c>
      <c r="G65" s="10">
        <v>19932</v>
      </c>
      <c r="H65" s="10">
        <v>21017</v>
      </c>
      <c r="I65" s="10">
        <v>21546</v>
      </c>
      <c r="J65" s="10">
        <v>17510</v>
      </c>
      <c r="K65" s="10">
        <v>26225</v>
      </c>
      <c r="L65" s="10">
        <v>21543</v>
      </c>
      <c r="M65" s="10">
        <v>22184</v>
      </c>
      <c r="N65" s="10">
        <v>25022</v>
      </c>
      <c r="O65" s="10">
        <v>27514</v>
      </c>
      <c r="P65" s="10">
        <v>30822</v>
      </c>
      <c r="Q65" s="6">
        <f t="shared" si="0"/>
        <v>293302</v>
      </c>
      <c r="R65" s="2">
        <f t="shared" si="1"/>
        <v>4.2250434830244377E-3</v>
      </c>
    </row>
    <row r="66" spans="1:18">
      <c r="A66" s="1" t="s">
        <v>236</v>
      </c>
      <c r="B66" s="1" t="s">
        <v>463</v>
      </c>
      <c r="C66" s="1" t="s">
        <v>464</v>
      </c>
      <c r="D66" s="6">
        <v>469346</v>
      </c>
      <c r="E66" s="10">
        <v>48888</v>
      </c>
      <c r="F66" s="10">
        <v>43744</v>
      </c>
      <c r="G66" s="10">
        <v>36216</v>
      </c>
      <c r="H66" s="10">
        <v>45373</v>
      </c>
      <c r="I66" s="10">
        <v>48871</v>
      </c>
      <c r="J66" s="10">
        <v>47806</v>
      </c>
      <c r="K66" s="10">
        <v>55700</v>
      </c>
      <c r="L66" s="10">
        <v>57870</v>
      </c>
      <c r="M66" s="10">
        <v>55009</v>
      </c>
      <c r="N66" s="10">
        <v>59927</v>
      </c>
      <c r="O66" s="10">
        <v>63015</v>
      </c>
      <c r="P66" s="10">
        <v>60946</v>
      </c>
      <c r="Q66" s="6">
        <f t="shared" si="0"/>
        <v>623365</v>
      </c>
      <c r="R66" s="2">
        <f t="shared" si="1"/>
        <v>0.3281566264546838</v>
      </c>
    </row>
    <row r="67" spans="1:18">
      <c r="A67" s="1" t="s">
        <v>236</v>
      </c>
      <c r="B67" s="1" t="s">
        <v>465</v>
      </c>
      <c r="C67" s="1" t="s">
        <v>466</v>
      </c>
      <c r="D67" s="6">
        <v>582826</v>
      </c>
      <c r="E67" s="10">
        <v>49384</v>
      </c>
      <c r="F67" s="10">
        <v>35871</v>
      </c>
      <c r="G67" s="10">
        <v>27201</v>
      </c>
      <c r="H67" s="10">
        <v>50178</v>
      </c>
      <c r="I67" s="10">
        <v>56916</v>
      </c>
      <c r="J67" s="10">
        <v>54691</v>
      </c>
      <c r="K67" s="10">
        <v>60765</v>
      </c>
      <c r="L67" s="10">
        <v>69424</v>
      </c>
      <c r="M67" s="10">
        <v>62056</v>
      </c>
      <c r="N67" s="10">
        <v>68158</v>
      </c>
      <c r="O67" s="10">
        <v>69677</v>
      </c>
      <c r="P67" s="10">
        <v>67218</v>
      </c>
      <c r="Q67" s="6">
        <f t="shared" si="0"/>
        <v>671539</v>
      </c>
      <c r="R67" s="2">
        <f t="shared" si="1"/>
        <v>0.15221180935648038</v>
      </c>
    </row>
    <row r="68" spans="1:18">
      <c r="A68" s="1" t="s">
        <v>236</v>
      </c>
      <c r="B68" s="1" t="s">
        <v>467</v>
      </c>
      <c r="C68" s="1" t="s">
        <v>468</v>
      </c>
      <c r="D68" s="6">
        <v>214663</v>
      </c>
      <c r="E68" s="10">
        <v>22133</v>
      </c>
      <c r="F68" s="10">
        <v>17861</v>
      </c>
      <c r="G68" s="10">
        <v>13615</v>
      </c>
      <c r="H68" s="10">
        <v>20224</v>
      </c>
      <c r="I68" s="10">
        <v>20632</v>
      </c>
      <c r="J68" s="10">
        <v>20172</v>
      </c>
      <c r="K68" s="10">
        <v>23448</v>
      </c>
      <c r="L68" s="10">
        <v>24651</v>
      </c>
      <c r="M68" s="10">
        <v>26345</v>
      </c>
      <c r="N68" s="10">
        <v>28121</v>
      </c>
      <c r="O68" s="10">
        <v>29011</v>
      </c>
      <c r="P68" s="10">
        <v>28486</v>
      </c>
      <c r="Q68" s="6">
        <f t="shared" ref="Q68:Q131" si="2">SUM(E68:P68)</f>
        <v>274699</v>
      </c>
      <c r="R68" s="2">
        <f t="shared" ref="R68:R131" si="3">Q68/D68-1</f>
        <v>0.27967558452085362</v>
      </c>
    </row>
    <row r="69" spans="1:18">
      <c r="A69" s="1" t="s">
        <v>236</v>
      </c>
      <c r="B69" s="1" t="s">
        <v>469</v>
      </c>
      <c r="C69" s="1" t="s">
        <v>470</v>
      </c>
      <c r="D69" s="6">
        <v>687122</v>
      </c>
      <c r="E69" s="10">
        <v>79154</v>
      </c>
      <c r="F69" s="10">
        <v>76947</v>
      </c>
      <c r="G69" s="10">
        <v>47099</v>
      </c>
      <c r="H69" s="10">
        <v>58605</v>
      </c>
      <c r="I69" s="10">
        <v>61365</v>
      </c>
      <c r="J69" s="10">
        <v>60732</v>
      </c>
      <c r="K69" s="10">
        <v>78538</v>
      </c>
      <c r="L69" s="10">
        <v>71113</v>
      </c>
      <c r="M69" s="10">
        <v>69916</v>
      </c>
      <c r="N69" s="10">
        <v>81695</v>
      </c>
      <c r="O69" s="10">
        <v>79973</v>
      </c>
      <c r="P69" s="10">
        <v>82075</v>
      </c>
      <c r="Q69" s="6">
        <f t="shared" si="2"/>
        <v>847212</v>
      </c>
      <c r="R69" s="2">
        <f t="shared" si="3"/>
        <v>0.23298628191209136</v>
      </c>
    </row>
    <row r="70" spans="1:18">
      <c r="A70" s="1" t="s">
        <v>236</v>
      </c>
      <c r="B70" s="1" t="s">
        <v>471</v>
      </c>
      <c r="C70" s="1" t="s">
        <v>472</v>
      </c>
      <c r="D70" s="6">
        <v>120139</v>
      </c>
      <c r="E70" s="10">
        <v>13218</v>
      </c>
      <c r="F70" s="10">
        <v>13575</v>
      </c>
      <c r="G70" s="10">
        <v>9860</v>
      </c>
      <c r="H70" s="10">
        <v>9264</v>
      </c>
      <c r="I70" s="10">
        <v>8440</v>
      </c>
      <c r="J70" s="10">
        <v>8610</v>
      </c>
      <c r="K70" s="10">
        <v>13388</v>
      </c>
      <c r="L70" s="10">
        <v>11037</v>
      </c>
      <c r="M70" s="10">
        <v>11337</v>
      </c>
      <c r="N70" s="10">
        <v>11804</v>
      </c>
      <c r="O70" s="10">
        <v>12428</v>
      </c>
      <c r="P70" s="10">
        <v>11813</v>
      </c>
      <c r="Q70" s="6">
        <f t="shared" si="2"/>
        <v>134774</v>
      </c>
      <c r="R70" s="2">
        <f t="shared" si="3"/>
        <v>0.12181722837712972</v>
      </c>
    </row>
    <row r="71" spans="1:18">
      <c r="A71" s="1" t="s">
        <v>236</v>
      </c>
      <c r="B71" s="1" t="s">
        <v>473</v>
      </c>
      <c r="C71" s="1" t="s">
        <v>474</v>
      </c>
      <c r="D71" s="6">
        <v>293365</v>
      </c>
      <c r="E71" s="10">
        <v>34752</v>
      </c>
      <c r="F71" s="10">
        <v>31242</v>
      </c>
      <c r="G71" s="10">
        <v>16332</v>
      </c>
      <c r="H71" s="10">
        <v>24297</v>
      </c>
      <c r="I71" s="10">
        <v>25247</v>
      </c>
      <c r="J71" s="10">
        <v>23672</v>
      </c>
      <c r="K71" s="10">
        <v>31769</v>
      </c>
      <c r="L71" s="10">
        <v>37176</v>
      </c>
      <c r="M71" s="10">
        <v>33997</v>
      </c>
      <c r="N71" s="10">
        <v>38614</v>
      </c>
      <c r="O71" s="10">
        <v>40321</v>
      </c>
      <c r="P71" s="10">
        <v>40372</v>
      </c>
      <c r="Q71" s="6">
        <f t="shared" si="2"/>
        <v>377791</v>
      </c>
      <c r="R71" s="2">
        <f t="shared" si="3"/>
        <v>0.28778484140916616</v>
      </c>
    </row>
    <row r="72" spans="1:18">
      <c r="A72" s="1" t="s">
        <v>236</v>
      </c>
      <c r="B72" s="1" t="s">
        <v>475</v>
      </c>
      <c r="C72" s="1" t="s">
        <v>476</v>
      </c>
      <c r="D72" s="6">
        <v>112579</v>
      </c>
      <c r="E72" s="10">
        <v>8103</v>
      </c>
      <c r="F72" s="10">
        <v>7652</v>
      </c>
      <c r="G72" s="10">
        <v>5044</v>
      </c>
      <c r="H72" s="10">
        <v>8647</v>
      </c>
      <c r="I72" s="10">
        <v>10210</v>
      </c>
      <c r="J72" s="10">
        <v>8869</v>
      </c>
      <c r="K72" s="10">
        <v>7914</v>
      </c>
      <c r="L72" s="10">
        <v>7022</v>
      </c>
      <c r="M72" s="10">
        <v>6905</v>
      </c>
      <c r="N72" s="10">
        <v>7943</v>
      </c>
      <c r="O72" s="10">
        <v>10848</v>
      </c>
      <c r="P72" s="10">
        <v>11364</v>
      </c>
      <c r="Q72" s="6">
        <f t="shared" si="2"/>
        <v>100521</v>
      </c>
      <c r="R72" s="2">
        <f t="shared" si="3"/>
        <v>-0.10710700930013595</v>
      </c>
    </row>
    <row r="73" spans="1:18">
      <c r="A73" s="1" t="s">
        <v>236</v>
      </c>
      <c r="B73" s="1" t="s">
        <v>477</v>
      </c>
      <c r="C73" s="1" t="s">
        <v>478</v>
      </c>
      <c r="D73" s="6">
        <v>807413</v>
      </c>
      <c r="E73" s="10">
        <v>93855</v>
      </c>
      <c r="F73" s="10">
        <v>85463</v>
      </c>
      <c r="G73" s="10">
        <v>48743</v>
      </c>
      <c r="H73" s="10">
        <v>52585</v>
      </c>
      <c r="I73" s="10">
        <v>56751</v>
      </c>
      <c r="J73" s="10">
        <v>50092</v>
      </c>
      <c r="K73" s="10">
        <v>67249</v>
      </c>
      <c r="L73" s="10">
        <v>61126</v>
      </c>
      <c r="M73" s="10">
        <v>63921</v>
      </c>
      <c r="N73" s="10">
        <v>72321</v>
      </c>
      <c r="O73" s="10">
        <v>82676</v>
      </c>
      <c r="P73" s="10">
        <v>84956</v>
      </c>
      <c r="Q73" s="6">
        <f t="shared" si="2"/>
        <v>819738</v>
      </c>
      <c r="R73" s="2">
        <f t="shared" si="3"/>
        <v>1.5264802523615506E-2</v>
      </c>
    </row>
    <row r="74" spans="1:18">
      <c r="A74" s="1" t="s">
        <v>236</v>
      </c>
      <c r="B74" s="1" t="s">
        <v>479</v>
      </c>
      <c r="C74" s="1" t="s">
        <v>480</v>
      </c>
      <c r="D74" s="6">
        <v>537615</v>
      </c>
      <c r="E74" s="10">
        <v>75366</v>
      </c>
      <c r="F74" s="10">
        <v>68259</v>
      </c>
      <c r="G74" s="10">
        <v>40379</v>
      </c>
      <c r="H74" s="10">
        <v>36142</v>
      </c>
      <c r="I74" s="10">
        <v>34643</v>
      </c>
      <c r="J74" s="10">
        <v>30602</v>
      </c>
      <c r="K74" s="10">
        <v>43498</v>
      </c>
      <c r="L74" s="10">
        <v>35062</v>
      </c>
      <c r="M74" s="10">
        <v>37369</v>
      </c>
      <c r="N74" s="10">
        <v>42015</v>
      </c>
      <c r="O74" s="10">
        <v>54247</v>
      </c>
      <c r="P74" s="10">
        <v>62128</v>
      </c>
      <c r="Q74" s="6">
        <f t="shared" si="2"/>
        <v>559710</v>
      </c>
      <c r="R74" s="2">
        <f t="shared" si="3"/>
        <v>4.109818364442952E-2</v>
      </c>
    </row>
    <row r="75" spans="1:18">
      <c r="A75" s="1" t="s">
        <v>236</v>
      </c>
      <c r="B75" s="1" t="s">
        <v>481</v>
      </c>
      <c r="C75" s="1" t="s">
        <v>237</v>
      </c>
      <c r="D75" s="6">
        <v>9026446</v>
      </c>
      <c r="E75" s="10">
        <v>1009149</v>
      </c>
      <c r="F75" s="10">
        <v>866019</v>
      </c>
      <c r="G75" s="10">
        <v>603828</v>
      </c>
      <c r="H75" s="10">
        <v>714061</v>
      </c>
      <c r="I75" s="10">
        <v>759181</v>
      </c>
      <c r="J75" s="10">
        <v>734549</v>
      </c>
      <c r="K75" s="10">
        <v>914623</v>
      </c>
      <c r="L75" s="10">
        <v>868997</v>
      </c>
      <c r="M75" s="10">
        <v>894594</v>
      </c>
      <c r="N75" s="10">
        <v>967218</v>
      </c>
      <c r="O75" s="10">
        <v>981068</v>
      </c>
      <c r="P75" s="10">
        <v>1002032</v>
      </c>
      <c r="Q75" s="6">
        <f t="shared" si="2"/>
        <v>10315319</v>
      </c>
      <c r="R75" s="2">
        <f t="shared" si="3"/>
        <v>0.1427885349339042</v>
      </c>
    </row>
    <row r="76" spans="1:18">
      <c r="A76" s="1" t="s">
        <v>236</v>
      </c>
      <c r="B76" s="1" t="s">
        <v>482</v>
      </c>
      <c r="C76" s="1" t="s">
        <v>483</v>
      </c>
      <c r="D76" s="6">
        <v>279099</v>
      </c>
      <c r="E76" s="10">
        <v>32513</v>
      </c>
      <c r="F76" s="10">
        <v>28037</v>
      </c>
      <c r="G76" s="10">
        <v>19190</v>
      </c>
      <c r="H76" s="10">
        <v>24772</v>
      </c>
      <c r="I76" s="10">
        <v>27049</v>
      </c>
      <c r="J76" s="10">
        <v>23612</v>
      </c>
      <c r="K76" s="10">
        <v>26331</v>
      </c>
      <c r="L76" s="10">
        <v>27195</v>
      </c>
      <c r="M76" s="10">
        <v>27789</v>
      </c>
      <c r="N76" s="10">
        <v>29977</v>
      </c>
      <c r="O76" s="10">
        <v>34497</v>
      </c>
      <c r="P76" s="10">
        <v>34083</v>
      </c>
      <c r="Q76" s="6">
        <f t="shared" si="2"/>
        <v>335045</v>
      </c>
      <c r="R76" s="2">
        <f t="shared" si="3"/>
        <v>0.20045216930193233</v>
      </c>
    </row>
    <row r="77" spans="1:18">
      <c r="A77" s="1" t="s">
        <v>236</v>
      </c>
      <c r="B77" s="1" t="s">
        <v>484</v>
      </c>
      <c r="C77" s="1" t="s">
        <v>485</v>
      </c>
      <c r="D77" s="6">
        <v>60121</v>
      </c>
      <c r="E77" s="10">
        <v>11288</v>
      </c>
      <c r="F77" s="10">
        <v>8837</v>
      </c>
      <c r="G77" s="10">
        <v>5526</v>
      </c>
      <c r="H77" s="10">
        <v>9088</v>
      </c>
      <c r="I77" s="10">
        <v>8637</v>
      </c>
      <c r="J77" s="10">
        <v>7871</v>
      </c>
      <c r="K77" s="10">
        <v>7001</v>
      </c>
      <c r="L77" s="10">
        <v>7227</v>
      </c>
      <c r="M77" s="10">
        <v>7034</v>
      </c>
      <c r="N77" s="10">
        <v>9888</v>
      </c>
      <c r="O77" s="10">
        <v>11535</v>
      </c>
      <c r="P77" s="10">
        <v>10920</v>
      </c>
      <c r="Q77" s="6">
        <f t="shared" si="2"/>
        <v>104852</v>
      </c>
      <c r="R77" s="2">
        <f t="shared" si="3"/>
        <v>0.74401623392824479</v>
      </c>
    </row>
    <row r="78" spans="1:18">
      <c r="A78" s="1" t="s">
        <v>238</v>
      </c>
      <c r="B78" s="7" t="s">
        <v>264</v>
      </c>
      <c r="C78" s="7" t="s">
        <v>265</v>
      </c>
      <c r="D78" s="6">
        <v>247250</v>
      </c>
      <c r="E78" s="10">
        <v>22627</v>
      </c>
      <c r="F78" s="10">
        <v>20635</v>
      </c>
      <c r="G78" s="10">
        <v>22072</v>
      </c>
      <c r="H78" s="10">
        <v>20168</v>
      </c>
      <c r="I78" s="10">
        <v>21654</v>
      </c>
      <c r="J78" s="10">
        <v>22310</v>
      </c>
      <c r="K78" s="10">
        <v>24787</v>
      </c>
      <c r="L78" s="10">
        <v>24350</v>
      </c>
      <c r="M78" s="10">
        <v>21714</v>
      </c>
      <c r="N78" s="10">
        <v>23539</v>
      </c>
      <c r="O78" s="10">
        <v>22590</v>
      </c>
      <c r="P78" s="10">
        <v>25091</v>
      </c>
      <c r="Q78" s="6">
        <f t="shared" si="2"/>
        <v>271537</v>
      </c>
      <c r="R78" s="2">
        <f t="shared" si="3"/>
        <v>9.8228513650151728E-2</v>
      </c>
    </row>
    <row r="79" spans="1:18">
      <c r="A79" s="1" t="s">
        <v>238</v>
      </c>
      <c r="B79" s="7" t="s">
        <v>290</v>
      </c>
      <c r="C79" s="7" t="s">
        <v>291</v>
      </c>
      <c r="D79" s="6">
        <v>128515</v>
      </c>
      <c r="E79" s="10">
        <v>10077</v>
      </c>
      <c r="F79" s="10">
        <v>11508</v>
      </c>
      <c r="G79" s="10">
        <v>12083</v>
      </c>
      <c r="H79" s="10">
        <v>11599</v>
      </c>
      <c r="I79" s="10">
        <v>12050</v>
      </c>
      <c r="J79" s="10">
        <v>11755</v>
      </c>
      <c r="K79" s="10">
        <v>11870</v>
      </c>
      <c r="L79" s="10">
        <v>13532</v>
      </c>
      <c r="M79" s="10">
        <v>13398</v>
      </c>
      <c r="N79" s="10">
        <v>13399</v>
      </c>
      <c r="O79" s="10">
        <v>13674</v>
      </c>
      <c r="P79" s="10">
        <v>17146</v>
      </c>
      <c r="Q79" s="6">
        <f t="shared" si="2"/>
        <v>152091</v>
      </c>
      <c r="R79" s="2">
        <f t="shared" si="3"/>
        <v>0.18344940279344835</v>
      </c>
    </row>
    <row r="80" spans="1:18">
      <c r="A80" s="1" t="s">
        <v>238</v>
      </c>
      <c r="B80" s="7" t="s">
        <v>260</v>
      </c>
      <c r="C80" s="7" t="s">
        <v>261</v>
      </c>
      <c r="D80" s="6">
        <v>1292012</v>
      </c>
      <c r="E80" s="10">
        <v>142024</v>
      </c>
      <c r="F80" s="10">
        <v>122676</v>
      </c>
      <c r="G80" s="10">
        <v>133343</v>
      </c>
      <c r="H80" s="10">
        <v>128549</v>
      </c>
      <c r="I80" s="10">
        <v>133229</v>
      </c>
      <c r="J80" s="10">
        <v>153997</v>
      </c>
      <c r="K80" s="10">
        <v>174581</v>
      </c>
      <c r="L80" s="10">
        <v>150405</v>
      </c>
      <c r="M80" s="10">
        <v>129527</v>
      </c>
      <c r="N80" s="10">
        <v>151542</v>
      </c>
      <c r="O80" s="10">
        <v>139660</v>
      </c>
      <c r="P80" s="10">
        <v>159583</v>
      </c>
      <c r="Q80" s="6">
        <f t="shared" si="2"/>
        <v>1719116</v>
      </c>
      <c r="R80" s="2">
        <f t="shared" si="3"/>
        <v>0.330572781057761</v>
      </c>
    </row>
    <row r="81" spans="1:18">
      <c r="A81" s="1" t="s">
        <v>238</v>
      </c>
      <c r="B81" s="3" t="s">
        <v>239</v>
      </c>
      <c r="C81" s="3" t="s">
        <v>240</v>
      </c>
      <c r="D81" s="6">
        <v>14899199</v>
      </c>
      <c r="E81" s="10">
        <v>1554260</v>
      </c>
      <c r="F81" s="10">
        <v>1300506</v>
      </c>
      <c r="G81" s="10">
        <v>1502559</v>
      </c>
      <c r="H81" s="10">
        <v>1409089</v>
      </c>
      <c r="I81" s="10">
        <v>1468913</v>
      </c>
      <c r="J81" s="10">
        <v>1599586</v>
      </c>
      <c r="K81" s="10">
        <v>1774436</v>
      </c>
      <c r="L81" s="10">
        <v>1716484</v>
      </c>
      <c r="M81" s="10">
        <v>1549495</v>
      </c>
      <c r="N81" s="10">
        <v>1699356</v>
      </c>
      <c r="O81" s="10">
        <v>1618508</v>
      </c>
      <c r="P81" s="10">
        <v>1741011</v>
      </c>
      <c r="Q81" s="6">
        <f t="shared" si="2"/>
        <v>18934203</v>
      </c>
      <c r="R81" s="2">
        <f t="shared" si="3"/>
        <v>0.27082019644143296</v>
      </c>
    </row>
    <row r="82" spans="1:18">
      <c r="A82" s="1" t="s">
        <v>238</v>
      </c>
      <c r="B82" s="7" t="s">
        <v>298</v>
      </c>
      <c r="C82" s="7" t="s">
        <v>299</v>
      </c>
      <c r="D82" s="6">
        <v>880916</v>
      </c>
      <c r="E82" s="10">
        <v>90420</v>
      </c>
      <c r="F82" s="10">
        <v>88212</v>
      </c>
      <c r="G82" s="10">
        <v>105460</v>
      </c>
      <c r="H82" s="10">
        <v>97671</v>
      </c>
      <c r="I82" s="10">
        <v>103127</v>
      </c>
      <c r="J82" s="10">
        <v>110369</v>
      </c>
      <c r="K82" s="10">
        <v>114644</v>
      </c>
      <c r="L82" s="10">
        <v>111079</v>
      </c>
      <c r="M82" s="10">
        <v>107532</v>
      </c>
      <c r="N82" s="10">
        <v>118738</v>
      </c>
      <c r="O82" s="10">
        <v>111467</v>
      </c>
      <c r="P82" s="10">
        <v>120780</v>
      </c>
      <c r="Q82" s="6">
        <f t="shared" si="2"/>
        <v>1279499</v>
      </c>
      <c r="R82" s="2">
        <f t="shared" si="3"/>
        <v>0.45246425311834493</v>
      </c>
    </row>
    <row r="83" spans="1:18">
      <c r="A83" s="1" t="s">
        <v>238</v>
      </c>
      <c r="B83" s="7" t="s">
        <v>272</v>
      </c>
      <c r="C83" s="7" t="s">
        <v>273</v>
      </c>
      <c r="D83" s="6">
        <v>2667526</v>
      </c>
      <c r="E83" s="10">
        <v>247307</v>
      </c>
      <c r="F83" s="10">
        <v>216943</v>
      </c>
      <c r="G83" s="10">
        <v>261181</v>
      </c>
      <c r="H83" s="10">
        <v>247564</v>
      </c>
      <c r="I83" s="10">
        <v>263147</v>
      </c>
      <c r="J83" s="10">
        <v>283721</v>
      </c>
      <c r="K83" s="10">
        <v>332862</v>
      </c>
      <c r="L83" s="10">
        <v>317462</v>
      </c>
      <c r="M83" s="10">
        <v>269301</v>
      </c>
      <c r="N83" s="10">
        <v>295010</v>
      </c>
      <c r="O83" s="10">
        <v>277747</v>
      </c>
      <c r="P83" s="10">
        <v>299429</v>
      </c>
      <c r="Q83" s="6">
        <f t="shared" si="2"/>
        <v>3311674</v>
      </c>
      <c r="R83" s="2">
        <f t="shared" si="3"/>
        <v>0.24147768381639012</v>
      </c>
    </row>
    <row r="84" spans="1:18">
      <c r="A84" s="1" t="s">
        <v>238</v>
      </c>
      <c r="B84" s="7" t="s">
        <v>254</v>
      </c>
      <c r="C84" s="7" t="s">
        <v>255</v>
      </c>
      <c r="D84" s="6">
        <v>152084</v>
      </c>
      <c r="E84" s="10">
        <v>12488</v>
      </c>
      <c r="F84" s="10">
        <v>13153</v>
      </c>
      <c r="G84" s="10">
        <v>15455</v>
      </c>
      <c r="H84" s="10">
        <v>13525</v>
      </c>
      <c r="I84" s="10">
        <v>13986</v>
      </c>
      <c r="J84" s="10">
        <v>13913</v>
      </c>
      <c r="K84" s="10">
        <v>15204</v>
      </c>
      <c r="L84" s="10">
        <v>15675</v>
      </c>
      <c r="M84" s="10">
        <v>15343</v>
      </c>
      <c r="N84" s="10">
        <v>16678</v>
      </c>
      <c r="O84" s="10">
        <v>15468</v>
      </c>
      <c r="P84" s="10">
        <v>14727</v>
      </c>
      <c r="Q84" s="6">
        <f t="shared" si="2"/>
        <v>175615</v>
      </c>
      <c r="R84" s="2">
        <f t="shared" si="3"/>
        <v>0.15472370532074375</v>
      </c>
    </row>
    <row r="85" spans="1:18">
      <c r="A85" s="1" t="s">
        <v>238</v>
      </c>
      <c r="B85" s="7" t="s">
        <v>262</v>
      </c>
      <c r="C85" s="7" t="s">
        <v>263</v>
      </c>
      <c r="D85" s="6">
        <v>1684304</v>
      </c>
      <c r="E85" s="10">
        <v>197000</v>
      </c>
      <c r="F85" s="10">
        <v>146638</v>
      </c>
      <c r="G85" s="10">
        <v>165497</v>
      </c>
      <c r="H85" s="10">
        <v>151921</v>
      </c>
      <c r="I85" s="10">
        <v>150868</v>
      </c>
      <c r="J85" s="10">
        <v>174772</v>
      </c>
      <c r="K85" s="10">
        <v>202755</v>
      </c>
      <c r="L85" s="10">
        <v>191019</v>
      </c>
      <c r="M85" s="10">
        <v>166890</v>
      </c>
      <c r="N85" s="10">
        <v>191554</v>
      </c>
      <c r="O85" s="10">
        <v>178275</v>
      </c>
      <c r="P85" s="10">
        <v>201490</v>
      </c>
      <c r="Q85" s="6">
        <f t="shared" si="2"/>
        <v>2118679</v>
      </c>
      <c r="R85" s="2">
        <f t="shared" si="3"/>
        <v>0.25789584303071189</v>
      </c>
    </row>
    <row r="86" spans="1:18">
      <c r="A86" s="1" t="s">
        <v>238</v>
      </c>
      <c r="B86" s="7" t="s">
        <v>282</v>
      </c>
      <c r="C86" s="7" t="s">
        <v>283</v>
      </c>
      <c r="D86" s="6">
        <v>497900</v>
      </c>
      <c r="E86" s="10">
        <v>65049</v>
      </c>
      <c r="F86" s="10">
        <v>54867</v>
      </c>
      <c r="G86" s="10">
        <v>63169</v>
      </c>
      <c r="H86" s="10">
        <v>61645</v>
      </c>
      <c r="I86" s="10">
        <v>62162</v>
      </c>
      <c r="J86" s="10">
        <v>71111</v>
      </c>
      <c r="K86" s="10">
        <v>73136</v>
      </c>
      <c r="L86" s="10">
        <v>71750</v>
      </c>
      <c r="M86" s="10">
        <v>63464</v>
      </c>
      <c r="N86" s="10">
        <v>67827</v>
      </c>
      <c r="O86" s="10">
        <v>63002</v>
      </c>
      <c r="P86" s="10">
        <v>73266</v>
      </c>
      <c r="Q86" s="6">
        <f t="shared" si="2"/>
        <v>790448</v>
      </c>
      <c r="R86" s="2">
        <f t="shared" si="3"/>
        <v>0.58756376782486441</v>
      </c>
    </row>
    <row r="87" spans="1:18">
      <c r="A87" s="1" t="s">
        <v>238</v>
      </c>
      <c r="B87" s="7" t="s">
        <v>296</v>
      </c>
      <c r="C87" s="7" t="s">
        <v>297</v>
      </c>
      <c r="D87" s="6">
        <v>179640</v>
      </c>
      <c r="E87" s="10">
        <v>14777</v>
      </c>
      <c r="F87" s="10">
        <v>16667</v>
      </c>
      <c r="G87" s="10">
        <v>20554</v>
      </c>
      <c r="H87" s="10">
        <v>18749</v>
      </c>
      <c r="I87" s="10">
        <v>19663</v>
      </c>
      <c r="J87" s="10">
        <v>19511</v>
      </c>
      <c r="K87" s="10">
        <v>20723</v>
      </c>
      <c r="L87" s="10">
        <v>22125</v>
      </c>
      <c r="M87" s="10">
        <v>24693</v>
      </c>
      <c r="N87" s="10">
        <v>23252</v>
      </c>
      <c r="O87" s="10">
        <v>23365</v>
      </c>
      <c r="P87" s="10">
        <v>23656</v>
      </c>
      <c r="Q87" s="6">
        <f t="shared" si="2"/>
        <v>247735</v>
      </c>
      <c r="R87" s="2">
        <f t="shared" si="3"/>
        <v>0.37906368292139825</v>
      </c>
    </row>
    <row r="88" spans="1:18">
      <c r="A88" s="1" t="s">
        <v>238</v>
      </c>
      <c r="B88" s="7" t="s">
        <v>292</v>
      </c>
      <c r="C88" s="7" t="s">
        <v>293</v>
      </c>
      <c r="D88" s="6">
        <v>168727</v>
      </c>
      <c r="E88" s="10">
        <v>12559</v>
      </c>
      <c r="F88" s="10">
        <v>13438</v>
      </c>
      <c r="G88" s="10">
        <v>14706</v>
      </c>
      <c r="H88" s="10">
        <v>12962</v>
      </c>
      <c r="I88" s="10">
        <v>13429</v>
      </c>
      <c r="J88" s="10">
        <v>13311</v>
      </c>
      <c r="K88" s="10">
        <v>13190</v>
      </c>
      <c r="L88" s="10">
        <v>13625</v>
      </c>
      <c r="M88" s="10">
        <v>13821</v>
      </c>
      <c r="N88" s="10">
        <v>14015</v>
      </c>
      <c r="O88" s="10">
        <v>11940</v>
      </c>
      <c r="P88" s="10">
        <v>12302</v>
      </c>
      <c r="Q88" s="6">
        <f t="shared" si="2"/>
        <v>159298</v>
      </c>
      <c r="R88" s="2">
        <f t="shared" si="3"/>
        <v>-5.5883172224955091E-2</v>
      </c>
    </row>
    <row r="89" spans="1:18">
      <c r="A89" s="1" t="s">
        <v>238</v>
      </c>
      <c r="B89" s="7" t="s">
        <v>270</v>
      </c>
      <c r="C89" s="7" t="s">
        <v>271</v>
      </c>
      <c r="D89" s="6">
        <v>125115</v>
      </c>
      <c r="E89" s="10">
        <v>17898</v>
      </c>
      <c r="F89" s="10">
        <v>11260</v>
      </c>
      <c r="G89" s="10">
        <v>12991</v>
      </c>
      <c r="H89" s="10">
        <v>12142</v>
      </c>
      <c r="I89" s="10">
        <v>11755</v>
      </c>
      <c r="J89" s="10">
        <v>13956</v>
      </c>
      <c r="K89" s="10">
        <v>14725</v>
      </c>
      <c r="L89" s="10">
        <v>10602</v>
      </c>
      <c r="M89" s="10">
        <v>11480</v>
      </c>
      <c r="N89" s="10">
        <v>13037</v>
      </c>
      <c r="O89" s="10">
        <v>12273</v>
      </c>
      <c r="P89" s="10">
        <v>14522</v>
      </c>
      <c r="Q89" s="6">
        <f t="shared" si="2"/>
        <v>156641</v>
      </c>
      <c r="R89" s="2">
        <f t="shared" si="3"/>
        <v>0.25197618191264026</v>
      </c>
    </row>
    <row r="90" spans="1:18">
      <c r="A90" s="1" t="s">
        <v>238</v>
      </c>
      <c r="B90" s="7" t="s">
        <v>294</v>
      </c>
      <c r="C90" s="7" t="s">
        <v>295</v>
      </c>
      <c r="D90" s="6">
        <v>234419</v>
      </c>
      <c r="E90" s="10">
        <v>20630</v>
      </c>
      <c r="F90" s="10">
        <v>18385</v>
      </c>
      <c r="G90" s="10">
        <v>22185</v>
      </c>
      <c r="H90" s="10">
        <v>18320</v>
      </c>
      <c r="I90" s="10">
        <v>20694</v>
      </c>
      <c r="J90" s="10">
        <v>19542</v>
      </c>
      <c r="K90" s="10">
        <v>18403</v>
      </c>
      <c r="L90" s="10">
        <v>21342</v>
      </c>
      <c r="M90" s="10">
        <v>19489</v>
      </c>
      <c r="N90" s="10">
        <v>17967</v>
      </c>
      <c r="O90" s="10">
        <v>14692</v>
      </c>
      <c r="P90" s="10">
        <v>16135</v>
      </c>
      <c r="Q90" s="6">
        <f t="shared" si="2"/>
        <v>227784</v>
      </c>
      <c r="R90" s="2">
        <f t="shared" si="3"/>
        <v>-2.8304019725363561E-2</v>
      </c>
    </row>
    <row r="91" spans="1:18">
      <c r="A91" s="1" t="s">
        <v>238</v>
      </c>
      <c r="B91" s="7" t="s">
        <v>256</v>
      </c>
      <c r="C91" s="7" t="s">
        <v>257</v>
      </c>
      <c r="D91" s="6">
        <v>1011662</v>
      </c>
      <c r="E91" s="10">
        <v>83596</v>
      </c>
      <c r="F91" s="10">
        <v>75028</v>
      </c>
      <c r="G91" s="10">
        <v>87573</v>
      </c>
      <c r="H91" s="10">
        <v>79457</v>
      </c>
      <c r="I91" s="10">
        <v>79949</v>
      </c>
      <c r="J91" s="10">
        <v>80806</v>
      </c>
      <c r="K91" s="10">
        <v>84638</v>
      </c>
      <c r="L91" s="10">
        <v>86943</v>
      </c>
      <c r="M91" s="10">
        <v>83106</v>
      </c>
      <c r="N91" s="10">
        <v>89592</v>
      </c>
      <c r="O91" s="10">
        <v>81152</v>
      </c>
      <c r="P91" s="10">
        <v>88408</v>
      </c>
      <c r="Q91" s="6">
        <f t="shared" si="2"/>
        <v>1000248</v>
      </c>
      <c r="R91" s="2">
        <f t="shared" si="3"/>
        <v>-1.128242436703164E-2</v>
      </c>
    </row>
    <row r="92" spans="1:18">
      <c r="A92" s="1" t="s">
        <v>238</v>
      </c>
      <c r="B92" s="7" t="s">
        <v>288</v>
      </c>
      <c r="C92" s="7" t="s">
        <v>289</v>
      </c>
      <c r="D92" s="6">
        <v>411165</v>
      </c>
      <c r="E92" s="10">
        <v>48488</v>
      </c>
      <c r="F92" s="10">
        <v>37302</v>
      </c>
      <c r="G92" s="10">
        <v>44785</v>
      </c>
      <c r="H92" s="10">
        <v>43832</v>
      </c>
      <c r="I92" s="10">
        <v>43269</v>
      </c>
      <c r="J92" s="10">
        <v>51013</v>
      </c>
      <c r="K92" s="10">
        <v>55747</v>
      </c>
      <c r="L92" s="10">
        <v>47884</v>
      </c>
      <c r="M92" s="10">
        <v>46127</v>
      </c>
      <c r="N92" s="10">
        <v>51315</v>
      </c>
      <c r="O92" s="10">
        <v>47154</v>
      </c>
      <c r="P92" s="10">
        <v>51290</v>
      </c>
      <c r="Q92" s="6">
        <f t="shared" si="2"/>
        <v>568206</v>
      </c>
      <c r="R92" s="2">
        <f t="shared" si="3"/>
        <v>0.38194155630951077</v>
      </c>
    </row>
    <row r="93" spans="1:18">
      <c r="A93" s="1" t="s">
        <v>238</v>
      </c>
      <c r="B93" s="7" t="s">
        <v>274</v>
      </c>
      <c r="C93" s="7" t="s">
        <v>275</v>
      </c>
      <c r="D93" s="6">
        <v>277069</v>
      </c>
      <c r="E93" s="10">
        <v>22126</v>
      </c>
      <c r="F93" s="10">
        <v>23351</v>
      </c>
      <c r="G93" s="10">
        <v>27257</v>
      </c>
      <c r="H93" s="10">
        <v>25085</v>
      </c>
      <c r="I93" s="10">
        <v>26188</v>
      </c>
      <c r="J93" s="10">
        <v>25912</v>
      </c>
      <c r="K93" s="10">
        <v>25881</v>
      </c>
      <c r="L93" s="10">
        <v>26031</v>
      </c>
      <c r="M93" s="10">
        <v>26230</v>
      </c>
      <c r="N93" s="10">
        <v>26800</v>
      </c>
      <c r="O93" s="10">
        <v>25914</v>
      </c>
      <c r="P93" s="10">
        <v>24605</v>
      </c>
      <c r="Q93" s="6">
        <f t="shared" si="2"/>
        <v>305380</v>
      </c>
      <c r="R93" s="2">
        <f t="shared" si="3"/>
        <v>0.10218032331296545</v>
      </c>
    </row>
    <row r="94" spans="1:18">
      <c r="A94" s="1" t="s">
        <v>238</v>
      </c>
      <c r="B94" s="7" t="s">
        <v>524</v>
      </c>
      <c r="C94" s="7" t="s">
        <v>267</v>
      </c>
      <c r="D94" s="6">
        <v>646152</v>
      </c>
      <c r="E94" s="10">
        <v>61420</v>
      </c>
      <c r="F94" s="10">
        <v>54852</v>
      </c>
      <c r="G94" s="10">
        <v>63302</v>
      </c>
      <c r="H94" s="10">
        <v>60854</v>
      </c>
      <c r="I94" s="10">
        <v>64413</v>
      </c>
      <c r="J94" s="10">
        <v>70461</v>
      </c>
      <c r="K94" s="10">
        <v>79250</v>
      </c>
      <c r="L94" s="10">
        <v>79183</v>
      </c>
      <c r="M94" s="10">
        <v>71737</v>
      </c>
      <c r="N94" s="10">
        <v>77951</v>
      </c>
      <c r="O94" s="10">
        <v>92611</v>
      </c>
      <c r="P94" s="10">
        <v>81784</v>
      </c>
      <c r="Q94" s="6">
        <f t="shared" si="2"/>
        <v>857818</v>
      </c>
      <c r="R94" s="2">
        <f t="shared" si="3"/>
        <v>0.32757926927410264</v>
      </c>
    </row>
    <row r="95" spans="1:18">
      <c r="A95" s="1" t="s">
        <v>238</v>
      </c>
      <c r="B95" s="7" t="s">
        <v>280</v>
      </c>
      <c r="C95" s="7" t="s">
        <v>281</v>
      </c>
      <c r="D95" s="6">
        <v>188952</v>
      </c>
      <c r="E95" s="10">
        <v>18300</v>
      </c>
      <c r="F95" s="10">
        <v>16559</v>
      </c>
      <c r="G95" s="10">
        <v>18130</v>
      </c>
      <c r="H95" s="10">
        <v>17053</v>
      </c>
      <c r="I95" s="10">
        <v>18748</v>
      </c>
      <c r="J95" s="10">
        <v>18695</v>
      </c>
      <c r="K95" s="10">
        <v>17858</v>
      </c>
      <c r="L95" s="10">
        <v>22024</v>
      </c>
      <c r="M95" s="10">
        <v>17110</v>
      </c>
      <c r="N95" s="10">
        <v>17906</v>
      </c>
      <c r="O95" s="10">
        <v>13105</v>
      </c>
      <c r="P95" s="10">
        <v>18422</v>
      </c>
      <c r="Q95" s="6">
        <f t="shared" si="2"/>
        <v>213910</v>
      </c>
      <c r="R95" s="2">
        <f t="shared" si="3"/>
        <v>0.13208645581946743</v>
      </c>
    </row>
    <row r="96" spans="1:18">
      <c r="A96" s="1" t="s">
        <v>238</v>
      </c>
      <c r="B96" s="7" t="s">
        <v>286</v>
      </c>
      <c r="C96" s="7" t="s">
        <v>287</v>
      </c>
      <c r="D96" s="6">
        <v>224739</v>
      </c>
      <c r="E96" s="10">
        <v>23114</v>
      </c>
      <c r="F96" s="10">
        <v>17267</v>
      </c>
      <c r="G96" s="10">
        <v>22313</v>
      </c>
      <c r="H96" s="10">
        <v>21561</v>
      </c>
      <c r="I96" s="10">
        <v>21461</v>
      </c>
      <c r="J96" s="10">
        <v>22828</v>
      </c>
      <c r="K96" s="10">
        <v>25149</v>
      </c>
      <c r="L96" s="10">
        <v>21005</v>
      </c>
      <c r="M96" s="10">
        <v>21531</v>
      </c>
      <c r="N96" s="10">
        <v>23931</v>
      </c>
      <c r="O96" s="10">
        <v>23170</v>
      </c>
      <c r="P96" s="10">
        <v>30149</v>
      </c>
      <c r="Q96" s="6">
        <f t="shared" si="2"/>
        <v>273479</v>
      </c>
      <c r="R96" s="2">
        <f t="shared" si="3"/>
        <v>0.21687379582537969</v>
      </c>
    </row>
    <row r="97" spans="1:18">
      <c r="A97" s="1" t="s">
        <v>238</v>
      </c>
      <c r="B97" s="7" t="s">
        <v>258</v>
      </c>
      <c r="C97" s="7" t="s">
        <v>259</v>
      </c>
      <c r="D97" s="6">
        <v>2719311</v>
      </c>
      <c r="E97" s="10">
        <v>265519</v>
      </c>
      <c r="F97" s="10">
        <v>226852</v>
      </c>
      <c r="G97" s="10">
        <v>291433</v>
      </c>
      <c r="H97" s="10">
        <v>258770</v>
      </c>
      <c r="I97" s="10">
        <v>275343</v>
      </c>
      <c r="J97" s="10">
        <v>303084</v>
      </c>
      <c r="K97" s="10">
        <v>329313</v>
      </c>
      <c r="L97" s="10">
        <v>326096</v>
      </c>
      <c r="M97" s="10">
        <v>291520</v>
      </c>
      <c r="N97" s="10">
        <v>323208</v>
      </c>
      <c r="O97" s="10">
        <v>311822</v>
      </c>
      <c r="P97" s="10">
        <v>338060</v>
      </c>
      <c r="Q97" s="6">
        <f t="shared" si="2"/>
        <v>3541020</v>
      </c>
      <c r="R97" s="2">
        <f t="shared" si="3"/>
        <v>0.30217544076422298</v>
      </c>
    </row>
    <row r="98" spans="1:18">
      <c r="A98" s="1" t="s">
        <v>238</v>
      </c>
      <c r="B98" s="7" t="s">
        <v>268</v>
      </c>
      <c r="C98" s="7" t="s">
        <v>269</v>
      </c>
      <c r="D98" s="6">
        <v>911171</v>
      </c>
      <c r="E98" s="10">
        <v>101510</v>
      </c>
      <c r="F98" s="10">
        <v>67441</v>
      </c>
      <c r="G98" s="10">
        <v>71225</v>
      </c>
      <c r="H98" s="10">
        <v>64535</v>
      </c>
      <c r="I98" s="10">
        <v>71099</v>
      </c>
      <c r="J98" s="10">
        <v>85080</v>
      </c>
      <c r="K98" s="10">
        <v>103378</v>
      </c>
      <c r="L98" s="10">
        <v>91327</v>
      </c>
      <c r="M98" s="10">
        <v>72491</v>
      </c>
      <c r="N98" s="10">
        <v>81521</v>
      </c>
      <c r="O98" s="10">
        <v>81393</v>
      </c>
      <c r="P98" s="10">
        <v>104661</v>
      </c>
      <c r="Q98" s="6">
        <f t="shared" si="2"/>
        <v>995661</v>
      </c>
      <c r="R98" s="2">
        <f t="shared" si="3"/>
        <v>9.2726831736304138E-2</v>
      </c>
    </row>
    <row r="99" spans="1:18">
      <c r="A99" s="1" t="s">
        <v>238</v>
      </c>
      <c r="B99" s="7" t="s">
        <v>276</v>
      </c>
      <c r="C99" s="7" t="s">
        <v>277</v>
      </c>
      <c r="D99" s="6">
        <v>555532</v>
      </c>
      <c r="E99" s="10">
        <v>85260</v>
      </c>
      <c r="F99" s="10">
        <v>57158</v>
      </c>
      <c r="G99" s="10">
        <v>65656</v>
      </c>
      <c r="H99" s="10">
        <v>62023</v>
      </c>
      <c r="I99" s="10">
        <v>61447</v>
      </c>
      <c r="J99" s="10">
        <v>69873</v>
      </c>
      <c r="K99" s="10">
        <v>79341</v>
      </c>
      <c r="L99" s="10">
        <v>76039</v>
      </c>
      <c r="M99" s="10">
        <v>65723</v>
      </c>
      <c r="N99" s="10">
        <v>74799</v>
      </c>
      <c r="O99" s="10">
        <v>67530</v>
      </c>
      <c r="P99" s="10">
        <v>79070</v>
      </c>
      <c r="Q99" s="6">
        <f t="shared" si="2"/>
        <v>843919</v>
      </c>
      <c r="R99" s="2">
        <f t="shared" si="3"/>
        <v>0.51911861062909059</v>
      </c>
    </row>
    <row r="100" spans="1:18">
      <c r="A100" s="1" t="s">
        <v>238</v>
      </c>
      <c r="B100" s="7" t="s">
        <v>284</v>
      </c>
      <c r="C100" s="7" t="s">
        <v>285</v>
      </c>
      <c r="D100" s="6">
        <v>142680</v>
      </c>
      <c r="E100" s="10">
        <v>11687</v>
      </c>
      <c r="F100" s="10">
        <v>10642</v>
      </c>
      <c r="G100" s="10">
        <v>13580</v>
      </c>
      <c r="H100" s="10">
        <v>21695</v>
      </c>
      <c r="I100" s="10">
        <v>22986</v>
      </c>
      <c r="J100" s="10">
        <v>24067</v>
      </c>
      <c r="K100" s="10">
        <v>24510</v>
      </c>
      <c r="L100" s="10">
        <v>23020</v>
      </c>
      <c r="M100" s="10">
        <v>21838</v>
      </c>
      <c r="N100" s="10">
        <v>23805</v>
      </c>
      <c r="O100" s="10">
        <v>23246</v>
      </c>
      <c r="P100" s="10">
        <v>24223</v>
      </c>
      <c r="Q100" s="6">
        <f t="shared" si="2"/>
        <v>245299</v>
      </c>
      <c r="R100" s="2">
        <f t="shared" si="3"/>
        <v>0.71922483880011212</v>
      </c>
    </row>
    <row r="101" spans="1:18">
      <c r="A101" s="1" t="s">
        <v>238</v>
      </c>
      <c r="B101" s="7" t="s">
        <v>278</v>
      </c>
      <c r="C101" s="7" t="s">
        <v>279</v>
      </c>
      <c r="D101" s="6">
        <v>123783</v>
      </c>
      <c r="E101" s="10">
        <v>10373</v>
      </c>
      <c r="F101" s="10">
        <v>10096</v>
      </c>
      <c r="G101" s="10">
        <v>10975</v>
      </c>
      <c r="H101" s="10">
        <v>10647</v>
      </c>
      <c r="I101" s="10">
        <v>10573</v>
      </c>
      <c r="J101" s="10">
        <v>9257</v>
      </c>
      <c r="K101" s="10">
        <v>9334</v>
      </c>
      <c r="L101" s="10">
        <v>8406</v>
      </c>
      <c r="M101" s="10">
        <v>7968</v>
      </c>
      <c r="N101" s="10">
        <v>8266</v>
      </c>
      <c r="O101" s="10">
        <v>8354</v>
      </c>
      <c r="P101" s="10">
        <v>9875</v>
      </c>
      <c r="Q101" s="6">
        <f t="shared" si="2"/>
        <v>114124</v>
      </c>
      <c r="R101" s="2">
        <f t="shared" si="3"/>
        <v>-7.8031716794713324E-2</v>
      </c>
    </row>
    <row r="102" spans="1:18">
      <c r="A102" s="1" t="s">
        <v>241</v>
      </c>
      <c r="B102" s="3" t="s">
        <v>529</v>
      </c>
      <c r="C102" s="3" t="s">
        <v>250</v>
      </c>
      <c r="D102" s="6">
        <v>46967</v>
      </c>
      <c r="E102" s="10">
        <v>18036</v>
      </c>
      <c r="F102" s="10">
        <v>16693</v>
      </c>
      <c r="G102" s="10">
        <v>14345</v>
      </c>
      <c r="H102" s="10">
        <v>12658</v>
      </c>
      <c r="I102" s="10">
        <v>5965</v>
      </c>
      <c r="J102" s="10">
        <v>7536</v>
      </c>
      <c r="K102" s="10">
        <v>9979</v>
      </c>
      <c r="L102" s="10">
        <v>8883</v>
      </c>
      <c r="M102" s="10">
        <v>5665</v>
      </c>
      <c r="N102" s="10">
        <v>6049</v>
      </c>
      <c r="O102" s="10">
        <v>7895</v>
      </c>
      <c r="P102" s="10">
        <v>11169</v>
      </c>
      <c r="Q102" s="6">
        <v>124873</v>
      </c>
      <c r="R102" s="2">
        <f t="shared" si="3"/>
        <v>1.6587391146975534</v>
      </c>
    </row>
    <row r="103" spans="1:18">
      <c r="A103" s="1" t="s">
        <v>241</v>
      </c>
      <c r="B103" s="3" t="s">
        <v>245</v>
      </c>
      <c r="C103" s="3" t="s">
        <v>246</v>
      </c>
      <c r="D103" s="6">
        <v>835832</v>
      </c>
      <c r="E103" s="10">
        <v>97832</v>
      </c>
      <c r="F103" s="10">
        <v>82041</v>
      </c>
      <c r="G103" s="10">
        <v>100499</v>
      </c>
      <c r="H103" s="10">
        <v>91997</v>
      </c>
      <c r="I103" s="10">
        <v>91062</v>
      </c>
      <c r="J103" s="10">
        <v>149122</v>
      </c>
      <c r="K103" s="10">
        <v>118479</v>
      </c>
      <c r="L103" s="10">
        <v>116670</v>
      </c>
      <c r="M103" s="10">
        <v>87878</v>
      </c>
      <c r="N103" s="10">
        <v>83119</v>
      </c>
      <c r="O103" s="10"/>
      <c r="P103" s="10"/>
      <c r="Q103" s="6">
        <f t="shared" si="2"/>
        <v>1018699</v>
      </c>
      <c r="R103" s="2">
        <f t="shared" si="3"/>
        <v>0.21878439686444162</v>
      </c>
    </row>
    <row r="104" spans="1:18">
      <c r="A104" s="1" t="s">
        <v>241</v>
      </c>
      <c r="B104" s="3" t="s">
        <v>530</v>
      </c>
      <c r="C104" s="3" t="s">
        <v>247</v>
      </c>
      <c r="D104" s="6">
        <v>2818056</v>
      </c>
      <c r="E104" s="10">
        <v>315395</v>
      </c>
      <c r="F104" s="10">
        <v>258163</v>
      </c>
      <c r="G104" s="10">
        <v>258944</v>
      </c>
      <c r="H104" s="10">
        <v>243328</v>
      </c>
      <c r="I104" s="10">
        <v>233728</v>
      </c>
      <c r="J104" s="10">
        <v>269991</v>
      </c>
      <c r="K104" s="10">
        <v>334278</v>
      </c>
      <c r="L104" s="10">
        <v>312720</v>
      </c>
      <c r="M104" s="10">
        <v>226925</v>
      </c>
      <c r="N104" s="10">
        <v>223263</v>
      </c>
      <c r="O104" s="10">
        <v>229754</v>
      </c>
      <c r="P104" s="10">
        <v>272518</v>
      </c>
      <c r="Q104" s="6">
        <v>3179007</v>
      </c>
      <c r="R104" s="2">
        <f t="shared" si="3"/>
        <v>0.12808510547696716</v>
      </c>
    </row>
    <row r="105" spans="1:18">
      <c r="A105" s="1" t="s">
        <v>241</v>
      </c>
      <c r="B105" s="3" t="s">
        <v>248</v>
      </c>
      <c r="C105" s="3" t="s">
        <v>249</v>
      </c>
      <c r="D105" s="6">
        <v>192236</v>
      </c>
      <c r="E105" s="10">
        <v>40341</v>
      </c>
      <c r="F105" s="10">
        <v>31538</v>
      </c>
      <c r="G105" s="10">
        <v>34348</v>
      </c>
      <c r="H105" s="10">
        <v>21155</v>
      </c>
      <c r="I105" s="10">
        <v>13101</v>
      </c>
      <c r="J105" s="10">
        <v>14698</v>
      </c>
      <c r="K105" s="10">
        <v>19544</v>
      </c>
      <c r="L105" s="10">
        <v>22970</v>
      </c>
      <c r="M105" s="10">
        <v>11705</v>
      </c>
      <c r="N105" s="10">
        <v>12863</v>
      </c>
      <c r="O105" s="10"/>
      <c r="P105" s="10"/>
      <c r="Q105" s="6">
        <f t="shared" si="2"/>
        <v>222263</v>
      </c>
      <c r="R105" s="2">
        <f t="shared" si="3"/>
        <v>0.15619863084958063</v>
      </c>
    </row>
    <row r="106" spans="1:18">
      <c r="A106" s="1" t="s">
        <v>241</v>
      </c>
      <c r="B106" s="3" t="s">
        <v>531</v>
      </c>
      <c r="C106" s="3" t="s">
        <v>242</v>
      </c>
      <c r="D106" s="6">
        <v>698537</v>
      </c>
      <c r="E106" s="10">
        <v>116897</v>
      </c>
      <c r="F106" s="10">
        <v>111416</v>
      </c>
      <c r="G106" s="10">
        <v>123315</v>
      </c>
      <c r="H106" s="10">
        <v>81248</v>
      </c>
      <c r="I106" s="10">
        <v>61460</v>
      </c>
      <c r="J106" s="10">
        <v>64206</v>
      </c>
      <c r="K106" s="10">
        <v>69229</v>
      </c>
      <c r="L106" s="10">
        <v>68074</v>
      </c>
      <c r="M106" s="10">
        <v>45687</v>
      </c>
      <c r="N106" s="10">
        <v>50415</v>
      </c>
      <c r="O106" s="10">
        <v>56002</v>
      </c>
      <c r="P106" s="10">
        <v>70845</v>
      </c>
      <c r="Q106" s="6">
        <v>918794</v>
      </c>
      <c r="R106" s="2">
        <f t="shared" si="3"/>
        <v>0.31531185892801661</v>
      </c>
    </row>
    <row r="107" spans="1:18">
      <c r="A107" s="1" t="s">
        <v>241</v>
      </c>
      <c r="B107" s="3" t="s">
        <v>243</v>
      </c>
      <c r="C107" s="3" t="s">
        <v>244</v>
      </c>
      <c r="D107" s="6">
        <v>2739531</v>
      </c>
      <c r="E107" s="10">
        <v>430510</v>
      </c>
      <c r="F107" s="10">
        <v>394767</v>
      </c>
      <c r="G107" s="10">
        <v>426420</v>
      </c>
      <c r="H107" s="10">
        <v>373455</v>
      </c>
      <c r="I107" s="10">
        <v>284804</v>
      </c>
      <c r="J107" s="10">
        <v>311861</v>
      </c>
      <c r="K107" s="10">
        <v>375409</v>
      </c>
      <c r="L107" s="10">
        <v>336834</v>
      </c>
      <c r="M107" s="10">
        <v>205030</v>
      </c>
      <c r="N107" s="10">
        <v>209391</v>
      </c>
      <c r="O107" s="10"/>
      <c r="P107" s="10"/>
      <c r="Q107" s="6">
        <f t="shared" si="2"/>
        <v>3348481</v>
      </c>
      <c r="R107" s="2">
        <f t="shared" si="3"/>
        <v>0.22228257318497224</v>
      </c>
    </row>
    <row r="108" spans="1:18">
      <c r="A108" s="3" t="s">
        <v>341</v>
      </c>
      <c r="B108" s="3" t="s">
        <v>342</v>
      </c>
      <c r="C108" s="3" t="s">
        <v>343</v>
      </c>
      <c r="D108" s="6">
        <v>3595134</v>
      </c>
      <c r="E108" s="10">
        <v>297892</v>
      </c>
      <c r="F108" s="10">
        <v>286923</v>
      </c>
      <c r="G108" s="10">
        <v>321268</v>
      </c>
      <c r="H108" s="10">
        <v>298921</v>
      </c>
      <c r="I108" s="10">
        <v>291511</v>
      </c>
      <c r="J108" s="10">
        <v>298586</v>
      </c>
      <c r="K108" s="10">
        <v>342910</v>
      </c>
      <c r="L108" s="10">
        <v>360044</v>
      </c>
      <c r="M108" s="10">
        <v>311530</v>
      </c>
      <c r="N108" s="10">
        <v>330657</v>
      </c>
      <c r="O108" s="10">
        <v>318558</v>
      </c>
      <c r="P108" s="10">
        <v>325424</v>
      </c>
      <c r="Q108" s="6">
        <f t="shared" si="2"/>
        <v>3784224</v>
      </c>
      <c r="R108" s="2">
        <f t="shared" si="3"/>
        <v>5.2596092384873616E-2</v>
      </c>
    </row>
    <row r="109" spans="1:18">
      <c r="A109" s="1" t="s">
        <v>251</v>
      </c>
      <c r="B109" s="3" t="s">
        <v>361</v>
      </c>
      <c r="C109" s="3" t="s">
        <v>252</v>
      </c>
      <c r="D109" s="6">
        <v>1941897</v>
      </c>
      <c r="E109" s="10">
        <v>177761</v>
      </c>
      <c r="F109" s="10">
        <v>145617</v>
      </c>
      <c r="G109" s="10">
        <v>171134</v>
      </c>
      <c r="H109" s="10">
        <v>153378</v>
      </c>
      <c r="I109" s="10">
        <v>161215</v>
      </c>
      <c r="J109" s="10">
        <v>141344</v>
      </c>
      <c r="K109" s="10">
        <v>205445</v>
      </c>
      <c r="L109" s="10">
        <v>183861</v>
      </c>
      <c r="M109" s="10">
        <v>139466</v>
      </c>
      <c r="N109" s="10">
        <v>135127</v>
      </c>
      <c r="O109" s="10">
        <v>185754</v>
      </c>
      <c r="P109" s="10">
        <v>176224</v>
      </c>
      <c r="Q109" s="6">
        <f t="shared" si="2"/>
        <v>1976326</v>
      </c>
      <c r="R109" s="2">
        <f t="shared" si="3"/>
        <v>1.7729570620892865E-2</v>
      </c>
    </row>
    <row r="110" spans="1:18">
      <c r="A110" s="1" t="s">
        <v>334</v>
      </c>
      <c r="B110" s="7" t="s">
        <v>335</v>
      </c>
      <c r="C110" s="7" t="s">
        <v>336</v>
      </c>
      <c r="D110" s="6">
        <v>1728006</v>
      </c>
      <c r="E110" s="10">
        <v>165114</v>
      </c>
      <c r="F110" s="10">
        <v>152550</v>
      </c>
      <c r="G110" s="10">
        <v>172877</v>
      </c>
      <c r="H110" s="10">
        <v>152608</v>
      </c>
      <c r="I110" s="10">
        <v>134194</v>
      </c>
      <c r="J110" s="10">
        <v>131533</v>
      </c>
      <c r="K110" s="10">
        <v>194306</v>
      </c>
      <c r="L110" s="10">
        <v>207235</v>
      </c>
      <c r="M110" s="10">
        <v>108178</v>
      </c>
      <c r="N110" s="10">
        <v>117779</v>
      </c>
      <c r="O110" s="10">
        <v>130590</v>
      </c>
      <c r="P110" s="10">
        <v>169280</v>
      </c>
      <c r="Q110" s="6">
        <f t="shared" si="2"/>
        <v>1836244</v>
      </c>
      <c r="R110" s="2">
        <f t="shared" si="3"/>
        <v>6.2637513990113414E-2</v>
      </c>
    </row>
    <row r="111" spans="1:18">
      <c r="A111" s="1" t="s">
        <v>331</v>
      </c>
      <c r="B111" s="7" t="s">
        <v>332</v>
      </c>
      <c r="C111" s="7" t="s">
        <v>333</v>
      </c>
      <c r="D111" s="6">
        <v>1608599</v>
      </c>
      <c r="E111" s="10">
        <v>147122</v>
      </c>
      <c r="F111" s="10">
        <v>151415</v>
      </c>
      <c r="G111" s="10">
        <v>148014</v>
      </c>
      <c r="H111" s="10">
        <v>136197</v>
      </c>
      <c r="I111" s="10">
        <v>124879</v>
      </c>
      <c r="J111" s="10">
        <v>117060</v>
      </c>
      <c r="K111" s="10">
        <v>176401</v>
      </c>
      <c r="L111" s="10">
        <v>189651</v>
      </c>
      <c r="M111" s="10">
        <v>96099</v>
      </c>
      <c r="N111" s="10">
        <v>110052</v>
      </c>
      <c r="O111" s="10">
        <v>120164</v>
      </c>
      <c r="P111" s="10">
        <v>154376</v>
      </c>
      <c r="Q111" s="6">
        <f t="shared" si="2"/>
        <v>1671430</v>
      </c>
      <c r="R111" s="2">
        <f t="shared" si="3"/>
        <v>3.9059454842381491E-2</v>
      </c>
    </row>
    <row r="112" spans="1:18" ht="15.75">
      <c r="A112" s="1" t="s">
        <v>85</v>
      </c>
      <c r="B112" s="1" t="s">
        <v>364</v>
      </c>
      <c r="C112" s="1" t="s">
        <v>126</v>
      </c>
      <c r="D112" s="6">
        <v>839048</v>
      </c>
      <c r="E112" s="10">
        <v>84786</v>
      </c>
      <c r="F112" s="10">
        <v>75388</v>
      </c>
      <c r="G112" s="10">
        <v>88954</v>
      </c>
      <c r="H112" s="10">
        <v>60555</v>
      </c>
      <c r="I112" s="10">
        <v>55139</v>
      </c>
      <c r="J112" s="10">
        <v>47897</v>
      </c>
      <c r="K112" s="10">
        <v>71543</v>
      </c>
      <c r="L112" s="10">
        <v>60537</v>
      </c>
      <c r="M112" s="10">
        <v>38918</v>
      </c>
      <c r="N112" s="10">
        <v>41674</v>
      </c>
      <c r="O112" s="10">
        <v>51633</v>
      </c>
      <c r="P112" s="10">
        <v>59854</v>
      </c>
      <c r="Q112" s="6">
        <f t="shared" si="2"/>
        <v>736878</v>
      </c>
      <c r="R112" s="2">
        <f t="shared" si="3"/>
        <v>-0.12176895719911141</v>
      </c>
    </row>
    <row r="113" spans="1:18">
      <c r="A113" s="1" t="s">
        <v>85</v>
      </c>
      <c r="B113" s="1" t="s">
        <v>377</v>
      </c>
      <c r="C113" s="1" t="s">
        <v>121</v>
      </c>
      <c r="D113" s="6">
        <v>284500</v>
      </c>
      <c r="E113" s="10">
        <v>22100</v>
      </c>
      <c r="F113" s="10">
        <v>19100</v>
      </c>
      <c r="G113" s="10">
        <v>22800</v>
      </c>
      <c r="H113" s="10">
        <v>25200</v>
      </c>
      <c r="I113" s="10">
        <v>27000</v>
      </c>
      <c r="J113" s="10">
        <v>23100</v>
      </c>
      <c r="K113" s="10">
        <v>28100</v>
      </c>
      <c r="L113" s="10">
        <v>29500</v>
      </c>
      <c r="M113" s="10">
        <v>23200</v>
      </c>
      <c r="N113" s="10">
        <v>24300</v>
      </c>
      <c r="O113" s="10">
        <v>24000</v>
      </c>
      <c r="P113" s="10">
        <v>25700</v>
      </c>
      <c r="Q113" s="6">
        <f t="shared" si="2"/>
        <v>294100</v>
      </c>
      <c r="R113" s="2">
        <f t="shared" si="3"/>
        <v>3.3743409490333942E-2</v>
      </c>
    </row>
    <row r="114" spans="1:18">
      <c r="A114" s="1" t="s">
        <v>85</v>
      </c>
      <c r="B114" s="1" t="s">
        <v>88</v>
      </c>
      <c r="C114" s="1" t="s">
        <v>89</v>
      </c>
      <c r="D114" s="6">
        <v>11174908</v>
      </c>
      <c r="E114" s="10">
        <v>1153950</v>
      </c>
      <c r="F114" s="10">
        <v>1092487</v>
      </c>
      <c r="G114" s="10">
        <v>1318090</v>
      </c>
      <c r="H114" s="10">
        <v>1155142</v>
      </c>
      <c r="I114" s="10">
        <v>1005582</v>
      </c>
      <c r="J114" s="10">
        <v>1024457</v>
      </c>
      <c r="K114" s="10">
        <v>1228469</v>
      </c>
      <c r="L114" s="10">
        <v>1069649</v>
      </c>
      <c r="M114" s="10">
        <v>674118</v>
      </c>
      <c r="N114" s="10">
        <v>743607</v>
      </c>
      <c r="O114" s="10">
        <v>901522</v>
      </c>
      <c r="P114" s="10">
        <v>1072193</v>
      </c>
      <c r="Q114" s="6">
        <f t="shared" si="2"/>
        <v>12439266</v>
      </c>
      <c r="R114" s="2">
        <f t="shared" si="3"/>
        <v>0.11314258694568213</v>
      </c>
    </row>
    <row r="115" spans="1:18" ht="15.75">
      <c r="A115" s="1" t="s">
        <v>85</v>
      </c>
      <c r="B115" s="1" t="s">
        <v>365</v>
      </c>
      <c r="C115" s="1" t="s">
        <v>129</v>
      </c>
      <c r="D115" s="6">
        <v>745165</v>
      </c>
      <c r="E115" s="10">
        <v>52436</v>
      </c>
      <c r="F115" s="10">
        <v>55868</v>
      </c>
      <c r="G115" s="10">
        <v>72204</v>
      </c>
      <c r="H115" s="10">
        <v>72117</v>
      </c>
      <c r="I115" s="10">
        <v>70474</v>
      </c>
      <c r="J115" s="10">
        <v>65959</v>
      </c>
      <c r="K115" s="10">
        <v>94316</v>
      </c>
      <c r="L115" s="10">
        <v>83852</v>
      </c>
      <c r="M115" s="10">
        <v>67276</v>
      </c>
      <c r="N115" s="10">
        <v>68855</v>
      </c>
      <c r="O115" s="10">
        <v>61992</v>
      </c>
      <c r="P115" s="10">
        <v>62774</v>
      </c>
      <c r="Q115" s="6">
        <f t="shared" si="2"/>
        <v>828123</v>
      </c>
      <c r="R115" s="2">
        <f t="shared" si="3"/>
        <v>0.11132836351680497</v>
      </c>
    </row>
    <row r="116" spans="1:18" ht="15.75">
      <c r="A116" s="1" t="s">
        <v>85</v>
      </c>
      <c r="B116" s="1" t="s">
        <v>366</v>
      </c>
      <c r="C116" s="1" t="s">
        <v>127</v>
      </c>
      <c r="D116" s="6">
        <v>631111</v>
      </c>
      <c r="E116" s="10">
        <v>43529</v>
      </c>
      <c r="F116" s="10">
        <v>40719</v>
      </c>
      <c r="G116" s="10">
        <v>58871</v>
      </c>
      <c r="H116" s="10">
        <v>53950</v>
      </c>
      <c r="I116" s="10">
        <v>54210</v>
      </c>
      <c r="J116" s="10">
        <v>54379</v>
      </c>
      <c r="K116" s="10">
        <v>67364</v>
      </c>
      <c r="L116" s="10">
        <v>59560</v>
      </c>
      <c r="M116" s="10">
        <v>49305</v>
      </c>
      <c r="N116" s="10">
        <v>52879</v>
      </c>
      <c r="O116" s="10">
        <v>47076</v>
      </c>
      <c r="P116" s="10">
        <v>52077</v>
      </c>
      <c r="Q116" s="6">
        <f t="shared" si="2"/>
        <v>633919</v>
      </c>
      <c r="R116" s="2">
        <f t="shared" si="3"/>
        <v>4.449296557974769E-3</v>
      </c>
    </row>
    <row r="117" spans="1:18">
      <c r="A117" s="1" t="s">
        <v>85</v>
      </c>
      <c r="B117" s="1" t="s">
        <v>97</v>
      </c>
      <c r="C117" s="1" t="s">
        <v>98</v>
      </c>
      <c r="D117" s="6">
        <v>435679</v>
      </c>
      <c r="E117" s="10">
        <v>39246</v>
      </c>
      <c r="F117" s="10">
        <v>48807</v>
      </c>
      <c r="G117" s="10">
        <v>59393</v>
      </c>
      <c r="H117" s="10">
        <v>44511</v>
      </c>
      <c r="I117" s="10">
        <v>33866</v>
      </c>
      <c r="J117" s="10">
        <v>39947</v>
      </c>
      <c r="K117" s="10">
        <v>46180</v>
      </c>
      <c r="L117" s="10">
        <v>30220</v>
      </c>
      <c r="M117" s="10">
        <v>11751</v>
      </c>
      <c r="N117" s="10">
        <v>18498</v>
      </c>
      <c r="O117" s="10">
        <v>26653</v>
      </c>
      <c r="P117" s="10">
        <v>39760</v>
      </c>
      <c r="Q117" s="6">
        <f t="shared" si="2"/>
        <v>438832</v>
      </c>
      <c r="R117" s="2">
        <f t="shared" si="3"/>
        <v>7.2369795193250042E-3</v>
      </c>
    </row>
    <row r="118" spans="1:18" ht="15.75">
      <c r="A118" s="1" t="s">
        <v>85</v>
      </c>
      <c r="B118" s="1" t="s">
        <v>367</v>
      </c>
      <c r="C118" s="1" t="s">
        <v>125</v>
      </c>
      <c r="D118" s="6">
        <v>1062893</v>
      </c>
      <c r="E118" s="10">
        <v>83611</v>
      </c>
      <c r="F118" s="10">
        <v>80354</v>
      </c>
      <c r="G118" s="10">
        <v>97600</v>
      </c>
      <c r="H118" s="10">
        <v>88901</v>
      </c>
      <c r="I118" s="10">
        <v>92131</v>
      </c>
      <c r="J118" s="10">
        <v>86037</v>
      </c>
      <c r="K118" s="10">
        <v>99622</v>
      </c>
      <c r="L118" s="10">
        <v>95256</v>
      </c>
      <c r="M118" s="10">
        <v>77581</v>
      </c>
      <c r="N118" s="10">
        <v>84277</v>
      </c>
      <c r="O118" s="10">
        <v>82183</v>
      </c>
      <c r="P118" s="10">
        <v>92351</v>
      </c>
      <c r="Q118" s="6">
        <f t="shared" si="2"/>
        <v>1059904</v>
      </c>
      <c r="R118" s="2">
        <f t="shared" si="3"/>
        <v>-2.8121363109927522E-3</v>
      </c>
    </row>
    <row r="119" spans="1:18" ht="15.75">
      <c r="A119" s="1" t="s">
        <v>85</v>
      </c>
      <c r="B119" s="1" t="s">
        <v>368</v>
      </c>
      <c r="C119" s="1" t="s">
        <v>136</v>
      </c>
      <c r="D119" s="6">
        <v>213394</v>
      </c>
      <c r="E119" s="10">
        <v>15551</v>
      </c>
      <c r="F119" s="10">
        <v>14532</v>
      </c>
      <c r="G119" s="10">
        <v>19344</v>
      </c>
      <c r="H119" s="10">
        <v>16912</v>
      </c>
      <c r="I119" s="10">
        <v>18565</v>
      </c>
      <c r="J119" s="10">
        <v>19157</v>
      </c>
      <c r="K119" s="10">
        <v>22303</v>
      </c>
      <c r="L119" s="10">
        <v>21563</v>
      </c>
      <c r="M119" s="10">
        <v>16097</v>
      </c>
      <c r="N119" s="10">
        <v>17723</v>
      </c>
      <c r="O119" s="10">
        <v>16545</v>
      </c>
      <c r="P119" s="10">
        <v>18938</v>
      </c>
      <c r="Q119" s="6">
        <f t="shared" si="2"/>
        <v>217230</v>
      </c>
      <c r="R119" s="2">
        <f t="shared" si="3"/>
        <v>1.7976138035746159E-2</v>
      </c>
    </row>
    <row r="120" spans="1:18">
      <c r="A120" s="1" t="s">
        <v>85</v>
      </c>
      <c r="B120" s="1" t="s">
        <v>105</v>
      </c>
      <c r="C120" s="1" t="s">
        <v>106</v>
      </c>
      <c r="D120" s="6">
        <v>6453100</v>
      </c>
      <c r="E120" s="10">
        <v>576700</v>
      </c>
      <c r="F120" s="10">
        <v>499800</v>
      </c>
      <c r="G120" s="10">
        <v>594300</v>
      </c>
      <c r="H120" s="10">
        <v>557600</v>
      </c>
      <c r="I120" s="10">
        <v>610100</v>
      </c>
      <c r="J120" s="10">
        <v>596600</v>
      </c>
      <c r="K120" s="10">
        <v>721700</v>
      </c>
      <c r="L120" s="10">
        <v>660800</v>
      </c>
      <c r="M120" s="10">
        <v>496500</v>
      </c>
      <c r="N120" s="10">
        <v>535900</v>
      </c>
      <c r="O120" s="10">
        <v>524700</v>
      </c>
      <c r="P120" s="10">
        <v>579200</v>
      </c>
      <c r="Q120" s="6">
        <f t="shared" si="2"/>
        <v>6953900</v>
      </c>
      <c r="R120" s="2">
        <f t="shared" si="3"/>
        <v>7.7606111791232113E-2</v>
      </c>
    </row>
    <row r="121" spans="1:18">
      <c r="A121" s="1" t="s">
        <v>85</v>
      </c>
      <c r="B121" s="1" t="s">
        <v>113</v>
      </c>
      <c r="C121" s="1" t="s">
        <v>114</v>
      </c>
      <c r="D121" s="6">
        <v>1174400</v>
      </c>
      <c r="E121" s="10">
        <v>89100</v>
      </c>
      <c r="F121" s="10">
        <v>82900</v>
      </c>
      <c r="G121" s="10">
        <v>102000</v>
      </c>
      <c r="H121" s="10">
        <v>94200</v>
      </c>
      <c r="I121" s="10">
        <v>97400</v>
      </c>
      <c r="J121" s="10">
        <v>95100</v>
      </c>
      <c r="K121" s="10">
        <v>103200</v>
      </c>
      <c r="L121" s="10">
        <v>96400</v>
      </c>
      <c r="M121" s="10">
        <v>88600</v>
      </c>
      <c r="N121" s="10">
        <v>100400</v>
      </c>
      <c r="O121" s="10">
        <v>91900</v>
      </c>
      <c r="P121" s="10">
        <v>97200</v>
      </c>
      <c r="Q121" s="6">
        <f t="shared" si="2"/>
        <v>1138400</v>
      </c>
      <c r="R121" s="2">
        <f t="shared" si="3"/>
        <v>-3.065395095367851E-2</v>
      </c>
    </row>
    <row r="122" spans="1:18">
      <c r="A122" s="1" t="s">
        <v>85</v>
      </c>
      <c r="B122" s="1" t="s">
        <v>99</v>
      </c>
      <c r="C122" s="1" t="s">
        <v>100</v>
      </c>
      <c r="D122" s="6">
        <v>388068</v>
      </c>
      <c r="E122" s="10">
        <v>43298</v>
      </c>
      <c r="F122" s="10">
        <v>36116</v>
      </c>
      <c r="G122" s="10">
        <v>38897</v>
      </c>
      <c r="H122" s="10">
        <v>34216</v>
      </c>
      <c r="I122" s="10">
        <v>31606</v>
      </c>
      <c r="J122" s="10">
        <v>29169</v>
      </c>
      <c r="K122" s="10">
        <v>37742</v>
      </c>
      <c r="L122" s="10">
        <v>31800</v>
      </c>
      <c r="M122" s="10">
        <v>17264</v>
      </c>
      <c r="N122" s="10">
        <v>20298</v>
      </c>
      <c r="O122" s="10">
        <v>28929</v>
      </c>
      <c r="P122" s="10">
        <v>36258</v>
      </c>
      <c r="Q122" s="6">
        <f t="shared" si="2"/>
        <v>385593</v>
      </c>
      <c r="R122" s="2">
        <f t="shared" si="3"/>
        <v>-6.3777482296917265E-3</v>
      </c>
    </row>
    <row r="123" spans="1:18">
      <c r="A123" s="1" t="s">
        <v>85</v>
      </c>
      <c r="B123" s="1" t="s">
        <v>381</v>
      </c>
      <c r="C123" s="1" t="s">
        <v>120</v>
      </c>
      <c r="D123" s="6">
        <v>512600</v>
      </c>
      <c r="E123" s="10">
        <v>46800</v>
      </c>
      <c r="F123" s="10">
        <v>38600</v>
      </c>
      <c r="G123" s="10">
        <v>49200</v>
      </c>
      <c r="H123" s="10">
        <v>48200</v>
      </c>
      <c r="I123" s="10">
        <v>49700</v>
      </c>
      <c r="J123" s="10">
        <v>44800</v>
      </c>
      <c r="K123" s="10">
        <v>57200</v>
      </c>
      <c r="L123" s="10">
        <v>50600</v>
      </c>
      <c r="M123" s="10">
        <v>39200</v>
      </c>
      <c r="N123" s="10">
        <v>44000</v>
      </c>
      <c r="O123" s="10">
        <v>43400</v>
      </c>
      <c r="P123" s="10">
        <v>47100</v>
      </c>
      <c r="Q123" s="6">
        <f t="shared" si="2"/>
        <v>558800</v>
      </c>
      <c r="R123" s="2">
        <f t="shared" si="3"/>
        <v>9.0128755364806912E-2</v>
      </c>
    </row>
    <row r="124" spans="1:18">
      <c r="A124" s="1" t="s">
        <v>85</v>
      </c>
      <c r="B124" s="1" t="s">
        <v>380</v>
      </c>
      <c r="C124" s="1" t="s">
        <v>115</v>
      </c>
      <c r="D124" s="6">
        <v>886100</v>
      </c>
      <c r="E124" s="10">
        <v>75900</v>
      </c>
      <c r="F124" s="10">
        <v>58200</v>
      </c>
      <c r="G124" s="10">
        <v>70900</v>
      </c>
      <c r="H124" s="10">
        <v>67200</v>
      </c>
      <c r="I124" s="10">
        <v>68300</v>
      </c>
      <c r="J124" s="10">
        <v>71100</v>
      </c>
      <c r="K124" s="10">
        <v>94400</v>
      </c>
      <c r="L124" s="10">
        <v>79400</v>
      </c>
      <c r="M124" s="10">
        <v>59900</v>
      </c>
      <c r="N124" s="10">
        <v>64500</v>
      </c>
      <c r="O124" s="10">
        <v>66300</v>
      </c>
      <c r="P124" s="10">
        <v>77600</v>
      </c>
      <c r="Q124" s="6">
        <f t="shared" si="2"/>
        <v>853700</v>
      </c>
      <c r="R124" s="2">
        <f t="shared" si="3"/>
        <v>-3.6564721814693613E-2</v>
      </c>
    </row>
    <row r="125" spans="1:18">
      <c r="A125" s="1" t="s">
        <v>85</v>
      </c>
      <c r="B125" s="1" t="s">
        <v>379</v>
      </c>
      <c r="C125" s="1" t="s">
        <v>123</v>
      </c>
      <c r="D125" s="6">
        <v>206000</v>
      </c>
      <c r="E125" s="10">
        <v>19500</v>
      </c>
      <c r="F125" s="10">
        <v>15100</v>
      </c>
      <c r="G125" s="10">
        <v>19500</v>
      </c>
      <c r="H125" s="10">
        <v>21000</v>
      </c>
      <c r="I125" s="10">
        <v>23300</v>
      </c>
      <c r="J125" s="10">
        <v>20200</v>
      </c>
      <c r="K125" s="10">
        <v>25300</v>
      </c>
      <c r="L125" s="10">
        <v>20900</v>
      </c>
      <c r="M125" s="10">
        <v>16500</v>
      </c>
      <c r="N125" s="10">
        <v>19700</v>
      </c>
      <c r="O125" s="10">
        <v>18300</v>
      </c>
      <c r="P125" s="10">
        <v>24100</v>
      </c>
      <c r="Q125" s="6">
        <f t="shared" si="2"/>
        <v>243400</v>
      </c>
      <c r="R125" s="2">
        <f t="shared" si="3"/>
        <v>0.18155339805825244</v>
      </c>
    </row>
    <row r="126" spans="1:18">
      <c r="A126" s="1" t="s">
        <v>85</v>
      </c>
      <c r="B126" s="1" t="s">
        <v>378</v>
      </c>
      <c r="C126" s="1" t="s">
        <v>122</v>
      </c>
      <c r="D126" s="6">
        <v>178100</v>
      </c>
      <c r="E126" s="10">
        <v>21100</v>
      </c>
      <c r="F126" s="10">
        <v>19600</v>
      </c>
      <c r="G126" s="10">
        <v>22000</v>
      </c>
      <c r="H126" s="10">
        <v>14800</v>
      </c>
      <c r="I126" s="10">
        <v>12500</v>
      </c>
      <c r="J126" s="10">
        <v>9600</v>
      </c>
      <c r="K126" s="10">
        <v>9400</v>
      </c>
      <c r="L126" s="10">
        <v>7600</v>
      </c>
      <c r="M126" s="10">
        <v>6000</v>
      </c>
      <c r="N126" s="10">
        <v>7800</v>
      </c>
      <c r="O126" s="10">
        <v>13100</v>
      </c>
      <c r="P126" s="10">
        <v>16200</v>
      </c>
      <c r="Q126" s="6">
        <f t="shared" si="2"/>
        <v>159700</v>
      </c>
      <c r="R126" s="2">
        <f t="shared" si="3"/>
        <v>-0.10331274564851212</v>
      </c>
    </row>
    <row r="127" spans="1:18" ht="15.75">
      <c r="A127" s="1" t="s">
        <v>85</v>
      </c>
      <c r="B127" s="1" t="s">
        <v>369</v>
      </c>
      <c r="C127" s="1" t="s">
        <v>128</v>
      </c>
      <c r="D127" s="6">
        <v>743556</v>
      </c>
      <c r="E127" s="10">
        <v>74366</v>
      </c>
      <c r="F127" s="10">
        <v>69756</v>
      </c>
      <c r="G127" s="10">
        <v>87159</v>
      </c>
      <c r="H127" s="10">
        <v>70675</v>
      </c>
      <c r="I127" s="10">
        <v>58359</v>
      </c>
      <c r="J127" s="10">
        <v>54773</v>
      </c>
      <c r="K127" s="10">
        <v>70642</v>
      </c>
      <c r="L127" s="10">
        <v>57124</v>
      </c>
      <c r="M127" s="10">
        <v>30536</v>
      </c>
      <c r="N127" s="10">
        <v>48144</v>
      </c>
      <c r="O127" s="10">
        <v>63984</v>
      </c>
      <c r="P127" s="10">
        <v>70604</v>
      </c>
      <c r="Q127" s="6">
        <f t="shared" si="2"/>
        <v>756122</v>
      </c>
      <c r="R127" s="2">
        <f t="shared" si="3"/>
        <v>1.6899870352737434E-2</v>
      </c>
    </row>
    <row r="128" spans="1:18">
      <c r="A128" s="1" t="s">
        <v>85</v>
      </c>
      <c r="B128" s="1" t="s">
        <v>488</v>
      </c>
      <c r="C128" s="1" t="s">
        <v>90</v>
      </c>
      <c r="D128" s="6">
        <v>1058510</v>
      </c>
      <c r="E128" s="10">
        <v>91215</v>
      </c>
      <c r="F128" s="10">
        <v>82630</v>
      </c>
      <c r="G128" s="10">
        <v>102712</v>
      </c>
      <c r="H128" s="10">
        <v>93309</v>
      </c>
      <c r="I128" s="10">
        <v>96635</v>
      </c>
      <c r="J128" s="10">
        <v>91216</v>
      </c>
      <c r="K128" s="10">
        <v>110868</v>
      </c>
      <c r="L128" s="10">
        <v>102230</v>
      </c>
      <c r="M128" s="10">
        <v>75205</v>
      </c>
      <c r="N128" s="10">
        <v>88727</v>
      </c>
      <c r="O128" s="10">
        <v>97671</v>
      </c>
      <c r="P128" s="10">
        <v>103239</v>
      </c>
      <c r="Q128" s="6">
        <f t="shared" si="2"/>
        <v>1135657</v>
      </c>
      <c r="R128" s="2">
        <f t="shared" si="3"/>
        <v>7.2882636914152865E-2</v>
      </c>
    </row>
    <row r="129" spans="1:18">
      <c r="A129" s="1" t="s">
        <v>85</v>
      </c>
      <c r="B129" s="1" t="s">
        <v>116</v>
      </c>
      <c r="C129" s="1" t="s">
        <v>117</v>
      </c>
      <c r="D129" s="6">
        <v>470900</v>
      </c>
      <c r="E129" s="10">
        <v>36900</v>
      </c>
      <c r="F129" s="10">
        <v>30600</v>
      </c>
      <c r="G129" s="10">
        <v>38700</v>
      </c>
      <c r="H129" s="10">
        <v>37500</v>
      </c>
      <c r="I129" s="10">
        <v>38400</v>
      </c>
      <c r="J129" s="10">
        <v>38100</v>
      </c>
      <c r="K129" s="10">
        <v>51500</v>
      </c>
      <c r="L129" s="10">
        <v>41200</v>
      </c>
      <c r="M129" s="10">
        <v>30900</v>
      </c>
      <c r="N129" s="10">
        <v>36600</v>
      </c>
      <c r="O129" s="10">
        <v>37700</v>
      </c>
      <c r="P129" s="10">
        <v>43300</v>
      </c>
      <c r="Q129" s="6">
        <f t="shared" si="2"/>
        <v>461400</v>
      </c>
      <c r="R129" s="2">
        <f t="shared" si="3"/>
        <v>-2.0174134635803753E-2</v>
      </c>
    </row>
    <row r="130" spans="1:18">
      <c r="A130" s="1" t="s">
        <v>85</v>
      </c>
      <c r="B130" s="1" t="s">
        <v>86</v>
      </c>
      <c r="C130" s="1" t="s">
        <v>87</v>
      </c>
      <c r="D130" s="6">
        <v>24243056</v>
      </c>
      <c r="E130" s="10">
        <v>1917664</v>
      </c>
      <c r="F130" s="10">
        <v>1698671</v>
      </c>
      <c r="G130" s="10">
        <v>2075485</v>
      </c>
      <c r="H130" s="10">
        <v>1956764</v>
      </c>
      <c r="I130" s="10">
        <v>2065553</v>
      </c>
      <c r="J130" s="10">
        <v>2067454</v>
      </c>
      <c r="K130" s="10">
        <v>2477338</v>
      </c>
      <c r="L130" s="10">
        <v>2267455</v>
      </c>
      <c r="M130" s="10">
        <v>1653922</v>
      </c>
      <c r="N130" s="10">
        <v>1936059</v>
      </c>
      <c r="O130" s="10">
        <v>1936696</v>
      </c>
      <c r="P130" s="10">
        <v>2077474</v>
      </c>
      <c r="Q130" s="6">
        <f t="shared" si="2"/>
        <v>24130535</v>
      </c>
      <c r="R130" s="2">
        <f t="shared" si="3"/>
        <v>-4.6413702958900682E-3</v>
      </c>
    </row>
    <row r="131" spans="1:18">
      <c r="A131" s="1" t="s">
        <v>85</v>
      </c>
      <c r="B131" s="1" t="s">
        <v>103</v>
      </c>
      <c r="C131" s="1" t="s">
        <v>104</v>
      </c>
      <c r="D131" s="6">
        <v>145956</v>
      </c>
      <c r="E131" s="10">
        <v>10155</v>
      </c>
      <c r="F131" s="10">
        <v>10319</v>
      </c>
      <c r="G131" s="10">
        <v>11881</v>
      </c>
      <c r="H131" s="10">
        <v>11038</v>
      </c>
      <c r="I131" s="10">
        <v>12299</v>
      </c>
      <c r="J131" s="10">
        <v>12246</v>
      </c>
      <c r="K131" s="10">
        <v>12523</v>
      </c>
      <c r="L131" s="10">
        <v>8406</v>
      </c>
      <c r="M131" s="10">
        <v>6839</v>
      </c>
      <c r="N131" s="10">
        <v>8793</v>
      </c>
      <c r="O131" s="10">
        <v>8727</v>
      </c>
      <c r="P131" s="10">
        <v>7749</v>
      </c>
      <c r="Q131" s="6">
        <f t="shared" si="2"/>
        <v>120975</v>
      </c>
      <c r="R131" s="2">
        <f t="shared" si="3"/>
        <v>-0.17115432048014467</v>
      </c>
    </row>
    <row r="132" spans="1:18" ht="15.75">
      <c r="A132" s="1" t="s">
        <v>85</v>
      </c>
      <c r="B132" s="1" t="s">
        <v>370</v>
      </c>
      <c r="C132" s="1" t="s">
        <v>124</v>
      </c>
      <c r="D132" s="6">
        <v>5199895</v>
      </c>
      <c r="E132" s="10">
        <v>368117</v>
      </c>
      <c r="F132" s="10">
        <v>353904</v>
      </c>
      <c r="G132" s="10">
        <v>446239</v>
      </c>
      <c r="H132" s="10">
        <v>426703</v>
      </c>
      <c r="I132" s="10">
        <v>456778</v>
      </c>
      <c r="J132" s="10">
        <v>460912</v>
      </c>
      <c r="K132" s="10">
        <v>561765</v>
      </c>
      <c r="L132" s="10">
        <v>527510</v>
      </c>
      <c r="M132" s="10">
        <v>426505</v>
      </c>
      <c r="N132" s="10">
        <v>458618</v>
      </c>
      <c r="O132" s="10">
        <v>438894</v>
      </c>
      <c r="P132" s="10">
        <v>454467</v>
      </c>
      <c r="Q132" s="6">
        <f t="shared" ref="Q132:Q196" si="4">SUM(E132:P132)</f>
        <v>5380412</v>
      </c>
      <c r="R132" s="2">
        <f t="shared" ref="R132:R195" si="5">Q132/D132-1</f>
        <v>3.4715508678540674E-2</v>
      </c>
    </row>
    <row r="133" spans="1:18">
      <c r="A133" s="1" t="s">
        <v>85</v>
      </c>
      <c r="B133" s="1" t="s">
        <v>118</v>
      </c>
      <c r="C133" s="1" t="s">
        <v>119</v>
      </c>
      <c r="D133" s="6">
        <v>447600</v>
      </c>
      <c r="E133" s="10">
        <v>42500</v>
      </c>
      <c r="F133" s="10">
        <v>33200</v>
      </c>
      <c r="G133" s="10">
        <v>35400</v>
      </c>
      <c r="H133" s="10">
        <v>33900</v>
      </c>
      <c r="I133" s="10">
        <v>36600</v>
      </c>
      <c r="J133" s="10">
        <v>38400</v>
      </c>
      <c r="K133" s="10">
        <v>47700</v>
      </c>
      <c r="L133" s="10">
        <v>41200</v>
      </c>
      <c r="M133" s="10">
        <v>26600</v>
      </c>
      <c r="N133" s="10">
        <v>30800</v>
      </c>
      <c r="O133" s="10">
        <v>29000</v>
      </c>
      <c r="P133" s="10">
        <v>34600</v>
      </c>
      <c r="Q133" s="6">
        <f t="shared" si="4"/>
        <v>429900</v>
      </c>
      <c r="R133" s="2">
        <f t="shared" si="5"/>
        <v>-3.9544235924932947E-2</v>
      </c>
    </row>
    <row r="134" spans="1:18">
      <c r="A134" s="1" t="s">
        <v>85</v>
      </c>
      <c r="B134" s="1" t="s">
        <v>95</v>
      </c>
      <c r="C134" s="1" t="s">
        <v>96</v>
      </c>
      <c r="D134" s="6">
        <v>523104</v>
      </c>
      <c r="E134" s="10">
        <v>40174</v>
      </c>
      <c r="F134" s="10">
        <v>37143</v>
      </c>
      <c r="G134" s="10">
        <v>43311</v>
      </c>
      <c r="H134" s="10">
        <v>36879</v>
      </c>
      <c r="I134" s="10">
        <v>38262</v>
      </c>
      <c r="J134" s="10">
        <v>36935</v>
      </c>
      <c r="K134" s="10">
        <v>44802</v>
      </c>
      <c r="L134" s="10">
        <v>40709</v>
      </c>
      <c r="M134" s="10">
        <v>22934</v>
      </c>
      <c r="N134" s="10">
        <v>34537</v>
      </c>
      <c r="O134" s="10">
        <v>35766</v>
      </c>
      <c r="P134" s="10">
        <v>35224</v>
      </c>
      <c r="Q134" s="6">
        <f t="shared" si="4"/>
        <v>446676</v>
      </c>
      <c r="R134" s="2">
        <f t="shared" si="5"/>
        <v>-0.14610478986970088</v>
      </c>
    </row>
    <row r="135" spans="1:18">
      <c r="A135" s="1" t="s">
        <v>85</v>
      </c>
      <c r="B135" s="1" t="s">
        <v>109</v>
      </c>
      <c r="C135" s="1" t="s">
        <v>110</v>
      </c>
      <c r="D135" s="6">
        <v>2645300</v>
      </c>
      <c r="E135" s="10">
        <v>308600</v>
      </c>
      <c r="F135" s="10">
        <v>294900</v>
      </c>
      <c r="G135" s="10">
        <v>335800</v>
      </c>
      <c r="H135" s="10">
        <v>253200</v>
      </c>
      <c r="I135" s="10">
        <v>193100</v>
      </c>
      <c r="J135" s="10">
        <v>190000</v>
      </c>
      <c r="K135" s="10">
        <v>222500</v>
      </c>
      <c r="L135" s="10">
        <v>179200</v>
      </c>
      <c r="M135" s="10">
        <v>117100</v>
      </c>
      <c r="N135" s="10">
        <v>160100</v>
      </c>
      <c r="O135" s="10">
        <v>215600</v>
      </c>
      <c r="P135" s="10">
        <v>265300</v>
      </c>
      <c r="Q135" s="6">
        <f t="shared" si="4"/>
        <v>2735400</v>
      </c>
      <c r="R135" s="2">
        <f t="shared" si="5"/>
        <v>3.406040902733154E-2</v>
      </c>
    </row>
    <row r="136" spans="1:18" ht="15.75">
      <c r="A136" s="1" t="s">
        <v>85</v>
      </c>
      <c r="B136" s="1" t="s">
        <v>371</v>
      </c>
      <c r="C136" s="1" t="s">
        <v>135</v>
      </c>
      <c r="D136" s="6">
        <v>215392</v>
      </c>
      <c r="E136" s="10">
        <v>16899</v>
      </c>
      <c r="F136" s="10">
        <v>13756</v>
      </c>
      <c r="G136" s="10">
        <v>17623</v>
      </c>
      <c r="H136" s="10">
        <v>17345</v>
      </c>
      <c r="I136" s="10">
        <v>18902</v>
      </c>
      <c r="J136" s="10">
        <v>18366</v>
      </c>
      <c r="K136" s="10">
        <v>21294</v>
      </c>
      <c r="L136" s="10">
        <v>18499</v>
      </c>
      <c r="M136" s="10">
        <v>12529</v>
      </c>
      <c r="N136" s="10">
        <v>13814</v>
      </c>
      <c r="O136" s="10">
        <v>14247</v>
      </c>
      <c r="P136" s="10">
        <v>14864</v>
      </c>
      <c r="Q136" s="6">
        <f t="shared" si="4"/>
        <v>198138</v>
      </c>
      <c r="R136" s="2">
        <f t="shared" si="5"/>
        <v>-8.01051106819195E-2</v>
      </c>
    </row>
    <row r="137" spans="1:18">
      <c r="A137" s="1" t="s">
        <v>85</v>
      </c>
      <c r="B137" s="1" t="s">
        <v>111</v>
      </c>
      <c r="C137" s="1" t="s">
        <v>112</v>
      </c>
      <c r="D137" s="6">
        <v>2620400</v>
      </c>
      <c r="E137" s="10">
        <v>240900</v>
      </c>
      <c r="F137" s="10">
        <v>233900</v>
      </c>
      <c r="G137" s="10">
        <v>293300</v>
      </c>
      <c r="H137" s="10">
        <v>258000</v>
      </c>
      <c r="I137" s="10">
        <v>223600</v>
      </c>
      <c r="J137" s="10">
        <v>219500</v>
      </c>
      <c r="K137" s="10">
        <v>267300</v>
      </c>
      <c r="L137" s="10">
        <v>228400</v>
      </c>
      <c r="M137" s="10">
        <v>142600</v>
      </c>
      <c r="N137" s="10">
        <v>194700</v>
      </c>
      <c r="O137" s="10">
        <v>214100</v>
      </c>
      <c r="P137" s="10">
        <v>229300</v>
      </c>
      <c r="Q137" s="6">
        <f t="shared" si="4"/>
        <v>2745600</v>
      </c>
      <c r="R137" s="2">
        <f t="shared" si="5"/>
        <v>4.7778965043504762E-2</v>
      </c>
    </row>
    <row r="138" spans="1:18" ht="15.75">
      <c r="A138" s="1" t="s">
        <v>85</v>
      </c>
      <c r="B138" s="1" t="s">
        <v>372</v>
      </c>
      <c r="C138" s="1" t="s">
        <v>134</v>
      </c>
      <c r="D138" s="6">
        <v>206500</v>
      </c>
      <c r="E138" s="10">
        <v>15271</v>
      </c>
      <c r="F138" s="10">
        <v>14401</v>
      </c>
      <c r="G138" s="10">
        <v>18022</v>
      </c>
      <c r="H138" s="10">
        <v>17683</v>
      </c>
      <c r="I138" s="10">
        <v>18527</v>
      </c>
      <c r="J138" s="10">
        <v>18711</v>
      </c>
      <c r="K138" s="10">
        <v>21935</v>
      </c>
      <c r="L138" s="10">
        <v>23304</v>
      </c>
      <c r="M138" s="10">
        <v>17691</v>
      </c>
      <c r="N138" s="10">
        <v>19677</v>
      </c>
      <c r="O138" s="10">
        <v>19350</v>
      </c>
      <c r="P138" s="10">
        <v>18282</v>
      </c>
      <c r="Q138" s="6">
        <f t="shared" si="4"/>
        <v>222854</v>
      </c>
      <c r="R138" s="2">
        <f t="shared" si="5"/>
        <v>7.91961259079903E-2</v>
      </c>
    </row>
    <row r="139" spans="1:18" ht="15.75">
      <c r="A139" s="1" t="s">
        <v>85</v>
      </c>
      <c r="B139" s="1" t="s">
        <v>373</v>
      </c>
      <c r="C139" s="1" t="s">
        <v>131</v>
      </c>
      <c r="D139" s="6">
        <v>470304</v>
      </c>
      <c r="E139" s="10">
        <v>30767</v>
      </c>
      <c r="F139" s="10">
        <v>30827</v>
      </c>
      <c r="G139" s="10">
        <v>38029</v>
      </c>
      <c r="H139" s="10">
        <v>34982</v>
      </c>
      <c r="I139" s="10">
        <v>39378</v>
      </c>
      <c r="J139" s="10">
        <v>41793</v>
      </c>
      <c r="K139" s="10">
        <v>46591</v>
      </c>
      <c r="L139" s="10">
        <v>42694</v>
      </c>
      <c r="M139" s="10">
        <v>33351</v>
      </c>
      <c r="N139" s="10">
        <v>37200</v>
      </c>
      <c r="O139" s="10">
        <v>19350</v>
      </c>
      <c r="P139" s="10">
        <v>38846</v>
      </c>
      <c r="Q139" s="6">
        <f t="shared" si="4"/>
        <v>433808</v>
      </c>
      <c r="R139" s="2">
        <f t="shared" si="5"/>
        <v>-7.7600870926039289E-2</v>
      </c>
    </row>
    <row r="140" spans="1:18">
      <c r="A140" s="1" t="s">
        <v>85</v>
      </c>
      <c r="B140" s="1" t="s">
        <v>101</v>
      </c>
      <c r="C140" s="1" t="s">
        <v>102</v>
      </c>
      <c r="D140" s="6">
        <v>190378</v>
      </c>
      <c r="E140" s="10">
        <v>16303</v>
      </c>
      <c r="F140" s="10">
        <v>13928</v>
      </c>
      <c r="G140" s="10">
        <v>16606</v>
      </c>
      <c r="H140" s="10">
        <v>15526</v>
      </c>
      <c r="I140" s="10">
        <v>15695</v>
      </c>
      <c r="J140" s="10">
        <v>14839</v>
      </c>
      <c r="K140" s="10">
        <v>18445</v>
      </c>
      <c r="L140" s="10">
        <v>18733</v>
      </c>
      <c r="M140" s="10">
        <v>15191</v>
      </c>
      <c r="N140" s="10">
        <v>13639</v>
      </c>
      <c r="O140" s="10">
        <v>12857</v>
      </c>
      <c r="P140" s="10">
        <v>13397</v>
      </c>
      <c r="Q140" s="6">
        <f t="shared" si="4"/>
        <v>185159</v>
      </c>
      <c r="R140" s="2">
        <f t="shared" si="5"/>
        <v>-2.7413881856096833E-2</v>
      </c>
    </row>
    <row r="141" spans="1:18">
      <c r="A141" s="1" t="s">
        <v>85</v>
      </c>
      <c r="B141" s="1" t="s">
        <v>107</v>
      </c>
      <c r="C141" s="1" t="s">
        <v>108</v>
      </c>
      <c r="D141" s="6">
        <v>3407400</v>
      </c>
      <c r="E141" s="10">
        <v>296300</v>
      </c>
      <c r="F141" s="10">
        <v>232300</v>
      </c>
      <c r="G141" s="10">
        <v>297300</v>
      </c>
      <c r="H141" s="10">
        <v>282200</v>
      </c>
      <c r="I141" s="10">
        <v>302300</v>
      </c>
      <c r="J141" s="10">
        <v>300900</v>
      </c>
      <c r="K141" s="10">
        <v>374400</v>
      </c>
      <c r="L141" s="10">
        <v>361800</v>
      </c>
      <c r="M141" s="10">
        <v>283300</v>
      </c>
      <c r="N141" s="10">
        <v>292800</v>
      </c>
      <c r="O141" s="10">
        <v>285800</v>
      </c>
      <c r="P141" s="10">
        <v>340100</v>
      </c>
      <c r="Q141" s="6">
        <f t="shared" si="4"/>
        <v>3649500</v>
      </c>
      <c r="R141" s="2">
        <f t="shared" si="5"/>
        <v>7.1051241415742261E-2</v>
      </c>
    </row>
    <row r="142" spans="1:18" ht="15.75">
      <c r="A142" s="1" t="s">
        <v>85</v>
      </c>
      <c r="B142" s="1" t="s">
        <v>374</v>
      </c>
      <c r="C142" s="1" t="s">
        <v>132</v>
      </c>
      <c r="D142" s="6">
        <v>394377</v>
      </c>
      <c r="E142" s="10">
        <v>27672</v>
      </c>
      <c r="F142" s="10">
        <v>25572</v>
      </c>
      <c r="G142" s="10">
        <v>29723</v>
      </c>
      <c r="H142" s="10">
        <v>27013</v>
      </c>
      <c r="I142" s="10">
        <v>29258</v>
      </c>
      <c r="J142" s="10">
        <v>27321</v>
      </c>
      <c r="K142" s="10">
        <v>32547</v>
      </c>
      <c r="L142" s="10">
        <v>31605</v>
      </c>
      <c r="M142" s="10">
        <v>24851</v>
      </c>
      <c r="N142" s="10">
        <v>28683</v>
      </c>
      <c r="O142" s="10">
        <v>27173</v>
      </c>
      <c r="P142" s="10">
        <v>26585</v>
      </c>
      <c r="Q142" s="6">
        <f t="shared" si="4"/>
        <v>338003</v>
      </c>
      <c r="R142" s="2">
        <f t="shared" si="5"/>
        <v>-0.14294444148619212</v>
      </c>
    </row>
    <row r="143" spans="1:18">
      <c r="A143" s="1" t="s">
        <v>85</v>
      </c>
      <c r="B143" s="1" t="s">
        <v>91</v>
      </c>
      <c r="C143" s="1" t="s">
        <v>92</v>
      </c>
      <c r="D143" s="6">
        <v>852608</v>
      </c>
      <c r="E143" s="10">
        <v>60889</v>
      </c>
      <c r="F143" s="10">
        <v>63590</v>
      </c>
      <c r="G143" s="10">
        <v>75425</v>
      </c>
      <c r="H143" s="10">
        <v>71597</v>
      </c>
      <c r="I143" s="10">
        <v>82101</v>
      </c>
      <c r="J143" s="10">
        <v>76038</v>
      </c>
      <c r="K143" s="10">
        <v>83414</v>
      </c>
      <c r="L143" s="10">
        <v>75643</v>
      </c>
      <c r="M143" s="10">
        <v>54018</v>
      </c>
      <c r="N143" s="10">
        <v>63363</v>
      </c>
      <c r="O143" s="10">
        <v>61749</v>
      </c>
      <c r="P143" s="10">
        <v>66372</v>
      </c>
      <c r="Q143" s="6">
        <f t="shared" si="4"/>
        <v>834199</v>
      </c>
      <c r="R143" s="2">
        <f t="shared" si="5"/>
        <v>-2.1591399564629965E-2</v>
      </c>
    </row>
    <row r="144" spans="1:18">
      <c r="A144" s="1" t="s">
        <v>85</v>
      </c>
      <c r="B144" s="1" t="s">
        <v>93</v>
      </c>
      <c r="C144" s="1" t="s">
        <v>94</v>
      </c>
      <c r="D144" s="6">
        <v>766417</v>
      </c>
      <c r="E144" s="10">
        <v>57383</v>
      </c>
      <c r="F144" s="10">
        <v>54925</v>
      </c>
      <c r="G144" s="10">
        <v>64312</v>
      </c>
      <c r="H144" s="10">
        <v>59663</v>
      </c>
      <c r="I144" s="10">
        <v>62453</v>
      </c>
      <c r="J144" s="10">
        <v>58272</v>
      </c>
      <c r="K144" s="10">
        <v>63050</v>
      </c>
      <c r="L144" s="10">
        <v>59466</v>
      </c>
      <c r="M144" s="10">
        <v>47339</v>
      </c>
      <c r="N144" s="10">
        <v>67961</v>
      </c>
      <c r="O144" s="10">
        <v>64548</v>
      </c>
      <c r="P144" s="10">
        <v>69409</v>
      </c>
      <c r="Q144" s="6">
        <f t="shared" si="4"/>
        <v>728781</v>
      </c>
      <c r="R144" s="2">
        <f t="shared" si="5"/>
        <v>-4.9106426397118041E-2</v>
      </c>
    </row>
    <row r="145" spans="1:18" ht="15.75">
      <c r="A145" s="1" t="s">
        <v>85</v>
      </c>
      <c r="B145" s="1" t="s">
        <v>375</v>
      </c>
      <c r="C145" s="1" t="s">
        <v>133</v>
      </c>
      <c r="D145" s="6">
        <v>251602</v>
      </c>
      <c r="E145" s="10">
        <v>22008</v>
      </c>
      <c r="F145" s="10">
        <v>16387</v>
      </c>
      <c r="G145" s="10">
        <v>24259</v>
      </c>
      <c r="H145" s="10">
        <v>23332</v>
      </c>
      <c r="I145" s="10">
        <v>25479</v>
      </c>
      <c r="J145" s="10">
        <v>28900</v>
      </c>
      <c r="K145" s="10">
        <v>31653</v>
      </c>
      <c r="L145" s="10">
        <v>23810</v>
      </c>
      <c r="M145" s="10">
        <v>18131</v>
      </c>
      <c r="N145" s="10">
        <v>18811</v>
      </c>
      <c r="O145" s="10">
        <v>18019</v>
      </c>
      <c r="P145" s="10">
        <v>17788</v>
      </c>
      <c r="Q145" s="6">
        <f t="shared" si="4"/>
        <v>268577</v>
      </c>
      <c r="R145" s="2">
        <f t="shared" si="5"/>
        <v>6.7467667188655156E-2</v>
      </c>
    </row>
    <row r="146" spans="1:18" ht="15.75">
      <c r="A146" s="1" t="s">
        <v>85</v>
      </c>
      <c r="B146" s="1" t="s">
        <v>376</v>
      </c>
      <c r="C146" s="1" t="s">
        <v>130</v>
      </c>
      <c r="D146" s="6">
        <v>545051</v>
      </c>
      <c r="E146" s="10">
        <v>60707</v>
      </c>
      <c r="F146" s="10">
        <v>54661</v>
      </c>
      <c r="G146" s="10">
        <v>55947</v>
      </c>
      <c r="H146" s="10">
        <v>41722</v>
      </c>
      <c r="I146" s="10">
        <v>33329</v>
      </c>
      <c r="J146" s="10">
        <v>32683</v>
      </c>
      <c r="K146" s="10">
        <v>43489</v>
      </c>
      <c r="L146" s="10">
        <v>36775</v>
      </c>
      <c r="M146" s="10">
        <v>21480</v>
      </c>
      <c r="N146" s="10">
        <v>28604</v>
      </c>
      <c r="O146" s="10">
        <v>37672</v>
      </c>
      <c r="P146" s="10">
        <v>49454</v>
      </c>
      <c r="Q146" s="6">
        <f t="shared" si="4"/>
        <v>496523</v>
      </c>
      <c r="R146" s="2">
        <f t="shared" si="5"/>
        <v>-8.9033870224988099E-2</v>
      </c>
    </row>
    <row r="147" spans="1:18">
      <c r="A147" s="1" t="s">
        <v>512</v>
      </c>
      <c r="B147" s="1" t="s">
        <v>513</v>
      </c>
      <c r="C147" s="1" t="s">
        <v>514</v>
      </c>
      <c r="D147" s="6">
        <v>4748621</v>
      </c>
      <c r="E147" s="10">
        <v>423539</v>
      </c>
      <c r="F147" s="10">
        <v>395727</v>
      </c>
      <c r="G147" s="10">
        <v>435151</v>
      </c>
      <c r="H147" s="10">
        <v>382444</v>
      </c>
      <c r="I147" s="10">
        <v>388152</v>
      </c>
      <c r="J147" s="10">
        <v>388560</v>
      </c>
      <c r="K147" s="10">
        <v>473107</v>
      </c>
      <c r="L147" s="10">
        <v>438974</v>
      </c>
      <c r="M147" s="10">
        <v>360705</v>
      </c>
      <c r="N147" s="10">
        <v>425990</v>
      </c>
      <c r="O147" s="10">
        <v>444269</v>
      </c>
      <c r="P147" s="10">
        <v>485792</v>
      </c>
      <c r="Q147" s="6">
        <f t="shared" si="4"/>
        <v>5042410</v>
      </c>
      <c r="R147" s="2">
        <f t="shared" si="5"/>
        <v>6.1868277127191229E-2</v>
      </c>
    </row>
    <row r="148" spans="1:18">
      <c r="A148" s="1" t="s">
        <v>414</v>
      </c>
      <c r="B148" s="1" t="s">
        <v>415</v>
      </c>
      <c r="C148" s="1" t="s">
        <v>416</v>
      </c>
      <c r="D148" s="6">
        <v>595145</v>
      </c>
      <c r="E148" s="10">
        <v>68472</v>
      </c>
      <c r="F148" s="10">
        <v>55340</v>
      </c>
      <c r="G148" s="10">
        <v>57690</v>
      </c>
      <c r="H148" s="10">
        <v>53164</v>
      </c>
      <c r="I148" s="10">
        <v>54698</v>
      </c>
      <c r="J148" s="10">
        <v>53005</v>
      </c>
      <c r="K148" s="10">
        <v>71064</v>
      </c>
      <c r="L148" s="10">
        <v>67277</v>
      </c>
      <c r="M148" s="10">
        <v>60419</v>
      </c>
      <c r="N148" s="10">
        <v>61301</v>
      </c>
      <c r="O148" s="10">
        <v>62145</v>
      </c>
      <c r="P148" s="10">
        <v>69235</v>
      </c>
      <c r="Q148" s="6">
        <f t="shared" si="4"/>
        <v>733810</v>
      </c>
      <c r="R148" s="2">
        <f t="shared" si="5"/>
        <v>0.23299364020532809</v>
      </c>
    </row>
    <row r="149" spans="1:18">
      <c r="A149" s="1" t="s">
        <v>414</v>
      </c>
      <c r="B149" s="1" t="s">
        <v>508</v>
      </c>
      <c r="C149" s="1" t="s">
        <v>509</v>
      </c>
      <c r="D149" s="6">
        <v>34671</v>
      </c>
      <c r="E149" s="10">
        <v>2701</v>
      </c>
      <c r="F149" s="10">
        <v>3106</v>
      </c>
      <c r="G149" s="10">
        <v>3682</v>
      </c>
      <c r="H149" s="10">
        <v>3297</v>
      </c>
      <c r="I149" s="10">
        <v>4081</v>
      </c>
      <c r="J149" s="10">
        <v>3574</v>
      </c>
      <c r="K149" s="10">
        <v>3011</v>
      </c>
      <c r="L149" s="10">
        <v>4063</v>
      </c>
      <c r="M149" s="10">
        <v>3911</v>
      </c>
      <c r="N149" s="10">
        <v>4468</v>
      </c>
      <c r="O149" s="10">
        <v>5043</v>
      </c>
      <c r="P149" s="10">
        <v>4449</v>
      </c>
      <c r="Q149" s="6">
        <f t="shared" si="4"/>
        <v>45386</v>
      </c>
      <c r="R149" s="2">
        <f t="shared" si="5"/>
        <v>0.30904790747310429</v>
      </c>
    </row>
    <row r="150" spans="1:18">
      <c r="A150" s="1" t="s">
        <v>253</v>
      </c>
      <c r="B150" s="7" t="s">
        <v>304</v>
      </c>
      <c r="C150" s="7" t="s">
        <v>305</v>
      </c>
      <c r="D150" s="6">
        <v>593396</v>
      </c>
      <c r="E150" s="10">
        <v>63421</v>
      </c>
      <c r="F150" s="10">
        <v>58669</v>
      </c>
      <c r="G150" s="10">
        <v>57848</v>
      </c>
      <c r="H150" s="10">
        <v>69909</v>
      </c>
      <c r="I150" s="10">
        <v>78909</v>
      </c>
      <c r="J150" s="10">
        <v>76960</v>
      </c>
      <c r="K150" s="10">
        <v>86769</v>
      </c>
      <c r="L150" s="10">
        <v>91063</v>
      </c>
      <c r="M150" s="10">
        <v>80893</v>
      </c>
      <c r="N150" s="10">
        <v>94544</v>
      </c>
      <c r="O150" s="10">
        <v>86282</v>
      </c>
      <c r="P150" s="10">
        <v>87126</v>
      </c>
      <c r="Q150" s="6">
        <f t="shared" si="4"/>
        <v>932393</v>
      </c>
      <c r="R150" s="2">
        <f t="shared" si="5"/>
        <v>0.57128292068028763</v>
      </c>
    </row>
    <row r="151" spans="1:18">
      <c r="A151" s="1" t="s">
        <v>253</v>
      </c>
      <c r="B151" s="7" t="s">
        <v>324</v>
      </c>
      <c r="C151" s="7" t="s">
        <v>325</v>
      </c>
      <c r="D151" s="6">
        <v>126686</v>
      </c>
      <c r="E151" s="10">
        <v>12848</v>
      </c>
      <c r="F151" s="10">
        <v>14744</v>
      </c>
      <c r="G151" s="10">
        <v>12968</v>
      </c>
      <c r="H151" s="10">
        <v>13562</v>
      </c>
      <c r="I151" s="10">
        <v>15255</v>
      </c>
      <c r="J151" s="10">
        <v>13968</v>
      </c>
      <c r="K151" s="10">
        <v>14888</v>
      </c>
      <c r="L151" s="10">
        <v>15965</v>
      </c>
      <c r="M151" s="10">
        <v>15007</v>
      </c>
      <c r="N151" s="10">
        <v>16906</v>
      </c>
      <c r="O151" s="10">
        <v>15650</v>
      </c>
      <c r="P151" s="10">
        <v>14453</v>
      </c>
      <c r="Q151" s="6">
        <f t="shared" si="4"/>
        <v>176214</v>
      </c>
      <c r="R151" s="2">
        <f t="shared" si="5"/>
        <v>0.39095085486951997</v>
      </c>
    </row>
    <row r="152" spans="1:18">
      <c r="A152" s="1" t="s">
        <v>253</v>
      </c>
      <c r="B152" s="7" t="s">
        <v>320</v>
      </c>
      <c r="C152" s="7" t="s">
        <v>321</v>
      </c>
      <c r="D152" s="6">
        <v>199988</v>
      </c>
      <c r="E152" s="10">
        <v>22031</v>
      </c>
      <c r="F152" s="10">
        <v>23462</v>
      </c>
      <c r="G152" s="10">
        <v>22539</v>
      </c>
      <c r="H152" s="10">
        <v>20710</v>
      </c>
      <c r="I152" s="10">
        <v>22968</v>
      </c>
      <c r="J152" s="10">
        <v>22684</v>
      </c>
      <c r="K152" s="10">
        <v>21912</v>
      </c>
      <c r="L152" s="10">
        <v>23931</v>
      </c>
      <c r="M152" s="10">
        <v>22432</v>
      </c>
      <c r="N152" s="10">
        <v>24097</v>
      </c>
      <c r="O152" s="10">
        <v>23672</v>
      </c>
      <c r="P152" s="10">
        <v>24032</v>
      </c>
      <c r="Q152" s="6">
        <f t="shared" si="4"/>
        <v>274470</v>
      </c>
      <c r="R152" s="2">
        <f t="shared" si="5"/>
        <v>0.37243234594075636</v>
      </c>
    </row>
    <row r="153" spans="1:18">
      <c r="A153" s="1" t="s">
        <v>253</v>
      </c>
      <c r="B153" s="7" t="s">
        <v>302</v>
      </c>
      <c r="C153" s="1" t="s">
        <v>303</v>
      </c>
      <c r="D153" s="6">
        <v>1288200</v>
      </c>
      <c r="E153" s="10">
        <v>104625</v>
      </c>
      <c r="F153" s="10">
        <v>74823</v>
      </c>
      <c r="G153" s="10">
        <v>94749</v>
      </c>
      <c r="H153" s="10">
        <v>106228</v>
      </c>
      <c r="I153" s="10">
        <v>131767</v>
      </c>
      <c r="J153" s="10">
        <v>120155</v>
      </c>
      <c r="K153" s="10">
        <v>140223</v>
      </c>
      <c r="L153" s="10">
        <v>146566</v>
      </c>
      <c r="M153" s="10">
        <v>127885</v>
      </c>
      <c r="N153" s="10">
        <v>151129</v>
      </c>
      <c r="O153" s="10">
        <v>124390</v>
      </c>
      <c r="P153" s="10">
        <v>110176</v>
      </c>
      <c r="Q153" s="6">
        <f t="shared" si="4"/>
        <v>1432716</v>
      </c>
      <c r="R153" s="2">
        <f t="shared" si="5"/>
        <v>0.11218444340940859</v>
      </c>
    </row>
    <row r="154" spans="1:18">
      <c r="A154" s="1" t="s">
        <v>253</v>
      </c>
      <c r="B154" s="7" t="s">
        <v>306</v>
      </c>
      <c r="C154" s="7" t="s">
        <v>307</v>
      </c>
      <c r="D154" s="6">
        <v>513287</v>
      </c>
      <c r="E154" s="10">
        <v>52656</v>
      </c>
      <c r="F154" s="10">
        <v>53170</v>
      </c>
      <c r="G154" s="10">
        <v>49392</v>
      </c>
      <c r="H154" s="10">
        <v>44738</v>
      </c>
      <c r="I154" s="10">
        <v>49894</v>
      </c>
      <c r="J154" s="10">
        <v>51100</v>
      </c>
      <c r="K154" s="10">
        <v>54699</v>
      </c>
      <c r="L154" s="10">
        <v>61582</v>
      </c>
      <c r="M154" s="10">
        <v>52937</v>
      </c>
      <c r="N154" s="10">
        <v>60821</v>
      </c>
      <c r="O154" s="10">
        <v>55852</v>
      </c>
      <c r="P154" s="10">
        <v>58069</v>
      </c>
      <c r="Q154" s="6">
        <f t="shared" si="4"/>
        <v>644910</v>
      </c>
      <c r="R154" s="2">
        <f t="shared" si="5"/>
        <v>0.25643158700687918</v>
      </c>
    </row>
    <row r="155" spans="1:18">
      <c r="A155" s="1" t="s">
        <v>253</v>
      </c>
      <c r="B155" s="7" t="s">
        <v>310</v>
      </c>
      <c r="C155" s="7" t="s">
        <v>311</v>
      </c>
      <c r="D155" s="6">
        <v>199365</v>
      </c>
      <c r="E155" s="10">
        <v>15791</v>
      </c>
      <c r="F155" s="10">
        <v>16336</v>
      </c>
      <c r="G155" s="10">
        <v>13738</v>
      </c>
      <c r="H155" s="10">
        <v>15059</v>
      </c>
      <c r="I155" s="10">
        <v>17951</v>
      </c>
      <c r="J155" s="10">
        <v>16109</v>
      </c>
      <c r="K155" s="10">
        <v>17744</v>
      </c>
      <c r="L155" s="10">
        <v>19544</v>
      </c>
      <c r="M155" s="10">
        <v>19158</v>
      </c>
      <c r="N155" s="10">
        <v>20366</v>
      </c>
      <c r="O155" s="10">
        <v>18987</v>
      </c>
      <c r="P155" s="10">
        <v>18516</v>
      </c>
      <c r="Q155" s="6">
        <f t="shared" si="4"/>
        <v>209299</v>
      </c>
      <c r="R155" s="2">
        <f t="shared" si="5"/>
        <v>4.9828204549444477E-2</v>
      </c>
    </row>
    <row r="156" spans="1:18">
      <c r="A156" s="1" t="s">
        <v>253</v>
      </c>
      <c r="B156" s="7" t="s">
        <v>300</v>
      </c>
      <c r="C156" s="7" t="s">
        <v>301</v>
      </c>
      <c r="D156" s="6">
        <v>8722345</v>
      </c>
      <c r="E156" s="10">
        <v>816601</v>
      </c>
      <c r="F156" s="10">
        <v>748144</v>
      </c>
      <c r="G156" s="10">
        <v>764243</v>
      </c>
      <c r="H156" s="10">
        <v>731386</v>
      </c>
      <c r="I156" s="10">
        <v>825771</v>
      </c>
      <c r="J156" s="10">
        <v>807195</v>
      </c>
      <c r="K156" s="10">
        <v>903467</v>
      </c>
      <c r="L156" s="10">
        <v>952391</v>
      </c>
      <c r="M156" s="10">
        <v>841634</v>
      </c>
      <c r="N156" s="10">
        <v>948861</v>
      </c>
      <c r="O156" s="10">
        <v>887024</v>
      </c>
      <c r="P156" s="10">
        <v>900899</v>
      </c>
      <c r="Q156" s="6">
        <f t="shared" si="4"/>
        <v>10127616</v>
      </c>
      <c r="R156" s="2">
        <f t="shared" si="5"/>
        <v>0.16111160473473585</v>
      </c>
    </row>
    <row r="157" spans="1:18">
      <c r="A157" s="1" t="s">
        <v>253</v>
      </c>
      <c r="B157" s="7" t="s">
        <v>312</v>
      </c>
      <c r="C157" s="7" t="s">
        <v>313</v>
      </c>
      <c r="D157" s="6">
        <v>290678</v>
      </c>
      <c r="E157" s="10">
        <v>30265</v>
      </c>
      <c r="F157" s="10">
        <v>29169</v>
      </c>
      <c r="G157" s="10">
        <v>29706</v>
      </c>
      <c r="H157" s="10">
        <v>26285</v>
      </c>
      <c r="I157" s="10">
        <v>29149</v>
      </c>
      <c r="J157" s="10">
        <v>28739</v>
      </c>
      <c r="K157" s="10">
        <v>31263</v>
      </c>
      <c r="L157" s="10">
        <v>33326</v>
      </c>
      <c r="M157" s="10">
        <v>29770</v>
      </c>
      <c r="N157" s="10">
        <v>35928</v>
      </c>
      <c r="O157" s="10">
        <v>45242</v>
      </c>
      <c r="P157" s="10">
        <v>45620</v>
      </c>
      <c r="Q157" s="6">
        <f t="shared" si="4"/>
        <v>394462</v>
      </c>
      <c r="R157" s="2">
        <f t="shared" si="5"/>
        <v>0.35704112454330916</v>
      </c>
    </row>
    <row r="158" spans="1:18">
      <c r="A158" s="1" t="s">
        <v>253</v>
      </c>
      <c r="B158" s="7" t="s">
        <v>314</v>
      </c>
      <c r="C158" s="7" t="s">
        <v>315</v>
      </c>
      <c r="D158" s="6">
        <v>227737</v>
      </c>
      <c r="E158" s="10">
        <v>20753</v>
      </c>
      <c r="F158" s="10">
        <v>21538</v>
      </c>
      <c r="G158" s="10">
        <v>22746</v>
      </c>
      <c r="H158" s="10">
        <v>20229</v>
      </c>
      <c r="I158" s="10">
        <v>21091</v>
      </c>
      <c r="J158" s="10">
        <v>22862</v>
      </c>
      <c r="K158" s="10">
        <v>22729</v>
      </c>
      <c r="L158" s="10">
        <v>26663</v>
      </c>
      <c r="M158" s="10">
        <v>27145</v>
      </c>
      <c r="N158" s="10">
        <v>28300</v>
      </c>
      <c r="O158" s="10">
        <v>26038</v>
      </c>
      <c r="P158" s="10">
        <v>25915</v>
      </c>
      <c r="Q158" s="6">
        <f t="shared" si="4"/>
        <v>286009</v>
      </c>
      <c r="R158" s="2">
        <f t="shared" si="5"/>
        <v>0.25587410038772784</v>
      </c>
    </row>
    <row r="159" spans="1:18">
      <c r="A159" s="1" t="s">
        <v>253</v>
      </c>
      <c r="B159" s="7" t="s">
        <v>308</v>
      </c>
      <c r="C159" s="7" t="s">
        <v>309</v>
      </c>
      <c r="D159" s="6">
        <v>186711</v>
      </c>
      <c r="E159" s="10">
        <v>13206</v>
      </c>
      <c r="F159" s="10">
        <v>10628</v>
      </c>
      <c r="G159" s="10">
        <v>12664</v>
      </c>
      <c r="H159" s="10">
        <v>12858</v>
      </c>
      <c r="I159" s="10">
        <v>14519</v>
      </c>
      <c r="J159" s="10">
        <v>15551</v>
      </c>
      <c r="K159" s="10">
        <v>18464</v>
      </c>
      <c r="L159" s="10">
        <v>20496</v>
      </c>
      <c r="M159" s="10">
        <v>15760</v>
      </c>
      <c r="N159" s="10">
        <v>16752</v>
      </c>
      <c r="O159" s="10">
        <v>14217</v>
      </c>
      <c r="P159" s="10">
        <v>12758</v>
      </c>
      <c r="Q159" s="6">
        <f t="shared" si="4"/>
        <v>177873</v>
      </c>
      <c r="R159" s="2">
        <f t="shared" si="5"/>
        <v>-4.7335186464643186E-2</v>
      </c>
    </row>
    <row r="160" spans="1:18">
      <c r="A160" s="1" t="s">
        <v>253</v>
      </c>
      <c r="B160" s="7" t="s">
        <v>322</v>
      </c>
      <c r="C160" s="7" t="s">
        <v>323</v>
      </c>
      <c r="D160" s="6">
        <v>175078</v>
      </c>
      <c r="E160" s="10">
        <v>20164</v>
      </c>
      <c r="F160" s="10">
        <v>19979</v>
      </c>
      <c r="G160" s="10">
        <v>17947</v>
      </c>
      <c r="H160" s="10">
        <v>20533</v>
      </c>
      <c r="I160" s="10">
        <v>19334</v>
      </c>
      <c r="J160" s="10">
        <v>20647</v>
      </c>
      <c r="K160" s="10">
        <v>20992</v>
      </c>
      <c r="L160" s="10">
        <v>21484</v>
      </c>
      <c r="M160" s="10">
        <v>18628</v>
      </c>
      <c r="N160" s="10">
        <v>21259</v>
      </c>
      <c r="O160" s="10">
        <v>21502</v>
      </c>
      <c r="P160" s="10">
        <v>22356</v>
      </c>
      <c r="Q160" s="6">
        <f t="shared" si="4"/>
        <v>244825</v>
      </c>
      <c r="R160" s="2">
        <f t="shared" si="5"/>
        <v>0.39837672351751796</v>
      </c>
    </row>
    <row r="161" spans="1:18">
      <c r="A161" s="1" t="s">
        <v>253</v>
      </c>
      <c r="B161" s="7" t="s">
        <v>318</v>
      </c>
      <c r="C161" s="7" t="s">
        <v>319</v>
      </c>
      <c r="D161" s="6">
        <v>217516</v>
      </c>
      <c r="E161" s="10">
        <v>21420</v>
      </c>
      <c r="F161" s="10">
        <v>21969</v>
      </c>
      <c r="G161" s="10">
        <v>21644</v>
      </c>
      <c r="H161" s="10">
        <v>20220</v>
      </c>
      <c r="I161" s="10">
        <v>23068</v>
      </c>
      <c r="J161" s="10">
        <v>23382</v>
      </c>
      <c r="K161" s="10">
        <v>25702</v>
      </c>
      <c r="L161" s="10">
        <v>28800</v>
      </c>
      <c r="M161" s="10">
        <v>26055</v>
      </c>
      <c r="N161" s="10">
        <v>27967</v>
      </c>
      <c r="O161" s="10">
        <v>25813</v>
      </c>
      <c r="P161" s="10">
        <v>25620</v>
      </c>
      <c r="Q161" s="6">
        <f t="shared" si="4"/>
        <v>291660</v>
      </c>
      <c r="R161" s="2">
        <f t="shared" si="5"/>
        <v>0.34086687875834421</v>
      </c>
    </row>
    <row r="162" spans="1:18">
      <c r="A162" s="1" t="s">
        <v>253</v>
      </c>
      <c r="B162" s="7" t="s">
        <v>316</v>
      </c>
      <c r="C162" s="7" t="s">
        <v>317</v>
      </c>
      <c r="D162" s="6">
        <v>223045</v>
      </c>
      <c r="E162" s="10">
        <v>23140</v>
      </c>
      <c r="F162" s="10">
        <v>23797</v>
      </c>
      <c r="G162" s="10">
        <v>23884</v>
      </c>
      <c r="H162" s="10">
        <v>21699</v>
      </c>
      <c r="I162" s="10">
        <v>23363</v>
      </c>
      <c r="J162" s="10">
        <v>24001</v>
      </c>
      <c r="K162" s="10">
        <v>23981</v>
      </c>
      <c r="L162" s="10">
        <v>25126</v>
      </c>
      <c r="M162" s="10">
        <v>22810</v>
      </c>
      <c r="N162" s="10">
        <v>25046</v>
      </c>
      <c r="O162" s="10">
        <v>25077</v>
      </c>
      <c r="P162" s="10">
        <v>24532</v>
      </c>
      <c r="Q162" s="6">
        <f t="shared" si="4"/>
        <v>286456</v>
      </c>
      <c r="R162" s="2">
        <f t="shared" si="5"/>
        <v>0.28429689076195386</v>
      </c>
    </row>
    <row r="163" spans="1:18">
      <c r="A163" s="1" t="s">
        <v>326</v>
      </c>
      <c r="B163" s="7" t="s">
        <v>327</v>
      </c>
      <c r="C163" s="7" t="s">
        <v>328</v>
      </c>
      <c r="D163" s="6">
        <v>1514061</v>
      </c>
      <c r="E163" s="10">
        <v>189632</v>
      </c>
      <c r="F163" s="10">
        <v>158728</v>
      </c>
      <c r="G163" s="10">
        <v>153101</v>
      </c>
      <c r="H163" s="10">
        <v>150223</v>
      </c>
      <c r="I163" s="10">
        <v>138624</v>
      </c>
      <c r="J163" s="10">
        <v>160063</v>
      </c>
      <c r="K163" s="10">
        <v>174827</v>
      </c>
      <c r="L163" s="10">
        <v>161238</v>
      </c>
      <c r="M163" s="10">
        <v>170635</v>
      </c>
      <c r="N163" s="10">
        <v>188725</v>
      </c>
      <c r="O163" s="10">
        <v>168832</v>
      </c>
      <c r="P163" s="10">
        <v>187941</v>
      </c>
      <c r="Q163" s="6">
        <f t="shared" si="4"/>
        <v>2002569</v>
      </c>
      <c r="R163" s="2">
        <f t="shared" si="5"/>
        <v>0.32264750231331507</v>
      </c>
    </row>
    <row r="164" spans="1:18">
      <c r="A164" s="1" t="s">
        <v>326</v>
      </c>
      <c r="B164" s="7" t="s">
        <v>329</v>
      </c>
      <c r="C164" s="7" t="s">
        <v>330</v>
      </c>
      <c r="D164" s="6">
        <v>167845</v>
      </c>
      <c r="E164" s="10">
        <v>44691</v>
      </c>
      <c r="F164" s="10">
        <v>27476</v>
      </c>
      <c r="G164" s="10">
        <v>13487</v>
      </c>
      <c r="H164" s="10">
        <v>9805</v>
      </c>
      <c r="I164" s="10">
        <v>7329</v>
      </c>
      <c r="J164" s="10">
        <v>4964</v>
      </c>
      <c r="K164" s="10">
        <v>6666</v>
      </c>
      <c r="L164" s="10">
        <v>5525</v>
      </c>
      <c r="M164" s="10">
        <v>6037</v>
      </c>
      <c r="N164" s="10">
        <v>10820</v>
      </c>
      <c r="O164" s="10">
        <v>6757</v>
      </c>
      <c r="P164" s="10">
        <v>15127</v>
      </c>
      <c r="Q164" s="6">
        <f t="shared" si="4"/>
        <v>158684</v>
      </c>
      <c r="R164" s="2">
        <f t="shared" si="5"/>
        <v>-5.4580118561768254E-2</v>
      </c>
    </row>
    <row r="165" spans="1:18">
      <c r="A165" s="1" t="s">
        <v>16</v>
      </c>
      <c r="B165" s="1" t="s">
        <v>353</v>
      </c>
      <c r="C165" s="1" t="s">
        <v>354</v>
      </c>
      <c r="D165" s="6">
        <v>5888811</v>
      </c>
      <c r="E165" s="10">
        <v>394481</v>
      </c>
      <c r="F165" s="10">
        <v>361479</v>
      </c>
      <c r="G165" s="10">
        <v>482786</v>
      </c>
      <c r="H165" s="10">
        <v>458369</v>
      </c>
      <c r="I165" s="10">
        <v>503117</v>
      </c>
      <c r="J165" s="10">
        <v>552463</v>
      </c>
      <c r="K165" s="10">
        <v>566459</v>
      </c>
      <c r="L165" s="10">
        <v>531201</v>
      </c>
      <c r="M165" s="10">
        <v>480148</v>
      </c>
      <c r="N165" s="10">
        <v>542427</v>
      </c>
      <c r="O165" s="10">
        <v>455708</v>
      </c>
      <c r="P165" s="10">
        <v>467735</v>
      </c>
      <c r="Q165" s="6">
        <f t="shared" si="4"/>
        <v>5796373</v>
      </c>
      <c r="R165" s="2">
        <f t="shared" si="5"/>
        <v>-1.5697226485957838E-2</v>
      </c>
    </row>
    <row r="166" spans="1:18">
      <c r="A166" s="1" t="s">
        <v>16</v>
      </c>
      <c r="B166" s="1" t="s">
        <v>17</v>
      </c>
      <c r="C166" s="1" t="s">
        <v>18</v>
      </c>
      <c r="D166" s="6">
        <v>88032086</v>
      </c>
      <c r="E166" s="10">
        <v>6441555</v>
      </c>
      <c r="F166" s="10">
        <v>5983551</v>
      </c>
      <c r="G166" s="10">
        <v>7611260</v>
      </c>
      <c r="H166" s="10">
        <v>7505683</v>
      </c>
      <c r="I166" s="10">
        <v>7764633</v>
      </c>
      <c r="J166" s="10">
        <v>8100965</v>
      </c>
      <c r="K166" s="10">
        <v>8398016</v>
      </c>
      <c r="L166" s="10">
        <v>7951131</v>
      </c>
      <c r="M166" s="10">
        <v>7261721</v>
      </c>
      <c r="N166" s="10">
        <v>7869469</v>
      </c>
      <c r="O166" s="10">
        <v>7257076</v>
      </c>
      <c r="P166" s="10">
        <v>7129383</v>
      </c>
      <c r="Q166" s="6">
        <f t="shared" si="4"/>
        <v>89274443</v>
      </c>
      <c r="R166" s="2">
        <f t="shared" si="5"/>
        <v>1.4112547554536059E-2</v>
      </c>
    </row>
    <row r="167" spans="1:18" ht="15.75">
      <c r="A167" s="1" t="s">
        <v>16</v>
      </c>
      <c r="B167" s="1" t="s">
        <v>382</v>
      </c>
      <c r="C167" s="1" t="s">
        <v>348</v>
      </c>
      <c r="D167" s="6">
        <v>8217926</v>
      </c>
      <c r="E167" s="10">
        <v>610026</v>
      </c>
      <c r="F167" s="10">
        <v>555807</v>
      </c>
      <c r="G167" s="10">
        <v>737071</v>
      </c>
      <c r="H167" s="10">
        <v>692995</v>
      </c>
      <c r="I167" s="10">
        <v>733078</v>
      </c>
      <c r="J167" s="10">
        <v>783804</v>
      </c>
      <c r="K167" s="10">
        <v>827741</v>
      </c>
      <c r="L167" s="10">
        <v>761086</v>
      </c>
      <c r="M167" s="10">
        <v>685263</v>
      </c>
      <c r="N167" s="10">
        <v>769997</v>
      </c>
      <c r="O167" s="10">
        <v>741793</v>
      </c>
      <c r="P167" s="10">
        <v>793327</v>
      </c>
      <c r="Q167" s="6">
        <f t="shared" si="4"/>
        <v>8691988</v>
      </c>
      <c r="R167" s="2">
        <f t="shared" si="5"/>
        <v>5.768633107672172E-2</v>
      </c>
    </row>
    <row r="168" spans="1:18" ht="15.75">
      <c r="A168" s="1" t="s">
        <v>16</v>
      </c>
      <c r="B168" s="1" t="s">
        <v>383</v>
      </c>
      <c r="C168" s="1" t="s">
        <v>53</v>
      </c>
      <c r="D168" s="6">
        <v>20953615</v>
      </c>
      <c r="E168" s="10">
        <v>1502912</v>
      </c>
      <c r="F168" s="10">
        <v>1161802</v>
      </c>
      <c r="G168" s="10">
        <v>1822254</v>
      </c>
      <c r="H168" s="10">
        <v>1842198</v>
      </c>
      <c r="I168" s="10">
        <v>1946952</v>
      </c>
      <c r="J168" s="10">
        <v>2085293</v>
      </c>
      <c r="K168" s="10">
        <v>2170517</v>
      </c>
      <c r="L168" s="10">
        <v>2108125</v>
      </c>
      <c r="M168" s="10">
        <v>1738950</v>
      </c>
      <c r="N168" s="10">
        <v>1994905</v>
      </c>
      <c r="O168" s="10">
        <v>1821345</v>
      </c>
      <c r="P168" s="10">
        <v>1741208</v>
      </c>
      <c r="Q168" s="6">
        <f t="shared" si="4"/>
        <v>21936461</v>
      </c>
      <c r="R168" s="2">
        <f t="shared" si="5"/>
        <v>4.6905796446102599E-2</v>
      </c>
    </row>
    <row r="169" spans="1:18" ht="15.75">
      <c r="A169" s="1" t="s">
        <v>16</v>
      </c>
      <c r="B169" s="1" t="s">
        <v>489</v>
      </c>
      <c r="C169" s="1" t="s">
        <v>431</v>
      </c>
      <c r="D169" s="6">
        <v>1084471</v>
      </c>
      <c r="E169" s="10">
        <v>72007</v>
      </c>
      <c r="F169" s="10">
        <v>75912</v>
      </c>
      <c r="G169" s="10">
        <v>88630</v>
      </c>
      <c r="H169" s="10">
        <v>96312</v>
      </c>
      <c r="I169" s="10">
        <v>100804</v>
      </c>
      <c r="J169" s="10">
        <v>109303</v>
      </c>
      <c r="K169" s="10">
        <v>103324</v>
      </c>
      <c r="L169" s="10">
        <v>97289</v>
      </c>
      <c r="M169" s="10">
        <v>97811</v>
      </c>
      <c r="N169" s="10">
        <v>104229</v>
      </c>
      <c r="O169" s="10">
        <v>95480</v>
      </c>
      <c r="P169" s="10">
        <v>90422</v>
      </c>
      <c r="Q169" s="6">
        <f t="shared" si="4"/>
        <v>1131523</v>
      </c>
      <c r="R169" s="2">
        <f t="shared" si="5"/>
        <v>4.3387052304764362E-2</v>
      </c>
    </row>
    <row r="170" spans="1:18">
      <c r="A170" s="1" t="s">
        <v>16</v>
      </c>
      <c r="B170" s="1" t="s">
        <v>423</v>
      </c>
      <c r="C170" s="1" t="s">
        <v>424</v>
      </c>
      <c r="D170" s="6">
        <v>2795297</v>
      </c>
      <c r="E170" s="10">
        <v>212315</v>
      </c>
      <c r="F170" s="10">
        <v>193166</v>
      </c>
      <c r="G170" s="10">
        <v>231394</v>
      </c>
      <c r="H170" s="10">
        <v>215880</v>
      </c>
      <c r="I170" s="10">
        <v>225761</v>
      </c>
      <c r="J170" s="10">
        <v>255363</v>
      </c>
      <c r="K170" s="10">
        <v>268790</v>
      </c>
      <c r="L170" s="10">
        <v>262734</v>
      </c>
      <c r="M170" s="10">
        <v>233312</v>
      </c>
      <c r="N170" s="10">
        <v>235369</v>
      </c>
      <c r="O170" s="10">
        <v>229612</v>
      </c>
      <c r="P170" s="10">
        <v>241996</v>
      </c>
      <c r="Q170" s="6">
        <f t="shared" si="4"/>
        <v>2805692</v>
      </c>
      <c r="R170" s="2">
        <f t="shared" si="5"/>
        <v>3.7187461654342169E-3</v>
      </c>
    </row>
    <row r="171" spans="1:18" ht="15.75">
      <c r="A171" s="1" t="s">
        <v>16</v>
      </c>
      <c r="B171" s="1" t="s">
        <v>452</v>
      </c>
      <c r="C171" s="1" t="s">
        <v>48</v>
      </c>
      <c r="D171" s="6">
        <v>25463422</v>
      </c>
      <c r="E171" s="10">
        <v>1794693</v>
      </c>
      <c r="F171" s="10">
        <v>1726226</v>
      </c>
      <c r="G171" s="10">
        <v>2218904</v>
      </c>
      <c r="H171" s="10">
        <v>2308509</v>
      </c>
      <c r="I171" s="10">
        <v>2340511</v>
      </c>
      <c r="J171" s="10">
        <v>2453665</v>
      </c>
      <c r="K171" s="10">
        <v>2644366</v>
      </c>
      <c r="L171" s="10">
        <v>2696524</v>
      </c>
      <c r="M171" s="10">
        <v>2325058</v>
      </c>
      <c r="N171" s="10">
        <v>2567189</v>
      </c>
      <c r="O171" s="10">
        <v>2243034</v>
      </c>
      <c r="P171" s="10">
        <v>2051531</v>
      </c>
      <c r="Q171" s="6">
        <f t="shared" si="4"/>
        <v>27370210</v>
      </c>
      <c r="R171" s="2">
        <f t="shared" si="5"/>
        <v>7.4883415119931573E-2</v>
      </c>
    </row>
    <row r="172" spans="1:18">
      <c r="A172" s="1" t="s">
        <v>16</v>
      </c>
      <c r="B172" s="1" t="s">
        <v>535</v>
      </c>
      <c r="C172" s="1" t="s">
        <v>536</v>
      </c>
      <c r="D172" s="6">
        <v>5324502</v>
      </c>
      <c r="E172" s="10">
        <v>348432</v>
      </c>
      <c r="F172" s="10">
        <v>347821</v>
      </c>
      <c r="G172" s="10">
        <v>439102</v>
      </c>
      <c r="H172" s="10">
        <v>453713</v>
      </c>
      <c r="I172" s="10">
        <v>469203</v>
      </c>
      <c r="J172" s="10">
        <v>431127</v>
      </c>
      <c r="K172" s="10">
        <v>508143</v>
      </c>
      <c r="L172" s="10">
        <v>509908</v>
      </c>
      <c r="M172" s="10">
        <v>435373</v>
      </c>
      <c r="N172" s="10">
        <v>462920</v>
      </c>
      <c r="O172" s="10">
        <v>414037</v>
      </c>
      <c r="P172" s="10">
        <v>383325</v>
      </c>
      <c r="Q172" s="6">
        <f t="shared" si="4"/>
        <v>5203104</v>
      </c>
      <c r="R172" s="2">
        <f t="shared" si="5"/>
        <v>-2.2799878749223845E-2</v>
      </c>
    </row>
    <row r="173" spans="1:18" ht="15.75">
      <c r="A173" s="1" t="s">
        <v>16</v>
      </c>
      <c r="B173" s="1" t="s">
        <v>417</v>
      </c>
      <c r="C173" s="1" t="s">
        <v>407</v>
      </c>
      <c r="D173" s="6">
        <v>4588433</v>
      </c>
      <c r="E173" s="10">
        <v>353936</v>
      </c>
      <c r="F173" s="10">
        <v>321507</v>
      </c>
      <c r="G173" s="10">
        <v>372467</v>
      </c>
      <c r="H173" s="10">
        <v>375305</v>
      </c>
      <c r="I173" s="10">
        <v>383481</v>
      </c>
      <c r="J173" s="10">
        <v>392052</v>
      </c>
      <c r="K173" s="10">
        <v>384647</v>
      </c>
      <c r="L173" s="10">
        <v>399180</v>
      </c>
      <c r="M173" s="10">
        <v>360538</v>
      </c>
      <c r="N173" s="10">
        <v>381656</v>
      </c>
      <c r="O173" s="10">
        <v>368176</v>
      </c>
      <c r="P173" s="10">
        <v>368326</v>
      </c>
      <c r="Q173" s="6">
        <f t="shared" si="4"/>
        <v>4461271</v>
      </c>
      <c r="R173" s="2">
        <f t="shared" si="5"/>
        <v>-2.7713600699846741E-2</v>
      </c>
    </row>
    <row r="174" spans="1:18">
      <c r="A174" s="1" t="s">
        <v>16</v>
      </c>
      <c r="B174" s="1" t="s">
        <v>439</v>
      </c>
      <c r="C174" s="1" t="s">
        <v>440</v>
      </c>
      <c r="D174" s="6">
        <v>2190251</v>
      </c>
      <c r="E174" s="10">
        <v>123301</v>
      </c>
      <c r="F174" s="10">
        <v>115910</v>
      </c>
      <c r="G174" s="10">
        <v>166874</v>
      </c>
      <c r="H174" s="10">
        <v>185540</v>
      </c>
      <c r="I174" s="10">
        <v>191643</v>
      </c>
      <c r="J174" s="10">
        <v>191840</v>
      </c>
      <c r="K174" s="10">
        <v>188889</v>
      </c>
      <c r="L174" s="10">
        <v>179247</v>
      </c>
      <c r="M174" s="10">
        <v>170331</v>
      </c>
      <c r="N174" s="10">
        <v>182694</v>
      </c>
      <c r="O174" s="10">
        <v>173187</v>
      </c>
      <c r="P174" s="10">
        <v>151872</v>
      </c>
      <c r="Q174" s="6">
        <f t="shared" si="4"/>
        <v>2021328</v>
      </c>
      <c r="R174" s="2">
        <f t="shared" si="5"/>
        <v>-7.7124950519369739E-2</v>
      </c>
    </row>
    <row r="175" spans="1:18">
      <c r="A175" s="1" t="s">
        <v>16</v>
      </c>
      <c r="B175" s="1" t="s">
        <v>34</v>
      </c>
      <c r="C175" s="1" t="s">
        <v>35</v>
      </c>
      <c r="D175" s="6">
        <v>17246594</v>
      </c>
      <c r="E175" s="10">
        <v>2670557</v>
      </c>
      <c r="F175" s="10">
        <v>2592801</v>
      </c>
      <c r="G175" s="10">
        <v>3113956</v>
      </c>
      <c r="H175" s="10">
        <v>3091493</v>
      </c>
      <c r="I175" s="10">
        <v>3301577</v>
      </c>
      <c r="J175" s="10">
        <v>3398326</v>
      </c>
      <c r="K175" s="10">
        <v>3455122</v>
      </c>
      <c r="L175" s="10">
        <v>3440226</v>
      </c>
      <c r="M175" s="10">
        <v>3237350</v>
      </c>
      <c r="N175" s="10">
        <v>3509668</v>
      </c>
      <c r="O175" s="10">
        <v>3249335</v>
      </c>
      <c r="P175" s="10">
        <v>3193796</v>
      </c>
      <c r="Q175" s="6">
        <f t="shared" si="4"/>
        <v>38254207</v>
      </c>
      <c r="R175" s="2">
        <f t="shared" si="5"/>
        <v>1.2180731453410454</v>
      </c>
    </row>
    <row r="176" spans="1:18" ht="15.75">
      <c r="A176" s="1" t="s">
        <v>16</v>
      </c>
      <c r="B176" s="1" t="s">
        <v>384</v>
      </c>
      <c r="C176" s="1" t="s">
        <v>57</v>
      </c>
      <c r="D176" s="6">
        <v>17089365</v>
      </c>
      <c r="E176" s="10">
        <v>1170200</v>
      </c>
      <c r="F176" s="10">
        <v>1071088</v>
      </c>
      <c r="G176" s="10">
        <v>1523987</v>
      </c>
      <c r="H176" s="10">
        <v>1537591</v>
      </c>
      <c r="I176" s="10">
        <v>1564088</v>
      </c>
      <c r="J176" s="10">
        <v>1640652</v>
      </c>
      <c r="K176" s="10">
        <v>1707426</v>
      </c>
      <c r="L176" s="10">
        <v>1629395</v>
      </c>
      <c r="M176" s="10">
        <v>1443036</v>
      </c>
      <c r="N176" s="10">
        <v>1554094</v>
      </c>
      <c r="O176" s="10">
        <v>1448286</v>
      </c>
      <c r="P176" s="10">
        <v>1386570</v>
      </c>
      <c r="Q176" s="6">
        <f t="shared" si="4"/>
        <v>17676413</v>
      </c>
      <c r="R176" s="2">
        <f t="shared" si="5"/>
        <v>3.4351656717496626E-2</v>
      </c>
    </row>
    <row r="177" spans="1:18" ht="15.75">
      <c r="A177" s="1" t="s">
        <v>16</v>
      </c>
      <c r="B177" s="1" t="s">
        <v>385</v>
      </c>
      <c r="C177" s="1" t="s">
        <v>19</v>
      </c>
      <c r="D177" s="6">
        <v>64397782</v>
      </c>
      <c r="E177" s="10">
        <v>4655719</v>
      </c>
      <c r="F177" s="10">
        <v>4405448</v>
      </c>
      <c r="G177" s="10">
        <v>5634917</v>
      </c>
      <c r="H177" s="10">
        <v>5543886</v>
      </c>
      <c r="I177" s="10">
        <v>5913915</v>
      </c>
      <c r="J177" s="10">
        <v>6048893</v>
      </c>
      <c r="K177" s="10">
        <v>6412836</v>
      </c>
      <c r="L177" s="10">
        <v>6298319</v>
      </c>
      <c r="M177" s="10">
        <v>5701028</v>
      </c>
      <c r="N177" s="10">
        <v>5994099</v>
      </c>
      <c r="O177" s="10">
        <v>5341395</v>
      </c>
      <c r="P177" s="10">
        <v>5076080</v>
      </c>
      <c r="Q177" s="6">
        <f t="shared" si="4"/>
        <v>67026535</v>
      </c>
      <c r="R177" s="2">
        <f t="shared" si="5"/>
        <v>4.082055186310618E-2</v>
      </c>
    </row>
    <row r="178" spans="1:18">
      <c r="A178" s="1" t="s">
        <v>16</v>
      </c>
      <c r="B178" s="1" t="s">
        <v>349</v>
      </c>
      <c r="C178" s="1" t="s">
        <v>350</v>
      </c>
      <c r="D178" s="6">
        <v>10622185</v>
      </c>
      <c r="E178" s="10">
        <v>656364</v>
      </c>
      <c r="F178" s="10">
        <v>594448</v>
      </c>
      <c r="G178" s="10">
        <v>753208</v>
      </c>
      <c r="H178" s="10">
        <v>684152</v>
      </c>
      <c r="I178" s="10">
        <v>667872</v>
      </c>
      <c r="J178" s="10">
        <v>714939</v>
      </c>
      <c r="K178" s="10">
        <v>744765</v>
      </c>
      <c r="L178" s="10">
        <v>702476</v>
      </c>
      <c r="M178" s="10">
        <v>618021</v>
      </c>
      <c r="N178" s="10">
        <v>664504</v>
      </c>
      <c r="O178" s="10">
        <v>594096</v>
      </c>
      <c r="P178" s="10">
        <v>582743</v>
      </c>
      <c r="Q178" s="6">
        <f t="shared" si="4"/>
        <v>7977588</v>
      </c>
      <c r="R178" s="2">
        <f t="shared" si="5"/>
        <v>-0.24896920925402821</v>
      </c>
    </row>
    <row r="179" spans="1:18" ht="15.75">
      <c r="A179" s="1" t="s">
        <v>16</v>
      </c>
      <c r="B179" s="1" t="s">
        <v>451</v>
      </c>
      <c r="C179" s="1" t="s">
        <v>434</v>
      </c>
      <c r="D179" s="6">
        <v>1855355</v>
      </c>
      <c r="E179" s="10">
        <v>122346</v>
      </c>
      <c r="F179" s="10">
        <v>113431</v>
      </c>
      <c r="G179" s="10">
        <v>139816</v>
      </c>
      <c r="H179" s="10">
        <v>135976</v>
      </c>
      <c r="I179" s="10">
        <v>148150</v>
      </c>
      <c r="J179" s="10">
        <v>164261</v>
      </c>
      <c r="K179" s="10">
        <v>170905</v>
      </c>
      <c r="L179" s="10">
        <v>163129</v>
      </c>
      <c r="M179" s="10">
        <v>150442</v>
      </c>
      <c r="N179" s="10">
        <v>154443</v>
      </c>
      <c r="O179" s="10">
        <v>139904</v>
      </c>
      <c r="P179" s="10">
        <v>135370</v>
      </c>
      <c r="Q179" s="6">
        <f t="shared" si="4"/>
        <v>1738173</v>
      </c>
      <c r="R179" s="2">
        <f t="shared" si="5"/>
        <v>-6.3158802493323396E-2</v>
      </c>
    </row>
    <row r="180" spans="1:18">
      <c r="A180" s="1" t="s">
        <v>16</v>
      </c>
      <c r="B180" s="1" t="s">
        <v>517</v>
      </c>
      <c r="C180" s="1" t="s">
        <v>518</v>
      </c>
      <c r="D180" s="6">
        <v>1051348</v>
      </c>
      <c r="E180" s="10">
        <v>74617</v>
      </c>
      <c r="F180" s="10">
        <v>66644</v>
      </c>
      <c r="G180" s="10">
        <v>82824</v>
      </c>
      <c r="H180" s="10">
        <v>89112</v>
      </c>
      <c r="I180" s="10">
        <v>90075</v>
      </c>
      <c r="J180" s="10">
        <v>90440</v>
      </c>
      <c r="K180" s="10">
        <v>89422</v>
      </c>
      <c r="L180" s="10">
        <v>87345</v>
      </c>
      <c r="M180" s="10">
        <v>81195</v>
      </c>
      <c r="N180" s="10">
        <v>91979</v>
      </c>
      <c r="O180" s="10">
        <v>84058</v>
      </c>
      <c r="P180" s="10">
        <v>75664</v>
      </c>
      <c r="Q180" s="6">
        <f t="shared" si="4"/>
        <v>1003375</v>
      </c>
      <c r="R180" s="2">
        <f t="shared" si="5"/>
        <v>-4.5629991211283083E-2</v>
      </c>
    </row>
    <row r="181" spans="1:18">
      <c r="A181" s="1" t="s">
        <v>16</v>
      </c>
      <c r="B181" s="1" t="s">
        <v>403</v>
      </c>
      <c r="C181" s="1" t="s">
        <v>404</v>
      </c>
      <c r="D181" s="6">
        <v>6233485</v>
      </c>
      <c r="E181" s="10">
        <v>449827</v>
      </c>
      <c r="F181" s="10">
        <v>418398</v>
      </c>
      <c r="G181" s="10">
        <v>559612</v>
      </c>
      <c r="H181" s="10">
        <v>529496</v>
      </c>
      <c r="I181" s="10">
        <v>536757</v>
      </c>
      <c r="J181" s="10">
        <v>596137</v>
      </c>
      <c r="K181" s="10">
        <v>587461</v>
      </c>
      <c r="L181" s="10">
        <v>557484</v>
      </c>
      <c r="M181" s="10">
        <v>524569</v>
      </c>
      <c r="N181" s="10">
        <v>558285</v>
      </c>
      <c r="O181" s="10">
        <v>529887</v>
      </c>
      <c r="P181" s="10">
        <v>518278</v>
      </c>
      <c r="Q181" s="6">
        <f t="shared" si="4"/>
        <v>6366191</v>
      </c>
      <c r="R181" s="2">
        <f t="shared" si="5"/>
        <v>2.1289214620713759E-2</v>
      </c>
    </row>
    <row r="182" spans="1:18">
      <c r="A182" s="1" t="s">
        <v>16</v>
      </c>
      <c r="B182" s="1" t="s">
        <v>22</v>
      </c>
      <c r="C182" s="1" t="s">
        <v>23</v>
      </c>
      <c r="D182" s="6">
        <v>56030457</v>
      </c>
      <c r="E182" s="10">
        <v>4278669</v>
      </c>
      <c r="F182" s="10">
        <v>3843390</v>
      </c>
      <c r="G182" s="10">
        <v>4825963</v>
      </c>
      <c r="H182" s="10">
        <v>4665859</v>
      </c>
      <c r="I182" s="10">
        <v>4839667</v>
      </c>
      <c r="J182" s="10">
        <v>5167246</v>
      </c>
      <c r="K182" s="10">
        <v>5353403</v>
      </c>
      <c r="L182" s="10">
        <v>5043299</v>
      </c>
      <c r="M182" s="10">
        <v>4555376</v>
      </c>
      <c r="N182" s="10">
        <v>4958871</v>
      </c>
      <c r="O182" s="10">
        <v>4618949</v>
      </c>
      <c r="P182" s="10">
        <v>4755918</v>
      </c>
      <c r="Q182" s="6">
        <f t="shared" si="4"/>
        <v>56906610</v>
      </c>
      <c r="R182" s="2">
        <f t="shared" si="5"/>
        <v>1.5637084666291434E-2</v>
      </c>
    </row>
    <row r="183" spans="1:18" ht="15.75">
      <c r="A183" s="1" t="s">
        <v>16</v>
      </c>
      <c r="B183" s="1" t="s">
        <v>505</v>
      </c>
      <c r="C183" s="1" t="s">
        <v>495</v>
      </c>
      <c r="D183" s="6">
        <v>7744522</v>
      </c>
      <c r="E183" s="10">
        <v>574032</v>
      </c>
      <c r="F183" s="10">
        <v>539321</v>
      </c>
      <c r="G183" s="10">
        <v>687969</v>
      </c>
      <c r="H183" s="10">
        <v>671623</v>
      </c>
      <c r="I183" s="10">
        <v>688046</v>
      </c>
      <c r="J183" s="10">
        <v>723720</v>
      </c>
      <c r="K183" s="10">
        <v>728275</v>
      </c>
      <c r="L183" s="10">
        <v>680587</v>
      </c>
      <c r="M183" s="10">
        <v>628865</v>
      </c>
      <c r="N183" s="10">
        <v>703185</v>
      </c>
      <c r="O183" s="10">
        <v>660053</v>
      </c>
      <c r="P183" s="10">
        <v>675133</v>
      </c>
      <c r="Q183" s="6">
        <f t="shared" si="4"/>
        <v>7960809</v>
      </c>
      <c r="R183" s="2">
        <f t="shared" si="5"/>
        <v>2.7927740407994284E-2</v>
      </c>
    </row>
    <row r="184" spans="1:18" ht="15.75">
      <c r="A184" s="1" t="s">
        <v>16</v>
      </c>
      <c r="B184" s="1" t="s">
        <v>386</v>
      </c>
      <c r="C184" s="1" t="s">
        <v>24</v>
      </c>
      <c r="D184" s="6">
        <v>50167485</v>
      </c>
      <c r="E184" s="10">
        <v>3723995</v>
      </c>
      <c r="F184" s="10">
        <v>3567371</v>
      </c>
      <c r="G184" s="10">
        <v>4449558</v>
      </c>
      <c r="H184" s="10">
        <v>4077833</v>
      </c>
      <c r="I184" s="10">
        <v>4370892</v>
      </c>
      <c r="J184" s="10">
        <v>4790182</v>
      </c>
      <c r="K184" s="10">
        <v>5060508</v>
      </c>
      <c r="L184" s="10">
        <v>4924060</v>
      </c>
      <c r="M184" s="10">
        <v>4317995</v>
      </c>
      <c r="N184" s="10">
        <v>4470006</v>
      </c>
      <c r="O184" s="10">
        <v>4023152</v>
      </c>
      <c r="P184" s="10">
        <v>4209486</v>
      </c>
      <c r="Q184" s="6">
        <f t="shared" si="4"/>
        <v>51985038</v>
      </c>
      <c r="R184" s="2">
        <f t="shared" si="5"/>
        <v>3.6229701369323131E-2</v>
      </c>
    </row>
    <row r="185" spans="1:18">
      <c r="A185" s="1" t="s">
        <v>16</v>
      </c>
      <c r="B185" s="1" t="s">
        <v>437</v>
      </c>
      <c r="C185" s="1" t="s">
        <v>438</v>
      </c>
      <c r="D185" s="6">
        <v>1752469</v>
      </c>
      <c r="E185" s="10">
        <v>131752</v>
      </c>
      <c r="F185" s="10">
        <v>132958</v>
      </c>
      <c r="G185" s="10">
        <v>159406</v>
      </c>
      <c r="H185" s="10">
        <v>143810</v>
      </c>
      <c r="I185" s="10">
        <v>158870</v>
      </c>
      <c r="J185" s="10">
        <v>171036</v>
      </c>
      <c r="K185" s="10">
        <v>166082</v>
      </c>
      <c r="L185" s="10">
        <v>166297</v>
      </c>
      <c r="M185" s="10">
        <v>148006</v>
      </c>
      <c r="N185" s="10">
        <v>156039</v>
      </c>
      <c r="O185" s="10">
        <v>151757</v>
      </c>
      <c r="P185" s="10">
        <v>145049</v>
      </c>
      <c r="Q185" s="6">
        <f t="shared" si="4"/>
        <v>1831062</v>
      </c>
      <c r="R185" s="2">
        <f t="shared" si="5"/>
        <v>4.4847012985679058E-2</v>
      </c>
    </row>
    <row r="186" spans="1:18">
      <c r="A186" s="1" t="s">
        <v>16</v>
      </c>
      <c r="B186" s="1" t="s">
        <v>42</v>
      </c>
      <c r="C186" s="1" t="s">
        <v>43</v>
      </c>
      <c r="D186" s="6">
        <v>31357388</v>
      </c>
      <c r="E186" s="10">
        <v>2269599</v>
      </c>
      <c r="F186" s="10">
        <v>2137609</v>
      </c>
      <c r="G186" s="10">
        <v>2768296</v>
      </c>
      <c r="H186" s="10">
        <v>2689675</v>
      </c>
      <c r="I186" s="10">
        <v>2774320</v>
      </c>
      <c r="J186" s="10">
        <v>2976230</v>
      </c>
      <c r="K186" s="10">
        <v>3074803</v>
      </c>
      <c r="L186" s="10">
        <v>3060918</v>
      </c>
      <c r="M186" s="10">
        <v>2627326</v>
      </c>
      <c r="N186" s="10">
        <v>2848872</v>
      </c>
      <c r="O186" s="10">
        <v>2592982</v>
      </c>
      <c r="P186" s="10">
        <v>2556434</v>
      </c>
      <c r="Q186" s="6">
        <f t="shared" si="4"/>
        <v>32377064</v>
      </c>
      <c r="R186" s="2">
        <f t="shared" si="5"/>
        <v>3.2517887012783131E-2</v>
      </c>
    </row>
    <row r="187" spans="1:18">
      <c r="A187" s="1" t="s">
        <v>16</v>
      </c>
      <c r="B187" s="1" t="s">
        <v>421</v>
      </c>
      <c r="C187" s="1" t="s">
        <v>422</v>
      </c>
      <c r="D187" s="6">
        <v>3063188</v>
      </c>
      <c r="E187" s="10">
        <v>223376</v>
      </c>
      <c r="F187" s="10">
        <v>194485</v>
      </c>
      <c r="G187" s="10">
        <v>259683</v>
      </c>
      <c r="H187" s="10">
        <v>243343</v>
      </c>
      <c r="I187" s="10">
        <v>277686</v>
      </c>
      <c r="J187" s="10">
        <v>294639</v>
      </c>
      <c r="K187" s="10">
        <v>303135</v>
      </c>
      <c r="L187" s="10">
        <v>268468</v>
      </c>
      <c r="M187" s="10">
        <v>236598</v>
      </c>
      <c r="N187" s="10">
        <v>256372</v>
      </c>
      <c r="O187" s="10">
        <v>244077</v>
      </c>
      <c r="P187" s="10">
        <v>263531</v>
      </c>
      <c r="Q187" s="6">
        <f t="shared" si="4"/>
        <v>3065393</v>
      </c>
      <c r="R187" s="2">
        <f t="shared" si="5"/>
        <v>7.1983828612554035E-4</v>
      </c>
    </row>
    <row r="188" spans="1:18">
      <c r="A188" s="1" t="s">
        <v>16</v>
      </c>
      <c r="B188" s="1" t="s">
        <v>51</v>
      </c>
      <c r="C188" s="1" t="s">
        <v>52</v>
      </c>
      <c r="D188" s="6">
        <v>21060144</v>
      </c>
      <c r="E188" s="10">
        <v>1961854</v>
      </c>
      <c r="F188" s="10">
        <v>1744655</v>
      </c>
      <c r="G188" s="10">
        <v>2168689</v>
      </c>
      <c r="H188" s="10">
        <v>1953801</v>
      </c>
      <c r="I188" s="10">
        <v>1826692</v>
      </c>
      <c r="J188" s="10">
        <v>1722261</v>
      </c>
      <c r="K188" s="10">
        <v>1951900</v>
      </c>
      <c r="L188" s="10">
        <v>1862060</v>
      </c>
      <c r="M188" s="10">
        <v>1447268</v>
      </c>
      <c r="N188" s="10">
        <v>1699591</v>
      </c>
      <c r="O188" s="10">
        <v>1901982</v>
      </c>
      <c r="P188" s="10">
        <v>2118575</v>
      </c>
      <c r="Q188" s="6">
        <f t="shared" si="4"/>
        <v>22359328</v>
      </c>
      <c r="R188" s="2">
        <f t="shared" si="5"/>
        <v>6.1689226816302956E-2</v>
      </c>
    </row>
    <row r="189" spans="1:18">
      <c r="A189" s="1" t="s">
        <v>16</v>
      </c>
      <c r="B189" s="1" t="s">
        <v>398</v>
      </c>
      <c r="C189" s="1" t="s">
        <v>399</v>
      </c>
      <c r="D189" s="6">
        <v>7415958</v>
      </c>
      <c r="E189" s="10">
        <v>731739</v>
      </c>
      <c r="F189" s="10">
        <v>755095</v>
      </c>
      <c r="G189" s="10">
        <v>996685</v>
      </c>
      <c r="H189" s="10">
        <v>813329</v>
      </c>
      <c r="I189" s="10">
        <v>552105</v>
      </c>
      <c r="J189" s="10">
        <v>476625</v>
      </c>
      <c r="K189" s="10">
        <v>490227</v>
      </c>
      <c r="L189" s="10">
        <v>444714</v>
      </c>
      <c r="M189" s="10">
        <v>374590</v>
      </c>
      <c r="N189" s="10">
        <v>532025</v>
      </c>
      <c r="O189" s="10">
        <v>652783</v>
      </c>
      <c r="P189" s="10">
        <v>694399</v>
      </c>
      <c r="Q189" s="6">
        <f t="shared" si="4"/>
        <v>7514316</v>
      </c>
      <c r="R189" s="2">
        <f t="shared" si="5"/>
        <v>1.326302009801017E-2</v>
      </c>
    </row>
    <row r="190" spans="1:18">
      <c r="A190" s="1" t="s">
        <v>16</v>
      </c>
      <c r="B190" s="1" t="s">
        <v>432</v>
      </c>
      <c r="C190" s="1" t="s">
        <v>433</v>
      </c>
      <c r="D190" s="6">
        <v>1771465</v>
      </c>
      <c r="E190" s="10">
        <v>136555</v>
      </c>
      <c r="F190" s="10">
        <v>144347</v>
      </c>
      <c r="G190" s="10">
        <v>176508</v>
      </c>
      <c r="H190" s="10">
        <v>163296</v>
      </c>
      <c r="I190" s="10">
        <v>183951</v>
      </c>
      <c r="J190" s="10">
        <v>203372</v>
      </c>
      <c r="K190" s="10">
        <v>216147</v>
      </c>
      <c r="L190" s="10">
        <v>215124</v>
      </c>
      <c r="M190" s="10">
        <v>184336</v>
      </c>
      <c r="N190" s="10">
        <v>190976</v>
      </c>
      <c r="O190" s="10">
        <v>181007</v>
      </c>
      <c r="P190" s="10">
        <v>190305</v>
      </c>
      <c r="Q190" s="6">
        <f t="shared" si="4"/>
        <v>2185924</v>
      </c>
      <c r="R190" s="2">
        <f t="shared" si="5"/>
        <v>0.23396397896656151</v>
      </c>
    </row>
    <row r="191" spans="1:18">
      <c r="A191" s="1" t="s">
        <v>16</v>
      </c>
      <c r="B191" s="1" t="s">
        <v>447</v>
      </c>
      <c r="C191" s="1" t="s">
        <v>448</v>
      </c>
      <c r="D191" s="6">
        <v>1253759</v>
      </c>
      <c r="E191" s="10">
        <v>85051</v>
      </c>
      <c r="F191" s="10">
        <v>78209</v>
      </c>
      <c r="G191" s="10">
        <v>101355</v>
      </c>
      <c r="H191" s="10">
        <v>103453</v>
      </c>
      <c r="I191" s="10">
        <v>109492</v>
      </c>
      <c r="J191" s="10">
        <v>117904</v>
      </c>
      <c r="K191" s="10">
        <v>123929</v>
      </c>
      <c r="L191" s="10">
        <v>114577</v>
      </c>
      <c r="M191" s="10">
        <v>106547</v>
      </c>
      <c r="N191" s="10">
        <v>116340</v>
      </c>
      <c r="O191" s="10">
        <v>104849</v>
      </c>
      <c r="P191" s="10">
        <v>100307</v>
      </c>
      <c r="Q191" s="6">
        <f t="shared" si="4"/>
        <v>1262013</v>
      </c>
      <c r="R191" s="2">
        <f t="shared" si="5"/>
        <v>6.5834023923256879E-3</v>
      </c>
    </row>
    <row r="192" spans="1:18">
      <c r="A192" s="1" t="s">
        <v>16</v>
      </c>
      <c r="B192" s="1" t="s">
        <v>496</v>
      </c>
      <c r="C192" s="1" t="s">
        <v>497</v>
      </c>
      <c r="D192" s="6">
        <v>5300000</v>
      </c>
      <c r="E192" s="10">
        <v>367870</v>
      </c>
      <c r="F192" s="10">
        <v>360947</v>
      </c>
      <c r="G192" s="10">
        <v>449186</v>
      </c>
      <c r="H192" s="10">
        <v>464448</v>
      </c>
      <c r="I192" s="10">
        <v>462599</v>
      </c>
      <c r="J192" s="10">
        <v>452997</v>
      </c>
      <c r="K192" s="10">
        <v>490117</v>
      </c>
      <c r="L192" s="10">
        <v>502349</v>
      </c>
      <c r="M192" s="10">
        <v>418041</v>
      </c>
      <c r="N192" s="10">
        <v>486168</v>
      </c>
      <c r="O192" s="10">
        <v>464203</v>
      </c>
      <c r="P192" s="10">
        <v>461065</v>
      </c>
      <c r="Q192" s="6">
        <f t="shared" si="4"/>
        <v>5379990</v>
      </c>
      <c r="R192" s="2">
        <f t="shared" si="5"/>
        <v>1.5092452830188785E-2</v>
      </c>
    </row>
    <row r="193" spans="1:18">
      <c r="A193" s="1" t="s">
        <v>16</v>
      </c>
      <c r="B193" s="1" t="s">
        <v>26</v>
      </c>
      <c r="C193" s="1" t="s">
        <v>27</v>
      </c>
      <c r="D193" s="6">
        <v>40007354</v>
      </c>
      <c r="E193" s="10">
        <v>3110519</v>
      </c>
      <c r="F193" s="10">
        <v>2868617</v>
      </c>
      <c r="G193" s="10">
        <v>3423686</v>
      </c>
      <c r="H193" s="10">
        <v>3231685</v>
      </c>
      <c r="I193" s="10">
        <v>3434929</v>
      </c>
      <c r="J193" s="10">
        <v>3702561</v>
      </c>
      <c r="K193" s="10">
        <v>3882923</v>
      </c>
      <c r="L193" s="10">
        <v>3621144</v>
      </c>
      <c r="M193" s="10">
        <v>3039777</v>
      </c>
      <c r="N193" s="10">
        <v>3381889</v>
      </c>
      <c r="O193" s="10">
        <v>3264548</v>
      </c>
      <c r="P193" s="10">
        <v>3517291</v>
      </c>
      <c r="Q193" s="6">
        <f t="shared" si="4"/>
        <v>40479569</v>
      </c>
      <c r="R193" s="2">
        <f t="shared" si="5"/>
        <v>1.180320498076437E-2</v>
      </c>
    </row>
    <row r="194" spans="1:18">
      <c r="A194" s="1" t="s">
        <v>16</v>
      </c>
      <c r="B194" s="7" t="s">
        <v>64</v>
      </c>
      <c r="C194" s="7" t="s">
        <v>65</v>
      </c>
      <c r="D194" s="6">
        <v>8498441</v>
      </c>
      <c r="E194" s="10">
        <v>647707</v>
      </c>
      <c r="F194" s="10">
        <v>611709</v>
      </c>
      <c r="G194" s="10">
        <v>771783</v>
      </c>
      <c r="H194" s="10">
        <v>740337</v>
      </c>
      <c r="I194" s="10">
        <v>762691</v>
      </c>
      <c r="J194" s="10">
        <v>836191</v>
      </c>
      <c r="K194" s="10">
        <v>857941</v>
      </c>
      <c r="L194" s="10">
        <v>780930</v>
      </c>
      <c r="M194" s="10">
        <v>690567</v>
      </c>
      <c r="N194" s="10">
        <v>785918</v>
      </c>
      <c r="O194" s="10">
        <v>774458</v>
      </c>
      <c r="P194" s="10">
        <v>793769</v>
      </c>
      <c r="Q194" s="6">
        <f t="shared" si="4"/>
        <v>9054001</v>
      </c>
      <c r="R194" s="2">
        <f t="shared" si="5"/>
        <v>6.5371989992046853E-2</v>
      </c>
    </row>
    <row r="195" spans="1:18">
      <c r="A195" s="1" t="s">
        <v>16</v>
      </c>
      <c r="B195" s="1" t="s">
        <v>351</v>
      </c>
      <c r="C195" s="1" t="s">
        <v>352</v>
      </c>
      <c r="D195" s="6">
        <v>3724846</v>
      </c>
      <c r="E195" s="10">
        <v>533134</v>
      </c>
      <c r="F195" s="10">
        <v>516949</v>
      </c>
      <c r="G195" s="10">
        <v>656052</v>
      </c>
      <c r="H195" s="10">
        <v>650931</v>
      </c>
      <c r="I195" s="10">
        <v>656091</v>
      </c>
      <c r="J195" s="10">
        <v>675519</v>
      </c>
      <c r="K195" s="10">
        <v>695772</v>
      </c>
      <c r="L195" s="10">
        <v>628948</v>
      </c>
      <c r="M195" s="10">
        <v>588569</v>
      </c>
      <c r="N195" s="10">
        <v>685171</v>
      </c>
      <c r="O195" s="10">
        <v>630275</v>
      </c>
      <c r="P195" s="10">
        <v>609003</v>
      </c>
      <c r="Q195" s="6">
        <f t="shared" si="4"/>
        <v>7526414</v>
      </c>
      <c r="R195" s="2">
        <f t="shared" si="5"/>
        <v>1.0205973616090436</v>
      </c>
    </row>
    <row r="196" spans="1:18">
      <c r="A196" s="1" t="s">
        <v>16</v>
      </c>
      <c r="B196" s="1" t="s">
        <v>449</v>
      </c>
      <c r="C196" s="1" t="s">
        <v>450</v>
      </c>
      <c r="D196" s="6"/>
      <c r="E196" s="10">
        <v>87160</v>
      </c>
      <c r="F196" s="10">
        <v>77801</v>
      </c>
      <c r="G196" s="10">
        <v>103276</v>
      </c>
      <c r="H196" s="10">
        <v>99026</v>
      </c>
      <c r="I196" s="10">
        <v>110656</v>
      </c>
      <c r="J196" s="10">
        <v>114159</v>
      </c>
      <c r="K196" s="10">
        <v>120800</v>
      </c>
      <c r="L196" s="10">
        <v>102551</v>
      </c>
      <c r="M196" s="10">
        <v>98199</v>
      </c>
      <c r="N196" s="10">
        <v>110368</v>
      </c>
      <c r="O196" s="10">
        <v>104848</v>
      </c>
      <c r="P196" s="10">
        <v>100496</v>
      </c>
      <c r="Q196" s="6">
        <f t="shared" si="4"/>
        <v>1229340</v>
      </c>
      <c r="R196" s="2"/>
    </row>
    <row r="197" spans="1:18">
      <c r="A197" s="1" t="s">
        <v>16</v>
      </c>
      <c r="B197" s="1" t="s">
        <v>486</v>
      </c>
      <c r="C197" s="1" t="s">
        <v>487</v>
      </c>
      <c r="D197" s="6">
        <v>5605934</v>
      </c>
      <c r="E197" s="10">
        <v>379522</v>
      </c>
      <c r="F197" s="10">
        <v>388593</v>
      </c>
      <c r="G197" s="10">
        <v>471032</v>
      </c>
      <c r="H197" s="10">
        <v>488874</v>
      </c>
      <c r="I197" s="10">
        <v>484209</v>
      </c>
      <c r="J197" s="10">
        <v>541906</v>
      </c>
      <c r="K197" s="10">
        <v>511206</v>
      </c>
      <c r="L197" s="10">
        <v>487765</v>
      </c>
      <c r="M197" s="10">
        <v>433993</v>
      </c>
      <c r="N197" s="10">
        <v>486474</v>
      </c>
      <c r="O197" s="10">
        <v>472778</v>
      </c>
      <c r="P197" s="10">
        <v>455148</v>
      </c>
      <c r="Q197" s="6">
        <f t="shared" ref="Q197:Q250" si="6">SUM(E197:P197)</f>
        <v>5601500</v>
      </c>
      <c r="R197" s="2">
        <f t="shared" ref="R197:R250" si="7">Q197/D197-1</f>
        <v>-7.9094759231912448E-4</v>
      </c>
    </row>
    <row r="198" spans="1:18" ht="15.75">
      <c r="A198" s="1" t="s">
        <v>16</v>
      </c>
      <c r="B198" s="1" t="s">
        <v>418</v>
      </c>
      <c r="C198" s="1" t="s">
        <v>506</v>
      </c>
      <c r="D198" s="6">
        <v>9774972</v>
      </c>
      <c r="E198" s="10">
        <v>676702</v>
      </c>
      <c r="F198" s="10">
        <v>630940</v>
      </c>
      <c r="G198" s="10">
        <v>828723</v>
      </c>
      <c r="H198" s="10">
        <v>794969</v>
      </c>
      <c r="I198" s="10">
        <v>889071</v>
      </c>
      <c r="J198" s="10">
        <v>946140</v>
      </c>
      <c r="K198" s="10">
        <v>961586</v>
      </c>
      <c r="L198" s="10">
        <v>860525</v>
      </c>
      <c r="M198" s="10">
        <v>811497</v>
      </c>
      <c r="N198" s="10">
        <v>880994</v>
      </c>
      <c r="O198" s="10">
        <v>821481</v>
      </c>
      <c r="P198" s="10">
        <v>803314</v>
      </c>
      <c r="Q198" s="6">
        <f t="shared" si="6"/>
        <v>9905942</v>
      </c>
      <c r="R198" s="2">
        <f t="shared" si="7"/>
        <v>1.339850385249175E-2</v>
      </c>
    </row>
    <row r="199" spans="1:18">
      <c r="A199" s="1" t="s">
        <v>16</v>
      </c>
      <c r="B199" s="1" t="s">
        <v>445</v>
      </c>
      <c r="C199" s="1" t="s">
        <v>446</v>
      </c>
      <c r="D199" s="6">
        <v>1680716</v>
      </c>
      <c r="E199" s="10">
        <v>110867</v>
      </c>
      <c r="F199" s="10">
        <v>106250</v>
      </c>
      <c r="G199" s="10">
        <v>136418</v>
      </c>
      <c r="H199" s="10">
        <v>134773</v>
      </c>
      <c r="I199" s="10">
        <v>153651</v>
      </c>
      <c r="J199" s="10">
        <v>163010</v>
      </c>
      <c r="K199" s="10">
        <v>162542</v>
      </c>
      <c r="L199" s="10">
        <v>149476</v>
      </c>
      <c r="M199" s="10">
        <v>140855</v>
      </c>
      <c r="N199" s="10">
        <v>158737</v>
      </c>
      <c r="O199" s="10">
        <v>139907</v>
      </c>
      <c r="P199" s="10">
        <v>131907</v>
      </c>
      <c r="Q199" s="6">
        <f t="shared" si="6"/>
        <v>1688393</v>
      </c>
      <c r="R199" s="2">
        <f t="shared" si="7"/>
        <v>4.5676961485461298E-3</v>
      </c>
    </row>
    <row r="200" spans="1:18">
      <c r="A200" s="1" t="s">
        <v>16</v>
      </c>
      <c r="B200" s="1" t="s">
        <v>28</v>
      </c>
      <c r="C200" s="1" t="s">
        <v>29</v>
      </c>
      <c r="D200" s="6">
        <v>40469012</v>
      </c>
      <c r="E200" s="10">
        <v>3015368</v>
      </c>
      <c r="F200" s="10">
        <v>2848833</v>
      </c>
      <c r="G200" s="10">
        <v>3487552</v>
      </c>
      <c r="H200" s="10">
        <v>3385504</v>
      </c>
      <c r="I200" s="10">
        <v>3476021</v>
      </c>
      <c r="J200" s="10">
        <v>3400550</v>
      </c>
      <c r="K200" s="10">
        <v>3518217</v>
      </c>
      <c r="L200" s="10">
        <v>3493158</v>
      </c>
      <c r="M200" s="10">
        <v>3268931</v>
      </c>
      <c r="N200" s="10">
        <v>3584819</v>
      </c>
      <c r="O200" s="10">
        <v>3194730</v>
      </c>
      <c r="P200" s="10">
        <v>3083676</v>
      </c>
      <c r="Q200" s="6">
        <f t="shared" si="6"/>
        <v>39757359</v>
      </c>
      <c r="R200" s="2">
        <f t="shared" si="7"/>
        <v>-1.7585134027981675E-2</v>
      </c>
    </row>
    <row r="201" spans="1:18">
      <c r="A201" s="1" t="s">
        <v>16</v>
      </c>
      <c r="B201" s="1" t="s">
        <v>429</v>
      </c>
      <c r="C201" s="1" t="s">
        <v>430</v>
      </c>
      <c r="D201" s="6">
        <v>2263523</v>
      </c>
      <c r="E201" s="10">
        <v>158421</v>
      </c>
      <c r="F201" s="10">
        <v>154701</v>
      </c>
      <c r="G201" s="10">
        <v>193163</v>
      </c>
      <c r="H201" s="10">
        <v>184821</v>
      </c>
      <c r="I201" s="10">
        <v>203814</v>
      </c>
      <c r="J201" s="10">
        <v>211196</v>
      </c>
      <c r="K201" s="10">
        <v>211617</v>
      </c>
      <c r="L201" s="10">
        <v>194568</v>
      </c>
      <c r="M201" s="10">
        <v>183695</v>
      </c>
      <c r="N201" s="10">
        <v>196942</v>
      </c>
      <c r="O201" s="10">
        <v>183993</v>
      </c>
      <c r="P201" s="10">
        <v>178271</v>
      </c>
      <c r="Q201" s="6">
        <f t="shared" si="6"/>
        <v>2255202</v>
      </c>
      <c r="R201" s="2">
        <f t="shared" si="7"/>
        <v>-3.6761278767655226E-3</v>
      </c>
    </row>
    <row r="202" spans="1:18">
      <c r="A202" s="1" t="s">
        <v>16</v>
      </c>
      <c r="B202" s="1" t="s">
        <v>427</v>
      </c>
      <c r="C202" s="1" t="s">
        <v>428</v>
      </c>
      <c r="D202" s="6">
        <v>2909307</v>
      </c>
      <c r="E202" s="10">
        <v>208412</v>
      </c>
      <c r="F202" s="10">
        <v>193654</v>
      </c>
      <c r="G202" s="10">
        <v>234774</v>
      </c>
      <c r="H202" s="10">
        <v>238638</v>
      </c>
      <c r="I202" s="10">
        <v>258910</v>
      </c>
      <c r="J202" s="10">
        <v>270560</v>
      </c>
      <c r="K202" s="10">
        <v>289001</v>
      </c>
      <c r="L202" s="10">
        <v>295795</v>
      </c>
      <c r="M202" s="10">
        <v>236987</v>
      </c>
      <c r="N202" s="10">
        <v>258160</v>
      </c>
      <c r="O202" s="10">
        <v>242615</v>
      </c>
      <c r="P202" s="10">
        <v>250817</v>
      </c>
      <c r="Q202" s="6">
        <f t="shared" si="6"/>
        <v>2978323</v>
      </c>
      <c r="R202" s="2">
        <f t="shared" si="7"/>
        <v>2.3722487863948372E-2</v>
      </c>
    </row>
    <row r="203" spans="1:18">
      <c r="A203" s="1" t="s">
        <v>16</v>
      </c>
      <c r="B203" s="1" t="s">
        <v>20</v>
      </c>
      <c r="C203" s="1" t="s">
        <v>21</v>
      </c>
      <c r="D203" s="6">
        <v>56520843</v>
      </c>
      <c r="E203" s="10">
        <v>4609720</v>
      </c>
      <c r="F203" s="10">
        <v>3960319</v>
      </c>
      <c r="G203" s="10">
        <v>4812026</v>
      </c>
      <c r="H203" s="10">
        <v>4686946</v>
      </c>
      <c r="I203" s="10">
        <v>4956596</v>
      </c>
      <c r="J203" s="10">
        <v>5311394</v>
      </c>
      <c r="K203" s="10">
        <v>5692861</v>
      </c>
      <c r="L203" s="10">
        <v>5617846</v>
      </c>
      <c r="M203" s="10">
        <v>4695395</v>
      </c>
      <c r="N203" s="10">
        <v>4988085</v>
      </c>
      <c r="O203" s="10">
        <v>4679746</v>
      </c>
      <c r="P203" s="10">
        <v>5049139</v>
      </c>
      <c r="Q203" s="6">
        <f t="shared" si="6"/>
        <v>59060073</v>
      </c>
      <c r="R203" s="2">
        <f t="shared" si="7"/>
        <v>4.4925550738866393E-2</v>
      </c>
    </row>
    <row r="204" spans="1:18">
      <c r="A204" s="1" t="s">
        <v>16</v>
      </c>
      <c r="B204" s="1" t="s">
        <v>507</v>
      </c>
      <c r="C204" s="1" t="s">
        <v>402</v>
      </c>
      <c r="D204" s="6">
        <v>4886695</v>
      </c>
      <c r="E204" s="10">
        <v>364582</v>
      </c>
      <c r="F204" s="10">
        <v>331931</v>
      </c>
      <c r="G204" s="10">
        <v>398429</v>
      </c>
      <c r="H204" s="10">
        <v>411838</v>
      </c>
      <c r="I204" s="10">
        <v>420854</v>
      </c>
      <c r="J204" s="10">
        <v>408800</v>
      </c>
      <c r="K204" s="10">
        <v>438185</v>
      </c>
      <c r="L204" s="10">
        <v>426741</v>
      </c>
      <c r="M204" s="10">
        <v>379478</v>
      </c>
      <c r="N204" s="10">
        <v>411117</v>
      </c>
      <c r="O204" s="10">
        <v>398784</v>
      </c>
      <c r="P204" s="10">
        <v>394730</v>
      </c>
      <c r="Q204" s="6">
        <f t="shared" si="6"/>
        <v>4785469</v>
      </c>
      <c r="R204" s="2">
        <f t="shared" si="7"/>
        <v>-2.071461386479001E-2</v>
      </c>
    </row>
    <row r="205" spans="1:18">
      <c r="A205" s="1" t="s">
        <v>16</v>
      </c>
      <c r="B205" s="1" t="s">
        <v>500</v>
      </c>
      <c r="C205" s="1" t="s">
        <v>501</v>
      </c>
      <c r="D205" s="6">
        <v>3254657</v>
      </c>
      <c r="E205" s="10">
        <v>222326</v>
      </c>
      <c r="F205" s="10">
        <v>223109</v>
      </c>
      <c r="G205" s="10">
        <v>272169</v>
      </c>
      <c r="H205" s="10">
        <v>289575</v>
      </c>
      <c r="I205" s="10">
        <v>298457</v>
      </c>
      <c r="J205" s="10">
        <v>317301</v>
      </c>
      <c r="K205" s="10">
        <v>313041</v>
      </c>
      <c r="L205" s="10">
        <v>275515</v>
      </c>
      <c r="M205" s="10">
        <v>276883</v>
      </c>
      <c r="N205" s="10">
        <v>319518</v>
      </c>
      <c r="O205" s="10">
        <v>277430</v>
      </c>
      <c r="P205" s="10">
        <v>263838</v>
      </c>
      <c r="Q205" s="6">
        <f t="shared" si="6"/>
        <v>3349162</v>
      </c>
      <c r="R205" s="2">
        <f t="shared" si="7"/>
        <v>2.9036853960340503E-2</v>
      </c>
    </row>
    <row r="206" spans="1:18">
      <c r="A206" s="1" t="s">
        <v>16</v>
      </c>
      <c r="B206" s="1" t="s">
        <v>522</v>
      </c>
      <c r="C206" s="1" t="s">
        <v>523</v>
      </c>
      <c r="D206" s="6">
        <v>10229627</v>
      </c>
      <c r="E206" s="10">
        <v>714826</v>
      </c>
      <c r="F206" s="10">
        <v>690778</v>
      </c>
      <c r="G206" s="10">
        <v>877206</v>
      </c>
      <c r="H206" s="10">
        <v>819847</v>
      </c>
      <c r="I206" s="10">
        <v>861943</v>
      </c>
      <c r="J206" s="10">
        <v>922949</v>
      </c>
      <c r="K206" s="10">
        <v>954415</v>
      </c>
      <c r="L206" s="10">
        <v>896336</v>
      </c>
      <c r="M206" s="10">
        <v>816358</v>
      </c>
      <c r="N206" s="10">
        <v>872739</v>
      </c>
      <c r="O206" s="10">
        <v>789935</v>
      </c>
      <c r="P206" s="10">
        <v>785854</v>
      </c>
      <c r="Q206" s="6">
        <f t="shared" si="6"/>
        <v>10003186</v>
      </c>
      <c r="R206" s="2">
        <f t="shared" si="7"/>
        <v>-2.2135802214489297E-2</v>
      </c>
    </row>
    <row r="207" spans="1:18">
      <c r="A207" s="1" t="s">
        <v>16</v>
      </c>
      <c r="B207" s="1" t="s">
        <v>36</v>
      </c>
      <c r="C207" s="1" t="s">
        <v>37</v>
      </c>
      <c r="D207" s="6">
        <v>15970380</v>
      </c>
      <c r="E207" s="10">
        <v>3032886</v>
      </c>
      <c r="F207" s="10">
        <v>2636270</v>
      </c>
      <c r="G207" s="10">
        <v>3111221</v>
      </c>
      <c r="H207" s="10">
        <v>2949100</v>
      </c>
      <c r="I207" s="10">
        <v>2957415</v>
      </c>
      <c r="J207" s="10">
        <v>2980664</v>
      </c>
      <c r="K207" s="10">
        <v>3289059</v>
      </c>
      <c r="L207" s="10">
        <v>3162233</v>
      </c>
      <c r="M207" s="10">
        <v>2542689</v>
      </c>
      <c r="N207" s="10">
        <v>2851206</v>
      </c>
      <c r="O207" s="10">
        <v>2943681</v>
      </c>
      <c r="P207" s="10">
        <v>3241601</v>
      </c>
      <c r="Q207" s="6">
        <f t="shared" si="6"/>
        <v>35698025</v>
      </c>
      <c r="R207" s="2">
        <f t="shared" si="7"/>
        <v>1.2352645960834994</v>
      </c>
    </row>
    <row r="208" spans="1:18">
      <c r="A208" s="1" t="s">
        <v>16</v>
      </c>
      <c r="B208" s="1" t="s">
        <v>346</v>
      </c>
      <c r="C208" s="1" t="s">
        <v>347</v>
      </c>
      <c r="D208" s="6">
        <v>7946562</v>
      </c>
      <c r="E208" s="10">
        <v>681665</v>
      </c>
      <c r="F208" s="10">
        <v>647690</v>
      </c>
      <c r="G208" s="10">
        <v>863504</v>
      </c>
      <c r="H208" s="10">
        <v>832641</v>
      </c>
      <c r="I208" s="10">
        <v>836961</v>
      </c>
      <c r="J208" s="10">
        <v>922984</v>
      </c>
      <c r="K208" s="10">
        <v>928497</v>
      </c>
      <c r="L208" s="10">
        <v>943323</v>
      </c>
      <c r="M208" s="10">
        <v>791123</v>
      </c>
      <c r="N208" s="10">
        <v>834635</v>
      </c>
      <c r="O208" s="10">
        <v>791013</v>
      </c>
      <c r="P208" s="10">
        <v>774341</v>
      </c>
      <c r="Q208" s="6">
        <f t="shared" si="6"/>
        <v>9848377</v>
      </c>
      <c r="R208" s="2">
        <f t="shared" si="7"/>
        <v>0.23932550957256726</v>
      </c>
    </row>
    <row r="209" spans="1:18" ht="15.75">
      <c r="A209" s="1" t="s">
        <v>16</v>
      </c>
      <c r="B209" s="1" t="s">
        <v>387</v>
      </c>
      <c r="C209" s="1" t="s">
        <v>41</v>
      </c>
      <c r="D209" s="6">
        <v>32378599</v>
      </c>
      <c r="E209" s="10">
        <v>2307611</v>
      </c>
      <c r="F209" s="10">
        <v>2260612</v>
      </c>
      <c r="G209" s="10">
        <v>2932351</v>
      </c>
      <c r="H209" s="10">
        <v>2583852</v>
      </c>
      <c r="I209" s="10">
        <v>2681578</v>
      </c>
      <c r="J209" s="10">
        <v>3040537</v>
      </c>
      <c r="K209" s="10">
        <v>3359734</v>
      </c>
      <c r="L209" s="10">
        <v>3162785</v>
      </c>
      <c r="M209" s="10">
        <v>2648895</v>
      </c>
      <c r="N209" s="10">
        <v>2760639</v>
      </c>
      <c r="O209" s="10">
        <v>2472984</v>
      </c>
      <c r="P209" s="10">
        <v>2628242</v>
      </c>
      <c r="Q209" s="6">
        <f t="shared" si="6"/>
        <v>32839820</v>
      </c>
      <c r="R209" s="2">
        <f t="shared" si="7"/>
        <v>1.4244624975898512E-2</v>
      </c>
    </row>
    <row r="210" spans="1:18">
      <c r="A210" s="1" t="s">
        <v>16</v>
      </c>
      <c r="B210" s="1" t="s">
        <v>515</v>
      </c>
      <c r="C210" s="1" t="s">
        <v>516</v>
      </c>
      <c r="D210" s="6"/>
      <c r="E210" s="10">
        <f>33416+32154</f>
        <v>65570</v>
      </c>
      <c r="F210" s="10">
        <f>33385+34887</f>
        <v>68272</v>
      </c>
      <c r="G210" s="10">
        <f>57399+61642</f>
        <v>119041</v>
      </c>
      <c r="H210" s="10">
        <f>69574+76101</f>
        <v>145675</v>
      </c>
      <c r="I210" s="10">
        <f>94551+92849</f>
        <v>187400</v>
      </c>
      <c r="J210" s="10">
        <f>83418+87809</f>
        <v>171227</v>
      </c>
      <c r="K210" s="10">
        <f>111046+117672</f>
        <v>228718</v>
      </c>
      <c r="L210" s="10">
        <f>112584+104055</f>
        <v>216639</v>
      </c>
      <c r="M210" s="10">
        <f>85888+82442</f>
        <v>168330</v>
      </c>
      <c r="N210" s="10">
        <f>86110+83230</f>
        <v>169340</v>
      </c>
      <c r="O210" s="10">
        <f>57819+54419</f>
        <v>112238</v>
      </c>
      <c r="P210" s="10">
        <f>41916+41772</f>
        <v>83688</v>
      </c>
      <c r="Q210" s="6">
        <f t="shared" si="6"/>
        <v>1736138</v>
      </c>
      <c r="R210" s="2"/>
    </row>
    <row r="211" spans="1:18">
      <c r="A211" s="1" t="s">
        <v>16</v>
      </c>
      <c r="B211" s="1" t="s">
        <v>359</v>
      </c>
      <c r="C211" s="1" t="s">
        <v>360</v>
      </c>
      <c r="D211" s="6">
        <v>8936860</v>
      </c>
      <c r="E211" s="10">
        <v>636837</v>
      </c>
      <c r="F211" s="10">
        <v>593508</v>
      </c>
      <c r="G211" s="10">
        <v>752751</v>
      </c>
      <c r="H211" s="10">
        <v>746992</v>
      </c>
      <c r="I211" s="10">
        <v>772261</v>
      </c>
      <c r="J211" s="10">
        <v>851368</v>
      </c>
      <c r="K211" s="10">
        <v>872317</v>
      </c>
      <c r="L211" s="10">
        <v>775750</v>
      </c>
      <c r="M211" s="10">
        <v>738169</v>
      </c>
      <c r="N211" s="10">
        <v>850018</v>
      </c>
      <c r="O211" s="10">
        <v>749009</v>
      </c>
      <c r="P211" s="10">
        <v>737523</v>
      </c>
      <c r="Q211" s="6">
        <f t="shared" si="6"/>
        <v>9076503</v>
      </c>
      <c r="R211" s="2">
        <f t="shared" si="7"/>
        <v>1.5625510526068531E-2</v>
      </c>
    </row>
    <row r="212" spans="1:18">
      <c r="A212" s="1" t="s">
        <v>16</v>
      </c>
      <c r="B212" s="1" t="s">
        <v>405</v>
      </c>
      <c r="C212" s="1" t="s">
        <v>406</v>
      </c>
      <c r="D212" s="6">
        <v>7787373</v>
      </c>
      <c r="E212" s="10">
        <v>579554</v>
      </c>
      <c r="F212" s="10">
        <v>618534</v>
      </c>
      <c r="G212" s="10">
        <v>712160</v>
      </c>
      <c r="H212" s="10">
        <v>740744</v>
      </c>
      <c r="I212" s="10">
        <v>747212</v>
      </c>
      <c r="J212" s="10">
        <v>693757</v>
      </c>
      <c r="K212" s="10">
        <v>714436</v>
      </c>
      <c r="L212" s="10">
        <v>607428</v>
      </c>
      <c r="M212" s="10">
        <v>595218</v>
      </c>
      <c r="N212" s="10">
        <v>760238</v>
      </c>
      <c r="O212" s="10">
        <v>760857</v>
      </c>
      <c r="P212" s="10">
        <v>667730</v>
      </c>
      <c r="Q212" s="6">
        <f t="shared" si="6"/>
        <v>8197868</v>
      </c>
      <c r="R212" s="2">
        <f t="shared" si="7"/>
        <v>5.2712898175032885E-2</v>
      </c>
    </row>
    <row r="213" spans="1:18" ht="15.75">
      <c r="A213" s="1" t="s">
        <v>16</v>
      </c>
      <c r="B213" s="1" t="s">
        <v>388</v>
      </c>
      <c r="C213" s="1" t="s">
        <v>25</v>
      </c>
      <c r="D213" s="6">
        <v>47322573</v>
      </c>
      <c r="E213" s="10">
        <v>3456015</v>
      </c>
      <c r="F213" s="10">
        <v>2959060</v>
      </c>
      <c r="G213" s="10">
        <v>3767374</v>
      </c>
      <c r="H213" s="10">
        <v>3737221</v>
      </c>
      <c r="I213" s="10">
        <v>4053190</v>
      </c>
      <c r="J213" s="10">
        <v>4399541</v>
      </c>
      <c r="K213" s="10">
        <v>4822323</v>
      </c>
      <c r="L213" s="10">
        <v>4849347</v>
      </c>
      <c r="M213" s="10">
        <v>4044911</v>
      </c>
      <c r="N213" s="10">
        <v>4133833</v>
      </c>
      <c r="O213" s="10">
        <v>3859775</v>
      </c>
      <c r="P213" s="10">
        <v>3787640</v>
      </c>
      <c r="Q213" s="6">
        <f t="shared" si="6"/>
        <v>47870230</v>
      </c>
      <c r="R213" s="2">
        <f t="shared" si="7"/>
        <v>1.1572849177072353E-2</v>
      </c>
    </row>
    <row r="214" spans="1:18" ht="15.75">
      <c r="A214" s="1" t="s">
        <v>16</v>
      </c>
      <c r="B214" s="1" t="s">
        <v>389</v>
      </c>
      <c r="C214" s="1" t="s">
        <v>49</v>
      </c>
      <c r="D214" s="6">
        <v>22829249</v>
      </c>
      <c r="E214" s="10">
        <v>1652325</v>
      </c>
      <c r="F214" s="10">
        <v>1499860</v>
      </c>
      <c r="G214" s="10">
        <v>2013496</v>
      </c>
      <c r="H214" s="10">
        <v>2125984</v>
      </c>
      <c r="I214" s="10">
        <v>2192194</v>
      </c>
      <c r="J214" s="10">
        <v>2192761</v>
      </c>
      <c r="K214" s="10">
        <v>2254287</v>
      </c>
      <c r="L214" s="10">
        <v>2352433</v>
      </c>
      <c r="M214" s="10">
        <v>2093965</v>
      </c>
      <c r="N214" s="10">
        <v>2244112</v>
      </c>
      <c r="O214" s="10">
        <v>2117369</v>
      </c>
      <c r="P214" s="10">
        <v>1983184</v>
      </c>
      <c r="Q214" s="6">
        <f t="shared" si="6"/>
        <v>24721970</v>
      </c>
      <c r="R214" s="2">
        <f t="shared" si="7"/>
        <v>8.2907720705135857E-2</v>
      </c>
    </row>
    <row r="215" spans="1:18" ht="15.75">
      <c r="A215" s="1" t="s">
        <v>16</v>
      </c>
      <c r="B215" s="1" t="s">
        <v>390</v>
      </c>
      <c r="C215" s="1" t="s">
        <v>40</v>
      </c>
      <c r="D215" s="6">
        <v>34391227</v>
      </c>
      <c r="E215" s="10">
        <v>2541165</v>
      </c>
      <c r="F215" s="10">
        <v>2207525</v>
      </c>
      <c r="G215" s="10">
        <v>2992206</v>
      </c>
      <c r="H215" s="10">
        <v>2911774</v>
      </c>
      <c r="I215" s="10">
        <v>2955026</v>
      </c>
      <c r="J215" s="10">
        <v>3108080</v>
      </c>
      <c r="K215" s="10">
        <v>3322891</v>
      </c>
      <c r="L215" s="10">
        <v>3300522</v>
      </c>
      <c r="M215" s="10">
        <v>2673385</v>
      </c>
      <c r="N215" s="10">
        <v>2867995</v>
      </c>
      <c r="O215" s="10">
        <v>2696410</v>
      </c>
      <c r="P215" s="10">
        <v>2581093</v>
      </c>
      <c r="Q215" s="6">
        <f t="shared" si="6"/>
        <v>34158072</v>
      </c>
      <c r="R215" s="2">
        <f t="shared" si="7"/>
        <v>-6.7794905950869788E-3</v>
      </c>
    </row>
    <row r="216" spans="1:18">
      <c r="A216" s="1" t="s">
        <v>16</v>
      </c>
      <c r="B216" s="1" t="s">
        <v>419</v>
      </c>
      <c r="C216" s="1" t="s">
        <v>420</v>
      </c>
      <c r="D216" s="6">
        <v>3409456</v>
      </c>
      <c r="E216" s="10">
        <v>220276</v>
      </c>
      <c r="F216" s="10">
        <v>199697</v>
      </c>
      <c r="G216" s="10">
        <v>258970</v>
      </c>
      <c r="H216" s="10">
        <v>278855</v>
      </c>
      <c r="I216" s="10">
        <v>300000</v>
      </c>
      <c r="J216" s="10">
        <v>322738</v>
      </c>
      <c r="K216" s="10">
        <v>344934</v>
      </c>
      <c r="L216" s="10">
        <v>336145</v>
      </c>
      <c r="M216" s="10">
        <v>273183</v>
      </c>
      <c r="N216" s="10">
        <v>278783</v>
      </c>
      <c r="O216" s="10">
        <v>263260</v>
      </c>
      <c r="P216" s="10">
        <v>255625</v>
      </c>
      <c r="Q216" s="6">
        <f t="shared" si="6"/>
        <v>3332466</v>
      </c>
      <c r="R216" s="2">
        <f t="shared" si="7"/>
        <v>-2.2581315025036242E-2</v>
      </c>
    </row>
    <row r="217" spans="1:18">
      <c r="A217" s="1" t="s">
        <v>16</v>
      </c>
      <c r="B217" s="1" t="s">
        <v>357</v>
      </c>
      <c r="C217" s="1" t="s">
        <v>358</v>
      </c>
      <c r="D217" s="6">
        <v>9505281</v>
      </c>
      <c r="E217" s="10">
        <v>712639</v>
      </c>
      <c r="F217" s="10">
        <v>648044</v>
      </c>
      <c r="G217" s="10">
        <v>781414</v>
      </c>
      <c r="H217" s="10">
        <v>778865</v>
      </c>
      <c r="I217" s="10">
        <v>792823</v>
      </c>
      <c r="J217" s="10">
        <v>865008</v>
      </c>
      <c r="K217" s="10">
        <v>884639</v>
      </c>
      <c r="L217" s="10">
        <v>896099</v>
      </c>
      <c r="M217" s="10">
        <v>782489</v>
      </c>
      <c r="N217" s="10">
        <v>827632</v>
      </c>
      <c r="O217" s="10">
        <v>779281</v>
      </c>
      <c r="P217" s="10">
        <v>793400</v>
      </c>
      <c r="Q217" s="6">
        <f t="shared" si="6"/>
        <v>9542333</v>
      </c>
      <c r="R217" s="2">
        <f t="shared" si="7"/>
        <v>3.8980436243809535E-3</v>
      </c>
    </row>
    <row r="218" spans="1:18">
      <c r="A218" s="1" t="s">
        <v>16</v>
      </c>
      <c r="B218" s="1" t="s">
        <v>453</v>
      </c>
      <c r="C218" s="1" t="s">
        <v>454</v>
      </c>
      <c r="D218" s="6">
        <v>3384671</v>
      </c>
      <c r="E218" s="10">
        <v>226677</v>
      </c>
      <c r="F218" s="10">
        <v>219162</v>
      </c>
      <c r="G218" s="10">
        <v>277836</v>
      </c>
      <c r="H218" s="10">
        <v>283678</v>
      </c>
      <c r="I218" s="10">
        <v>316328</v>
      </c>
      <c r="J218" s="10">
        <v>329128</v>
      </c>
      <c r="K218" s="10">
        <v>329092</v>
      </c>
      <c r="L218" s="10">
        <v>304322</v>
      </c>
      <c r="M218" s="10">
        <v>293018</v>
      </c>
      <c r="N218" s="10">
        <v>313959</v>
      </c>
      <c r="O218" s="10">
        <v>288374</v>
      </c>
      <c r="P218" s="10">
        <v>284553</v>
      </c>
      <c r="Q218" s="6">
        <f t="shared" si="6"/>
        <v>3466127</v>
      </c>
      <c r="R218" s="2">
        <f t="shared" si="7"/>
        <v>2.4066150003944298E-2</v>
      </c>
    </row>
    <row r="219" spans="1:18">
      <c r="A219" s="1" t="s">
        <v>16</v>
      </c>
      <c r="B219" s="1" t="s">
        <v>412</v>
      </c>
      <c r="C219" s="1" t="s">
        <v>413</v>
      </c>
      <c r="D219" s="6">
        <v>4217718</v>
      </c>
      <c r="E219" s="10">
        <v>292092</v>
      </c>
      <c r="F219" s="10">
        <v>295485</v>
      </c>
      <c r="G219" s="10">
        <v>381003</v>
      </c>
      <c r="H219" s="10">
        <v>352059</v>
      </c>
      <c r="I219" s="10">
        <v>382256</v>
      </c>
      <c r="J219" s="10">
        <v>415914</v>
      </c>
      <c r="K219" s="10">
        <v>413486</v>
      </c>
      <c r="L219" s="10">
        <v>363839</v>
      </c>
      <c r="M219" s="10">
        <v>348185</v>
      </c>
      <c r="N219" s="10">
        <v>376959</v>
      </c>
      <c r="O219" s="10">
        <v>335385</v>
      </c>
      <c r="P219" s="10">
        <v>330765</v>
      </c>
      <c r="Q219" s="6">
        <f t="shared" si="6"/>
        <v>4287428</v>
      </c>
      <c r="R219" s="2">
        <f t="shared" si="7"/>
        <v>1.6527894942241383E-2</v>
      </c>
    </row>
    <row r="220" spans="1:18">
      <c r="A220" s="1" t="s">
        <v>16</v>
      </c>
      <c r="B220" s="1" t="s">
        <v>38</v>
      </c>
      <c r="C220" s="1" t="s">
        <v>39</v>
      </c>
      <c r="D220" s="6">
        <v>33693649</v>
      </c>
      <c r="E220" s="10">
        <v>2766647.3369999998</v>
      </c>
      <c r="F220" s="10">
        <v>2592956.4690999999</v>
      </c>
      <c r="G220" s="10">
        <v>3274318.8741000001</v>
      </c>
      <c r="H220" s="10">
        <v>3003808.0383000001</v>
      </c>
      <c r="I220" s="10">
        <v>2919596.46</v>
      </c>
      <c r="J220" s="10">
        <v>2937692.8755999999</v>
      </c>
      <c r="K220" s="10">
        <v>3263288</v>
      </c>
      <c r="L220" s="10">
        <v>2991999</v>
      </c>
      <c r="M220" s="10">
        <v>2363914</v>
      </c>
      <c r="N220" s="10">
        <v>2877855</v>
      </c>
      <c r="O220" s="10">
        <v>2858584</v>
      </c>
      <c r="P220" s="10">
        <v>2998413</v>
      </c>
      <c r="Q220" s="6">
        <f t="shared" si="6"/>
        <v>34849073.054099999</v>
      </c>
      <c r="R220" s="2">
        <f t="shared" si="7"/>
        <v>3.4292042814953128E-2</v>
      </c>
    </row>
    <row r="221" spans="1:18">
      <c r="A221" s="1" t="s">
        <v>16</v>
      </c>
      <c r="B221" s="1" t="s">
        <v>441</v>
      </c>
      <c r="C221" s="1" t="s">
        <v>442</v>
      </c>
      <c r="D221" s="6">
        <v>1702412</v>
      </c>
      <c r="E221" s="10">
        <v>113199</v>
      </c>
      <c r="F221" s="10">
        <v>84304</v>
      </c>
      <c r="G221" s="10">
        <v>94752</v>
      </c>
      <c r="H221" s="10">
        <v>94668</v>
      </c>
      <c r="I221" s="10">
        <v>90986</v>
      </c>
      <c r="J221" s="10">
        <v>110662</v>
      </c>
      <c r="K221" s="10">
        <v>142621</v>
      </c>
      <c r="L221" s="10">
        <v>125537</v>
      </c>
      <c r="M221" s="10">
        <v>81531</v>
      </c>
      <c r="N221" s="10">
        <v>86856</v>
      </c>
      <c r="O221" s="10">
        <v>63188</v>
      </c>
      <c r="P221" s="10">
        <v>77131</v>
      </c>
      <c r="Q221" s="6">
        <f t="shared" si="6"/>
        <v>1165435</v>
      </c>
      <c r="R221" s="2">
        <f t="shared" si="7"/>
        <v>-0.31542129637244098</v>
      </c>
    </row>
    <row r="222" spans="1:18">
      <c r="A222" s="1" t="s">
        <v>16</v>
      </c>
      <c r="B222" s="1" t="s">
        <v>400</v>
      </c>
      <c r="C222" s="1" t="s">
        <v>401</v>
      </c>
      <c r="D222" s="6">
        <v>5994606</v>
      </c>
      <c r="E222" s="10">
        <v>555746</v>
      </c>
      <c r="F222" s="10">
        <v>553515</v>
      </c>
      <c r="G222" s="10">
        <v>708640</v>
      </c>
      <c r="H222" s="10">
        <v>585014</v>
      </c>
      <c r="I222" s="10">
        <v>454873</v>
      </c>
      <c r="J222" s="10">
        <v>410832</v>
      </c>
      <c r="K222" s="10">
        <v>417809</v>
      </c>
      <c r="L222" s="10">
        <v>409072</v>
      </c>
      <c r="M222" s="10">
        <v>337899</v>
      </c>
      <c r="N222" s="10">
        <v>412892</v>
      </c>
      <c r="O222" s="10">
        <v>504441</v>
      </c>
      <c r="P222" s="10">
        <v>536990</v>
      </c>
      <c r="Q222" s="6">
        <f t="shared" si="6"/>
        <v>5887723</v>
      </c>
      <c r="R222" s="2">
        <f t="shared" si="7"/>
        <v>-1.7829862379612593E-2</v>
      </c>
    </row>
    <row r="223" spans="1:18">
      <c r="A223" s="1" t="s">
        <v>16</v>
      </c>
      <c r="B223" s="1" t="s">
        <v>455</v>
      </c>
      <c r="C223" s="1" t="s">
        <v>456</v>
      </c>
      <c r="D223" s="6">
        <v>1465751</v>
      </c>
      <c r="E223" s="10">
        <v>155635</v>
      </c>
      <c r="F223" s="10">
        <v>170659</v>
      </c>
      <c r="G223" s="10">
        <v>216859</v>
      </c>
      <c r="H223" s="10">
        <v>168144</v>
      </c>
      <c r="I223" s="10">
        <v>115061</v>
      </c>
      <c r="J223" s="10">
        <v>70293</v>
      </c>
      <c r="K223" s="10">
        <v>64474</v>
      </c>
      <c r="L223" s="10">
        <v>64873</v>
      </c>
      <c r="M223" s="10">
        <v>75925</v>
      </c>
      <c r="N223" s="10">
        <v>109896</v>
      </c>
      <c r="O223" s="10">
        <v>144697</v>
      </c>
      <c r="P223" s="10">
        <v>138651</v>
      </c>
      <c r="Q223" s="6">
        <f t="shared" si="6"/>
        <v>1495167</v>
      </c>
      <c r="R223" s="2">
        <f t="shared" si="7"/>
        <v>2.0068893011159439E-2</v>
      </c>
    </row>
    <row r="224" spans="1:18">
      <c r="A224" s="1" t="s">
        <v>16</v>
      </c>
      <c r="B224" s="1" t="s">
        <v>46</v>
      </c>
      <c r="C224" s="1" t="s">
        <v>47</v>
      </c>
      <c r="D224" s="6">
        <v>30669564</v>
      </c>
      <c r="E224" s="10">
        <v>2173114</v>
      </c>
      <c r="F224" s="10">
        <v>1819211</v>
      </c>
      <c r="G224" s="10">
        <v>2620553</v>
      </c>
      <c r="H224" s="10">
        <v>2582079</v>
      </c>
      <c r="I224" s="10">
        <v>2706748</v>
      </c>
      <c r="J224" s="10">
        <v>2817751</v>
      </c>
      <c r="K224" s="10">
        <v>2922850</v>
      </c>
      <c r="L224" s="10">
        <v>2965082</v>
      </c>
      <c r="M224" s="10">
        <v>2558817</v>
      </c>
      <c r="N224" s="10">
        <v>2720251</v>
      </c>
      <c r="O224" s="10">
        <v>2490760</v>
      </c>
      <c r="P224" s="10">
        <v>2398505</v>
      </c>
      <c r="Q224" s="6">
        <f t="shared" si="6"/>
        <v>30775721</v>
      </c>
      <c r="R224" s="2">
        <f t="shared" si="7"/>
        <v>3.4613142853938683E-3</v>
      </c>
    </row>
    <row r="225" spans="1:19">
      <c r="A225" s="1" t="s">
        <v>16</v>
      </c>
      <c r="B225" s="1" t="s">
        <v>32</v>
      </c>
      <c r="C225" s="1" t="s">
        <v>33</v>
      </c>
      <c r="D225" s="6">
        <v>37824982</v>
      </c>
      <c r="E225" s="10">
        <v>3065207</v>
      </c>
      <c r="F225" s="10">
        <v>2904452</v>
      </c>
      <c r="G225" s="10">
        <v>3584403</v>
      </c>
      <c r="H225" s="10">
        <v>3305001</v>
      </c>
      <c r="I225" s="10">
        <v>3268611</v>
      </c>
      <c r="J225" s="10">
        <v>3305128</v>
      </c>
      <c r="K225" s="10">
        <v>3319701</v>
      </c>
      <c r="L225" s="10">
        <v>3132493</v>
      </c>
      <c r="M225" s="10">
        <v>2908336</v>
      </c>
      <c r="N225" s="10">
        <v>3256306</v>
      </c>
      <c r="O225" s="10">
        <v>3175863</v>
      </c>
      <c r="P225" s="10">
        <v>3329029</v>
      </c>
      <c r="Q225" s="6">
        <f t="shared" si="6"/>
        <v>38554530</v>
      </c>
      <c r="R225" s="2">
        <f t="shared" si="7"/>
        <v>1.9287464565085566E-2</v>
      </c>
    </row>
    <row r="226" spans="1:19">
      <c r="A226" s="1" t="s">
        <v>16</v>
      </c>
      <c r="B226" s="1" t="s">
        <v>510</v>
      </c>
      <c r="C226" s="1" t="s">
        <v>511</v>
      </c>
      <c r="D226" s="6">
        <v>579059</v>
      </c>
      <c r="E226" s="10">
        <v>58070</v>
      </c>
      <c r="F226" s="10">
        <v>61589</v>
      </c>
      <c r="G226" s="10">
        <v>88792</v>
      </c>
      <c r="H226" s="10">
        <v>64405</v>
      </c>
      <c r="I226" s="10">
        <v>58195</v>
      </c>
      <c r="J226" s="10">
        <v>69645</v>
      </c>
      <c r="K226" s="10">
        <v>78434</v>
      </c>
      <c r="L226" s="10">
        <v>62235</v>
      </c>
      <c r="M226" s="10">
        <v>55784</v>
      </c>
      <c r="N226" s="10">
        <v>57138</v>
      </c>
      <c r="O226" s="10">
        <v>66930</v>
      </c>
      <c r="P226" s="10">
        <v>83123</v>
      </c>
      <c r="Q226" s="6">
        <f t="shared" si="6"/>
        <v>804340</v>
      </c>
      <c r="R226" s="2">
        <f t="shared" si="7"/>
        <v>0.3890467119930785</v>
      </c>
    </row>
    <row r="227" spans="1:19">
      <c r="A227" s="1" t="s">
        <v>16</v>
      </c>
      <c r="B227" s="1" t="s">
        <v>344</v>
      </c>
      <c r="C227" s="1" t="s">
        <v>345</v>
      </c>
      <c r="D227" s="6">
        <v>8031175</v>
      </c>
      <c r="E227" s="10">
        <v>547799</v>
      </c>
      <c r="F227" s="10">
        <v>497237</v>
      </c>
      <c r="G227" s="10">
        <v>681532</v>
      </c>
      <c r="H227" s="10">
        <v>669551</v>
      </c>
      <c r="I227" s="10">
        <v>711437</v>
      </c>
      <c r="J227" s="10">
        <v>750650</v>
      </c>
      <c r="K227" s="10">
        <v>781057</v>
      </c>
      <c r="L227" s="10">
        <v>753383</v>
      </c>
      <c r="M227" s="10">
        <v>680549</v>
      </c>
      <c r="N227" s="10">
        <v>757363</v>
      </c>
      <c r="O227" s="10">
        <v>698668</v>
      </c>
      <c r="P227" s="10">
        <v>666133</v>
      </c>
      <c r="Q227" s="6">
        <f t="shared" si="6"/>
        <v>8195359</v>
      </c>
      <c r="R227" s="2">
        <f t="shared" si="7"/>
        <v>2.0443334879391761E-2</v>
      </c>
    </row>
    <row r="228" spans="1:19">
      <c r="A228" s="1" t="s">
        <v>16</v>
      </c>
      <c r="B228" s="1" t="s">
        <v>62</v>
      </c>
      <c r="C228" s="1" t="s">
        <v>63</v>
      </c>
      <c r="D228" s="6">
        <v>12929675</v>
      </c>
      <c r="E228" s="10">
        <v>888906</v>
      </c>
      <c r="F228" s="10">
        <v>843839</v>
      </c>
      <c r="G228" s="10">
        <v>1059760</v>
      </c>
      <c r="H228" s="10">
        <v>1011290</v>
      </c>
      <c r="I228" s="10">
        <v>1096898</v>
      </c>
      <c r="J228" s="10">
        <v>1224419</v>
      </c>
      <c r="K228" s="10">
        <v>1317012</v>
      </c>
      <c r="L228" s="10">
        <v>1322198</v>
      </c>
      <c r="M228" s="10">
        <v>1128595</v>
      </c>
      <c r="N228" s="10">
        <v>1117465</v>
      </c>
      <c r="O228" s="10">
        <v>1060752</v>
      </c>
      <c r="P228" s="10">
        <v>1121723</v>
      </c>
      <c r="Q228" s="6">
        <f t="shared" si="6"/>
        <v>13192857</v>
      </c>
      <c r="R228" s="2">
        <f t="shared" si="7"/>
        <v>2.0354881309855077E-2</v>
      </c>
    </row>
    <row r="229" spans="1:19">
      <c r="A229" s="1" t="s">
        <v>16</v>
      </c>
      <c r="B229" s="1" t="s">
        <v>408</v>
      </c>
      <c r="C229" s="1" t="s">
        <v>409</v>
      </c>
      <c r="D229" s="6">
        <v>4328741</v>
      </c>
      <c r="E229" s="10">
        <v>272254</v>
      </c>
      <c r="F229" s="10">
        <v>257143</v>
      </c>
      <c r="G229" s="10">
        <v>326256</v>
      </c>
      <c r="H229" s="10">
        <v>342365</v>
      </c>
      <c r="I229" s="10">
        <v>345670</v>
      </c>
      <c r="J229" s="10">
        <v>350394</v>
      </c>
      <c r="K229" s="10">
        <v>376879</v>
      </c>
      <c r="L229" s="10">
        <v>378736</v>
      </c>
      <c r="M229" s="10">
        <v>319391</v>
      </c>
      <c r="N229" s="10">
        <v>364045</v>
      </c>
      <c r="O229" s="10">
        <v>315784</v>
      </c>
      <c r="P229" s="10">
        <v>287506</v>
      </c>
      <c r="Q229" s="6">
        <f t="shared" si="6"/>
        <v>3936423</v>
      </c>
      <c r="R229" s="2">
        <f t="shared" si="7"/>
        <v>-9.0630970991334436E-2</v>
      </c>
    </row>
    <row r="230" spans="1:19">
      <c r="A230" s="1" t="s">
        <v>16</v>
      </c>
      <c r="B230" s="1" t="s">
        <v>355</v>
      </c>
      <c r="C230" s="1" t="s">
        <v>356</v>
      </c>
      <c r="D230" s="6">
        <v>8970725</v>
      </c>
      <c r="E230" s="10">
        <v>628979</v>
      </c>
      <c r="F230" s="10">
        <v>575487</v>
      </c>
      <c r="G230" s="10">
        <v>744084</v>
      </c>
      <c r="H230" s="10">
        <v>761366</v>
      </c>
      <c r="I230" s="10">
        <v>792853</v>
      </c>
      <c r="J230" s="10">
        <v>829009</v>
      </c>
      <c r="K230" s="10">
        <v>856960</v>
      </c>
      <c r="L230" s="10">
        <v>813751</v>
      </c>
      <c r="M230" s="10">
        <v>728758</v>
      </c>
      <c r="N230" s="10">
        <v>823705</v>
      </c>
      <c r="O230" s="10">
        <v>785084</v>
      </c>
      <c r="P230" s="10">
        <v>761884</v>
      </c>
      <c r="Q230" s="6">
        <f t="shared" si="6"/>
        <v>9101920</v>
      </c>
      <c r="R230" s="2">
        <f t="shared" si="7"/>
        <v>1.4624793425280558E-2</v>
      </c>
    </row>
    <row r="231" spans="1:19">
      <c r="A231" s="1" t="s">
        <v>16</v>
      </c>
      <c r="B231" s="1" t="s">
        <v>410</v>
      </c>
      <c r="C231" s="1" t="s">
        <v>411</v>
      </c>
      <c r="D231" s="6">
        <v>3755935</v>
      </c>
      <c r="E231" s="10">
        <v>293456</v>
      </c>
      <c r="F231" s="10">
        <v>294787</v>
      </c>
      <c r="G231" s="10">
        <v>346846</v>
      </c>
      <c r="H231" s="10">
        <v>309533</v>
      </c>
      <c r="I231" s="10">
        <v>312378</v>
      </c>
      <c r="J231" s="10">
        <v>361406</v>
      </c>
      <c r="K231" s="10">
        <v>367997</v>
      </c>
      <c r="L231" s="10">
        <v>352764</v>
      </c>
      <c r="M231" s="10">
        <v>305774</v>
      </c>
      <c r="N231" s="10">
        <v>306718</v>
      </c>
      <c r="O231" s="10">
        <v>269678</v>
      </c>
      <c r="P231" s="10">
        <v>300467</v>
      </c>
      <c r="Q231" s="6">
        <f t="shared" si="6"/>
        <v>3821804</v>
      </c>
      <c r="R231" s="2">
        <f t="shared" si="7"/>
        <v>1.7537310949204299E-2</v>
      </c>
    </row>
    <row r="232" spans="1:19">
      <c r="A232" s="1" t="s">
        <v>16</v>
      </c>
      <c r="B232" s="1" t="s">
        <v>425</v>
      </c>
      <c r="C232" s="1" t="s">
        <v>426</v>
      </c>
      <c r="D232" s="6">
        <v>3305199</v>
      </c>
      <c r="E232" s="10">
        <v>218427</v>
      </c>
      <c r="F232" s="10">
        <v>209064</v>
      </c>
      <c r="G232" s="10">
        <v>268499</v>
      </c>
      <c r="H232" s="10">
        <v>284218</v>
      </c>
      <c r="I232" s="10">
        <v>296244</v>
      </c>
      <c r="J232" s="10">
        <v>298140</v>
      </c>
      <c r="K232" s="10">
        <v>307931</v>
      </c>
      <c r="L232" s="10">
        <v>310742</v>
      </c>
      <c r="M232" s="10">
        <v>278145</v>
      </c>
      <c r="N232" s="10">
        <v>307191</v>
      </c>
      <c r="O232" s="10">
        <v>277214</v>
      </c>
      <c r="P232" s="10">
        <v>255932</v>
      </c>
      <c r="Q232" s="6">
        <f t="shared" si="6"/>
        <v>3311747</v>
      </c>
      <c r="R232" s="2">
        <f t="shared" si="7"/>
        <v>1.98112125775185E-3</v>
      </c>
    </row>
    <row r="233" spans="1:19">
      <c r="A233" s="1" t="s">
        <v>16</v>
      </c>
      <c r="B233" s="1" t="s">
        <v>519</v>
      </c>
      <c r="C233" s="1" t="s">
        <v>520</v>
      </c>
      <c r="D233" s="6">
        <v>8914510</v>
      </c>
      <c r="E233" s="10">
        <v>639149</v>
      </c>
      <c r="F233" s="10">
        <v>595474</v>
      </c>
      <c r="G233" s="10">
        <v>728723</v>
      </c>
      <c r="H233" s="10">
        <v>740771</v>
      </c>
      <c r="I233" s="10">
        <v>783471</v>
      </c>
      <c r="J233" s="10">
        <v>842687</v>
      </c>
      <c r="K233" s="10">
        <v>840074</v>
      </c>
      <c r="L233" s="10">
        <v>788783</v>
      </c>
      <c r="M233" s="10">
        <v>712369</v>
      </c>
      <c r="N233" s="10">
        <v>752286</v>
      </c>
      <c r="O233" s="10">
        <v>712700</v>
      </c>
      <c r="P233" s="10">
        <v>714810</v>
      </c>
      <c r="Q233" s="6">
        <f t="shared" si="6"/>
        <v>8851297</v>
      </c>
      <c r="R233" s="2">
        <f t="shared" si="7"/>
        <v>-7.0910235111071307E-3</v>
      </c>
      <c r="S233" s="13"/>
    </row>
    <row r="234" spans="1:19">
      <c r="A234" s="1" t="s">
        <v>16</v>
      </c>
      <c r="B234" s="1" t="s">
        <v>54</v>
      </c>
      <c r="C234" s="1" t="s">
        <v>55</v>
      </c>
      <c r="D234" s="6">
        <v>20432218</v>
      </c>
      <c r="E234" s="10">
        <v>1619697</v>
      </c>
      <c r="F234" s="10">
        <v>1503000</v>
      </c>
      <c r="G234" s="10">
        <v>1796895</v>
      </c>
      <c r="H234" s="10">
        <v>1641421</v>
      </c>
      <c r="I234" s="10">
        <v>1637908</v>
      </c>
      <c r="J234" s="10">
        <v>1908386</v>
      </c>
      <c r="K234" s="10">
        <v>2044017</v>
      </c>
      <c r="L234" s="10">
        <v>1998319</v>
      </c>
      <c r="M234" s="10">
        <v>1718756</v>
      </c>
      <c r="N234" s="10">
        <v>1750908</v>
      </c>
      <c r="O234" s="10">
        <v>1589143</v>
      </c>
      <c r="P234" s="10">
        <v>1693083</v>
      </c>
      <c r="Q234" s="6">
        <f t="shared" si="6"/>
        <v>20901533</v>
      </c>
      <c r="R234" s="2">
        <f t="shared" si="7"/>
        <v>2.2969361427134238E-2</v>
      </c>
    </row>
    <row r="235" spans="1:19">
      <c r="A235" s="1" t="s">
        <v>16</v>
      </c>
      <c r="B235" s="1" t="s">
        <v>396</v>
      </c>
      <c r="C235" s="1" t="s">
        <v>397</v>
      </c>
      <c r="D235" s="6">
        <v>7838221</v>
      </c>
      <c r="E235" s="10">
        <v>574795</v>
      </c>
      <c r="F235" s="10">
        <v>537656</v>
      </c>
      <c r="G235" s="10">
        <v>699637</v>
      </c>
      <c r="H235" s="10">
        <v>676398</v>
      </c>
      <c r="I235" s="10">
        <v>683232</v>
      </c>
      <c r="J235" s="10">
        <v>748068</v>
      </c>
      <c r="K235" s="10">
        <v>783401</v>
      </c>
      <c r="L235" s="10">
        <v>692209</v>
      </c>
      <c r="M235" s="10">
        <v>604230</v>
      </c>
      <c r="N235" s="10">
        <v>701913</v>
      </c>
      <c r="O235" s="10">
        <v>662645</v>
      </c>
      <c r="P235" s="10">
        <v>670332</v>
      </c>
      <c r="Q235" s="6">
        <f t="shared" si="6"/>
        <v>8034516</v>
      </c>
      <c r="R235" s="2">
        <f t="shared" si="7"/>
        <v>2.5043310210314251E-2</v>
      </c>
    </row>
    <row r="236" spans="1:19">
      <c r="A236" s="1" t="s">
        <v>16</v>
      </c>
      <c r="B236" s="1" t="s">
        <v>58</v>
      </c>
      <c r="C236" s="1" t="s">
        <v>59</v>
      </c>
      <c r="D236" s="6">
        <v>16974172</v>
      </c>
      <c r="E236" s="10">
        <v>1250798</v>
      </c>
      <c r="F236" s="10">
        <v>1159055</v>
      </c>
      <c r="G236" s="10">
        <v>1402375</v>
      </c>
      <c r="H236" s="10">
        <v>1383474</v>
      </c>
      <c r="I236" s="10">
        <v>1403937</v>
      </c>
      <c r="J236" s="10">
        <v>1515604</v>
      </c>
      <c r="K236" s="10">
        <v>1636627</v>
      </c>
      <c r="L236" s="10">
        <v>1605790</v>
      </c>
      <c r="M236" s="10">
        <v>1355434</v>
      </c>
      <c r="N236" s="10">
        <v>1447752</v>
      </c>
      <c r="O236" s="10">
        <v>1362959</v>
      </c>
      <c r="P236" s="10">
        <v>1365817</v>
      </c>
      <c r="Q236" s="6">
        <f t="shared" si="6"/>
        <v>16889622</v>
      </c>
      <c r="R236" s="2">
        <f t="shared" si="7"/>
        <v>-4.9810971633844625E-3</v>
      </c>
    </row>
    <row r="237" spans="1:19">
      <c r="A237" s="1" t="s">
        <v>16</v>
      </c>
      <c r="B237" s="1" t="s">
        <v>30</v>
      </c>
      <c r="C237" s="1" t="s">
        <v>31</v>
      </c>
      <c r="D237" s="6">
        <v>37453634</v>
      </c>
      <c r="E237" s="10">
        <v>2796566</v>
      </c>
      <c r="F237" s="10">
        <v>2524760</v>
      </c>
      <c r="G237" s="10">
        <v>3118364</v>
      </c>
      <c r="H237" s="10">
        <v>3151412</v>
      </c>
      <c r="I237" s="10">
        <v>3390714</v>
      </c>
      <c r="J237" s="10">
        <v>3626272</v>
      </c>
      <c r="K237" s="10">
        <v>3778957</v>
      </c>
      <c r="L237" s="10">
        <v>3785346</v>
      </c>
      <c r="M237" s="10">
        <v>3367415</v>
      </c>
      <c r="N237" s="10">
        <v>3502275</v>
      </c>
      <c r="O237" s="10">
        <v>3172057</v>
      </c>
      <c r="P237" s="10">
        <v>3117096</v>
      </c>
      <c r="Q237" s="6">
        <f t="shared" si="6"/>
        <v>39331234</v>
      </c>
      <c r="R237" s="2">
        <f t="shared" si="7"/>
        <v>5.0131317030545075E-2</v>
      </c>
    </row>
    <row r="238" spans="1:19">
      <c r="A238" s="1" t="s">
        <v>16</v>
      </c>
      <c r="B238" s="1" t="s">
        <v>493</v>
      </c>
      <c r="C238" s="1" t="s">
        <v>494</v>
      </c>
      <c r="D238" s="6">
        <v>8321750</v>
      </c>
      <c r="E238" s="10">
        <v>581733</v>
      </c>
      <c r="F238" s="10">
        <v>554479</v>
      </c>
      <c r="G238" s="10">
        <v>664490</v>
      </c>
      <c r="H238" s="10">
        <v>684150</v>
      </c>
      <c r="I238" s="10">
        <v>706350</v>
      </c>
      <c r="J238" s="10">
        <v>756344</v>
      </c>
      <c r="K238" s="10">
        <v>774559</v>
      </c>
      <c r="L238" s="10">
        <v>755525</v>
      </c>
      <c r="M238" s="10">
        <v>670541</v>
      </c>
      <c r="N238" s="10">
        <v>713828</v>
      </c>
      <c r="O238" s="10">
        <v>687833</v>
      </c>
      <c r="P238" s="10">
        <v>696232</v>
      </c>
      <c r="Q238" s="6">
        <f t="shared" si="6"/>
        <v>8246064</v>
      </c>
      <c r="R238" s="2">
        <f t="shared" si="7"/>
        <v>-9.0949619971760765E-3</v>
      </c>
    </row>
    <row r="239" spans="1:19" ht="15.75">
      <c r="A239" s="1" t="s">
        <v>16</v>
      </c>
      <c r="B239" s="1" t="s">
        <v>504</v>
      </c>
      <c r="C239" s="1" t="s">
        <v>492</v>
      </c>
      <c r="D239" s="6">
        <v>8705199</v>
      </c>
      <c r="E239" s="10">
        <v>651224</v>
      </c>
      <c r="F239" s="10">
        <v>599114</v>
      </c>
      <c r="G239" s="10">
        <v>736104</v>
      </c>
      <c r="H239" s="10">
        <v>745302</v>
      </c>
      <c r="I239" s="10">
        <v>739421</v>
      </c>
      <c r="J239" s="10">
        <v>772155</v>
      </c>
      <c r="K239" s="10">
        <v>792532</v>
      </c>
      <c r="L239" s="10">
        <v>802065</v>
      </c>
      <c r="M239" s="10">
        <v>683999</v>
      </c>
      <c r="N239" s="10">
        <v>732106</v>
      </c>
      <c r="O239" s="10">
        <v>690859</v>
      </c>
      <c r="P239" s="10">
        <v>718571</v>
      </c>
      <c r="Q239" s="6">
        <f t="shared" si="6"/>
        <v>8663452</v>
      </c>
      <c r="R239" s="2">
        <f t="shared" si="7"/>
        <v>-4.7956399388456861E-3</v>
      </c>
    </row>
    <row r="240" spans="1:19">
      <c r="A240" s="1" t="s">
        <v>16</v>
      </c>
      <c r="B240" s="1" t="s">
        <v>435</v>
      </c>
      <c r="C240" s="1" t="s">
        <v>436</v>
      </c>
      <c r="D240" s="6">
        <v>1650383</v>
      </c>
      <c r="E240" s="10">
        <v>97905</v>
      </c>
      <c r="F240" s="10">
        <v>100647</v>
      </c>
      <c r="G240" s="10">
        <v>141389</v>
      </c>
      <c r="H240" s="10">
        <v>151877</v>
      </c>
      <c r="I240" s="10">
        <v>161518</v>
      </c>
      <c r="J240" s="10">
        <v>149819</v>
      </c>
      <c r="K240" s="10">
        <v>152433</v>
      </c>
      <c r="L240" s="10">
        <v>141232</v>
      </c>
      <c r="M240" s="10">
        <v>136955</v>
      </c>
      <c r="N240" s="10">
        <v>154665</v>
      </c>
      <c r="O240" s="10">
        <v>140440</v>
      </c>
      <c r="P240" s="10">
        <v>124422</v>
      </c>
      <c r="Q240" s="6">
        <f t="shared" si="6"/>
        <v>1653302</v>
      </c>
      <c r="R240" s="2">
        <f t="shared" si="7"/>
        <v>1.7686803608616408E-3</v>
      </c>
    </row>
    <row r="241" spans="1:18">
      <c r="A241" s="1" t="s">
        <v>16</v>
      </c>
      <c r="B241" s="1" t="s">
        <v>44</v>
      </c>
      <c r="C241" s="1" t="s">
        <v>45</v>
      </c>
      <c r="D241" s="6">
        <v>31227512</v>
      </c>
      <c r="E241" s="10">
        <v>2187187</v>
      </c>
      <c r="F241" s="10">
        <v>2033272</v>
      </c>
      <c r="G241" s="10">
        <v>2459535</v>
      </c>
      <c r="H241" s="10">
        <v>2393904</v>
      </c>
      <c r="I241" s="10">
        <v>2618411</v>
      </c>
      <c r="J241" s="10">
        <v>2987143</v>
      </c>
      <c r="K241" s="10">
        <v>3259916</v>
      </c>
      <c r="L241" s="10">
        <v>3225283</v>
      </c>
      <c r="M241" s="10">
        <v>2734421</v>
      </c>
      <c r="N241" s="10">
        <v>2588043</v>
      </c>
      <c r="O241" s="10">
        <v>2449522</v>
      </c>
      <c r="P241" s="10">
        <v>2616529</v>
      </c>
      <c r="Q241" s="6">
        <f t="shared" si="6"/>
        <v>31553166</v>
      </c>
      <c r="R241" s="2">
        <f t="shared" si="7"/>
        <v>1.0428432466857984E-2</v>
      </c>
    </row>
    <row r="242" spans="1:18">
      <c r="A242" s="1" t="s">
        <v>16</v>
      </c>
      <c r="B242" s="1" t="s">
        <v>502</v>
      </c>
      <c r="C242" s="1" t="s">
        <v>503</v>
      </c>
      <c r="D242" s="6">
        <v>3055081</v>
      </c>
      <c r="E242" s="10">
        <v>230164</v>
      </c>
      <c r="F242" s="10">
        <v>210461</v>
      </c>
      <c r="G242" s="10">
        <v>258029</v>
      </c>
      <c r="H242" s="10">
        <v>237961</v>
      </c>
      <c r="I242" s="10">
        <v>257160</v>
      </c>
      <c r="J242" s="10">
        <v>291012</v>
      </c>
      <c r="K242" s="10">
        <v>318124</v>
      </c>
      <c r="L242" s="10">
        <v>319312</v>
      </c>
      <c r="M242" s="10">
        <v>264236</v>
      </c>
      <c r="N242" s="10">
        <v>266945</v>
      </c>
      <c r="O242" s="10">
        <v>249200</v>
      </c>
      <c r="P242" s="10">
        <v>273600</v>
      </c>
      <c r="Q242" s="6">
        <f t="shared" si="6"/>
        <v>3176204</v>
      </c>
      <c r="R242" s="2">
        <f t="shared" si="7"/>
        <v>3.9646411993659036E-2</v>
      </c>
    </row>
    <row r="243" spans="1:18">
      <c r="A243" s="1" t="s">
        <v>16</v>
      </c>
      <c r="B243" s="1" t="s">
        <v>443</v>
      </c>
      <c r="C243" s="1" t="s">
        <v>444</v>
      </c>
      <c r="D243" s="6">
        <v>811771</v>
      </c>
      <c r="E243" s="10">
        <v>53408</v>
      </c>
      <c r="F243" s="10">
        <v>47167</v>
      </c>
      <c r="G243" s="10">
        <v>65473</v>
      </c>
      <c r="H243" s="10">
        <v>59849</v>
      </c>
      <c r="I243" s="10">
        <v>67609</v>
      </c>
      <c r="J243" s="10">
        <v>81138</v>
      </c>
      <c r="K243" s="10">
        <v>84152</v>
      </c>
      <c r="L243" s="10">
        <v>75975</v>
      </c>
      <c r="M243" s="10">
        <v>67423</v>
      </c>
      <c r="N243" s="10">
        <v>72421</v>
      </c>
      <c r="O243" s="10">
        <v>62850</v>
      </c>
      <c r="P243" s="10">
        <v>58786</v>
      </c>
      <c r="Q243" s="6">
        <f t="shared" si="6"/>
        <v>796251</v>
      </c>
      <c r="R243" s="2">
        <f t="shared" si="7"/>
        <v>-1.911869234057384E-2</v>
      </c>
    </row>
    <row r="244" spans="1:18">
      <c r="A244" s="1" t="s">
        <v>16</v>
      </c>
      <c r="B244" s="1" t="s">
        <v>394</v>
      </c>
      <c r="C244" s="1" t="s">
        <v>395</v>
      </c>
      <c r="D244" s="6">
        <v>12796302</v>
      </c>
      <c r="E244" s="10">
        <v>854263</v>
      </c>
      <c r="F244" s="10">
        <v>821821</v>
      </c>
      <c r="G244" s="10">
        <v>1097836</v>
      </c>
      <c r="H244" s="10">
        <v>975618</v>
      </c>
      <c r="I244" s="10">
        <v>1057598</v>
      </c>
      <c r="J244" s="10">
        <v>1139789</v>
      </c>
      <c r="K244" s="10">
        <v>1142196</v>
      </c>
      <c r="L244" s="10">
        <v>1073041</v>
      </c>
      <c r="M244" s="10">
        <v>1006137</v>
      </c>
      <c r="N244" s="10">
        <v>1096756</v>
      </c>
      <c r="O244" s="10">
        <v>1024266</v>
      </c>
      <c r="P244" s="10">
        <v>1001800</v>
      </c>
      <c r="Q244" s="6">
        <f t="shared" si="6"/>
        <v>12291121</v>
      </c>
      <c r="R244" s="2">
        <f t="shared" si="7"/>
        <v>-3.9478671259868703E-2</v>
      </c>
    </row>
    <row r="245" spans="1:18" ht="15.75">
      <c r="A245" s="1" t="s">
        <v>16</v>
      </c>
      <c r="B245" s="1" t="s">
        <v>391</v>
      </c>
      <c r="C245" s="1" t="s">
        <v>337</v>
      </c>
      <c r="D245" s="6">
        <v>394837</v>
      </c>
      <c r="E245" s="10">
        <v>30903</v>
      </c>
      <c r="F245" s="10">
        <v>27848</v>
      </c>
      <c r="G245" s="10">
        <v>34818</v>
      </c>
      <c r="H245" s="10">
        <v>33866</v>
      </c>
      <c r="I245" s="10">
        <v>36255</v>
      </c>
      <c r="J245" s="10">
        <v>33632</v>
      </c>
      <c r="K245" s="10">
        <v>36596</v>
      </c>
      <c r="L245" s="10">
        <v>37465</v>
      </c>
      <c r="M245" s="10">
        <v>31730</v>
      </c>
      <c r="N245" s="10">
        <v>33991</v>
      </c>
      <c r="O245" s="10">
        <v>31088</v>
      </c>
      <c r="P245" s="10">
        <v>31603</v>
      </c>
      <c r="Q245" s="6">
        <f t="shared" si="6"/>
        <v>399795</v>
      </c>
      <c r="R245" s="2">
        <f t="shared" si="7"/>
        <v>1.2557080516770291E-2</v>
      </c>
    </row>
    <row r="246" spans="1:18">
      <c r="A246" s="1" t="s">
        <v>16</v>
      </c>
      <c r="B246" s="1" t="s">
        <v>60</v>
      </c>
      <c r="C246" s="1" t="s">
        <v>61</v>
      </c>
      <c r="D246" s="6">
        <v>16965545</v>
      </c>
      <c r="E246" s="10">
        <v>1299058</v>
      </c>
      <c r="F246" s="10">
        <v>1291164</v>
      </c>
      <c r="G246" s="10">
        <v>1693074</v>
      </c>
      <c r="H246" s="10">
        <v>1558557</v>
      </c>
      <c r="I246" s="10">
        <v>1392395</v>
      </c>
      <c r="J246" s="10">
        <v>1381033</v>
      </c>
      <c r="K246" s="10">
        <v>1436802</v>
      </c>
      <c r="L246" s="10">
        <v>1348762</v>
      </c>
      <c r="M246" s="10">
        <v>1130109</v>
      </c>
      <c r="N246" s="10">
        <v>1356125</v>
      </c>
      <c r="O246" s="10">
        <v>1367483</v>
      </c>
      <c r="P246" s="10">
        <v>1391203</v>
      </c>
      <c r="Q246" s="6">
        <f t="shared" si="6"/>
        <v>16645765</v>
      </c>
      <c r="R246" s="2">
        <f t="shared" si="7"/>
        <v>-1.8848790298219176E-2</v>
      </c>
    </row>
    <row r="247" spans="1:18">
      <c r="A247" s="1" t="s">
        <v>16</v>
      </c>
      <c r="B247" s="1" t="s">
        <v>498</v>
      </c>
      <c r="C247" s="1" t="s">
        <v>499</v>
      </c>
      <c r="D247" s="6">
        <v>3637458</v>
      </c>
      <c r="E247" s="10">
        <v>291292</v>
      </c>
      <c r="F247" s="10">
        <v>307270</v>
      </c>
      <c r="G247" s="10">
        <v>367434</v>
      </c>
      <c r="H247" s="10">
        <v>329371</v>
      </c>
      <c r="I247" s="10">
        <v>322655</v>
      </c>
      <c r="J247" s="10">
        <v>300545</v>
      </c>
      <c r="K247" s="10">
        <v>303736</v>
      </c>
      <c r="L247" s="10">
        <v>284087</v>
      </c>
      <c r="M247" s="10">
        <v>279624</v>
      </c>
      <c r="N247" s="10">
        <v>332541</v>
      </c>
      <c r="O247" s="10">
        <v>313921</v>
      </c>
      <c r="P247" s="10">
        <v>308199</v>
      </c>
      <c r="Q247" s="6">
        <f t="shared" si="6"/>
        <v>3740675</v>
      </c>
      <c r="R247" s="2">
        <f t="shared" si="7"/>
        <v>2.8376135202111019E-2</v>
      </c>
    </row>
    <row r="248" spans="1:18">
      <c r="A248" s="1" t="s">
        <v>16</v>
      </c>
      <c r="B248" s="1" t="s">
        <v>539</v>
      </c>
      <c r="C248" s="1" t="s">
        <v>540</v>
      </c>
      <c r="D248" s="6">
        <v>2888858</v>
      </c>
      <c r="E248" s="10">
        <v>192211</v>
      </c>
      <c r="F248" s="10">
        <v>185839</v>
      </c>
      <c r="G248" s="10">
        <v>235901</v>
      </c>
      <c r="H248" s="10">
        <v>226165</v>
      </c>
      <c r="I248" s="10">
        <v>257722</v>
      </c>
      <c r="J248" s="10">
        <v>274175</v>
      </c>
      <c r="K248" s="10">
        <v>279066</v>
      </c>
      <c r="L248" s="10">
        <v>246982</v>
      </c>
      <c r="M248" s="10">
        <v>231110</v>
      </c>
      <c r="N248" s="10">
        <v>258235</v>
      </c>
      <c r="O248" s="10">
        <v>229963</v>
      </c>
      <c r="P248" s="10">
        <v>229219</v>
      </c>
      <c r="Q248" s="6">
        <f t="shared" si="6"/>
        <v>2846588</v>
      </c>
      <c r="R248" s="2">
        <f t="shared" si="7"/>
        <v>-1.4632079527619579E-2</v>
      </c>
    </row>
    <row r="249" spans="1:18" ht="15.75">
      <c r="A249" s="1" t="s">
        <v>16</v>
      </c>
      <c r="B249" s="1" t="s">
        <v>392</v>
      </c>
      <c r="C249" s="1" t="s">
        <v>50</v>
      </c>
      <c r="D249" s="6">
        <v>23213341</v>
      </c>
      <c r="E249" s="10">
        <v>1695866</v>
      </c>
      <c r="F249" s="10">
        <v>1339557</v>
      </c>
      <c r="G249" s="10">
        <v>1975343</v>
      </c>
      <c r="H249" s="10">
        <v>1944491</v>
      </c>
      <c r="I249" s="10">
        <v>2077310</v>
      </c>
      <c r="J249" s="10">
        <v>2177216</v>
      </c>
      <c r="K249" s="10">
        <v>2285921</v>
      </c>
      <c r="L249" s="10">
        <v>2255710</v>
      </c>
      <c r="M249" s="10">
        <v>1948721</v>
      </c>
      <c r="N249" s="10">
        <v>2098106</v>
      </c>
      <c r="O249" s="10">
        <v>1877896</v>
      </c>
      <c r="P249" s="10">
        <v>1915417</v>
      </c>
      <c r="Q249" s="6">
        <f t="shared" si="6"/>
        <v>23591554</v>
      </c>
      <c r="R249" s="2">
        <f t="shared" si="7"/>
        <v>1.6292915354149118E-2</v>
      </c>
    </row>
    <row r="250" spans="1:18" ht="15.75">
      <c r="A250" s="1" t="s">
        <v>16</v>
      </c>
      <c r="B250" s="1" t="s">
        <v>393</v>
      </c>
      <c r="C250" s="1" t="s">
        <v>56</v>
      </c>
      <c r="D250" s="6">
        <v>17577359</v>
      </c>
      <c r="E250" s="10">
        <v>1219967</v>
      </c>
      <c r="F250" s="10">
        <v>1025000</v>
      </c>
      <c r="G250" s="10">
        <v>1586918</v>
      </c>
      <c r="H250" s="10">
        <v>1591237</v>
      </c>
      <c r="I250" s="10">
        <v>1611415</v>
      </c>
      <c r="J250" s="10">
        <v>1627647</v>
      </c>
      <c r="K250" s="10">
        <v>1635851</v>
      </c>
      <c r="L250" s="10">
        <v>1645325</v>
      </c>
      <c r="M250" s="10">
        <v>1486586</v>
      </c>
      <c r="N250" s="10">
        <v>1674409</v>
      </c>
      <c r="O250" s="10">
        <v>1556487</v>
      </c>
      <c r="P250" s="10">
        <v>1444960</v>
      </c>
      <c r="Q250" s="6">
        <f t="shared" si="6"/>
        <v>18105802</v>
      </c>
      <c r="R250" s="2">
        <f t="shared" si="7"/>
        <v>3.0063845199952866E-2</v>
      </c>
    </row>
  </sheetData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2017 pax</vt:lpstr>
      <vt:lpstr>2016 pax</vt:lpstr>
      <vt:lpstr>2015 pax</vt:lpstr>
      <vt:lpstr>2014 pax</vt:lpstr>
      <vt:lpstr>2013 pax</vt:lpstr>
      <vt:lpstr>2012 pax</vt:lpstr>
      <vt:lpstr>2011 pax</vt:lpstr>
      <vt:lpstr>2010 pax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Neudert</dc:creator>
  <cp:lastModifiedBy>S. Lai</cp:lastModifiedBy>
  <dcterms:created xsi:type="dcterms:W3CDTF">2011-10-18T08:31:05Z</dcterms:created>
  <dcterms:modified xsi:type="dcterms:W3CDTF">2019-10-19T22:01:21Z</dcterms:modified>
</cp:coreProperties>
</file>