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leaned_data" sheetId="2" r:id="rId5"/>
    <sheet state="visible" name="tip_trend" sheetId="3" r:id="rId6"/>
    <sheet state="visible" name="best_shift_to_work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<sst xmlns="http://schemas.openxmlformats.org/spreadsheetml/2006/main" count="9806" uniqueCount="61">
  <si>
    <t>Date</t>
  </si>
  <si>
    <t>Month</t>
  </si>
  <si>
    <t>Day</t>
  </si>
  <si>
    <t>Shift</t>
  </si>
  <si>
    <t>Name</t>
  </si>
  <si>
    <t>Amount</t>
  </si>
  <si>
    <t>Training</t>
  </si>
  <si>
    <t>Sick</t>
  </si>
  <si>
    <t>January</t>
  </si>
  <si>
    <t>Sunday</t>
  </si>
  <si>
    <t>lunch</t>
  </si>
  <si>
    <t>employee Q</t>
  </si>
  <si>
    <t>No</t>
  </si>
  <si>
    <t>employee B</t>
  </si>
  <si>
    <t>dinner</t>
  </si>
  <si>
    <t>employee C</t>
  </si>
  <si>
    <t>Monday</t>
  </si>
  <si>
    <t>employee E</t>
  </si>
  <si>
    <t>Tuesday</t>
  </si>
  <si>
    <t>employee J</t>
  </si>
  <si>
    <t>Wednesday</t>
  </si>
  <si>
    <t>Thursday</t>
  </si>
  <si>
    <t>Friday</t>
  </si>
  <si>
    <t>Saturday</t>
  </si>
  <si>
    <t>employee F</t>
  </si>
  <si>
    <t>employee K</t>
  </si>
  <si>
    <t>Yes</t>
  </si>
  <si>
    <t>employee D</t>
  </si>
  <si>
    <t>employee I</t>
  </si>
  <si>
    <t>February</t>
  </si>
  <si>
    <t>March</t>
  </si>
  <si>
    <t>employee L</t>
  </si>
  <si>
    <t>April</t>
  </si>
  <si>
    <t>employee N</t>
  </si>
  <si>
    <t>employee A</t>
  </si>
  <si>
    <t>employee G</t>
  </si>
  <si>
    <t>employee M</t>
  </si>
  <si>
    <t>May</t>
  </si>
  <si>
    <t>employee P</t>
  </si>
  <si>
    <t>June</t>
  </si>
  <si>
    <t>July</t>
  </si>
  <si>
    <t>August</t>
  </si>
  <si>
    <t>employee H</t>
  </si>
  <si>
    <t>employee O</t>
  </si>
  <si>
    <t>September</t>
  </si>
  <si>
    <t>employee R</t>
  </si>
  <si>
    <t>October</t>
  </si>
  <si>
    <t>employee S</t>
  </si>
  <si>
    <t>employee T</t>
  </si>
  <si>
    <t>November</t>
  </si>
  <si>
    <t>employee U</t>
  </si>
  <si>
    <t>employee V</t>
  </si>
  <si>
    <t>employee W</t>
  </si>
  <si>
    <t>employee X</t>
  </si>
  <si>
    <t>December</t>
  </si>
  <si>
    <t>employee Y</t>
  </si>
  <si>
    <t>employee Z</t>
  </si>
  <si>
    <t>employee ZA</t>
  </si>
  <si>
    <t>SUM of Amount</t>
  </si>
  <si>
    <t>Grand Total</t>
  </si>
  <si>
    <t>AVERAGE of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</si>
</sst>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m/d/yyyy"/>
    <numFmt numFmtId="167" formatCode="dddd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Font="1"/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4" numFmtId="0" xfId="0" applyFont="1"/>
    <xf borderId="0" fillId="2" fontId="3" numFmtId="0" xfId="0" applyAlignment="1" applyFill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165" xfId="0" applyFont="1" applyNumberFormat="1"/>
    <xf borderId="0" fillId="0" fontId="4" numFmtId="167" xfId="0" applyFont="1" applyNumberFormat="1"/>
    <xf borderId="0" fillId="0" fontId="4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tip_trend!$A$2:$A$13</c:f>
            </c:strRef>
          </c:cat>
          <c:val>
            <c:numRef>
              <c:f>tip_trend!$B$2:$B$13</c:f>
              <c:numCache/>
            </c:numRef>
          </c:val>
          <c:smooth val="0"/>
        </c:ser>
        <c:axId val="45807688"/>
        <c:axId val="1053692302"/>
      </c:lineChart>
      <c:catAx>
        <c:axId val="4580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692302"/>
      </c:catAx>
      <c:valAx>
        <c:axId val="10536923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8076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0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628" sheet="cleaned_data"/>
  </cacheSource>
  <cacheFields>
    <cacheField name="Date" numFmtId="164">
      <sharedItems containsSemiMixedTypes="0" containsDate="1" containsString="0"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7-13T00:00:00Z"/>
        <d v="2022-07-14T00:00:00Z"/>
        <d v="2022-07-15T00:00:00Z"/>
        <d v="2022-07-16T00:00:00Z"/>
        <d v="2022-07-17T00:00:00Z"/>
        <d v="2022-07-18T00:00:00Z"/>
        <d v="2022-07-19T00:00:00Z"/>
        <d v="2022-07-20T00:00:00Z"/>
        <d v="2022-07-21T00:00:00Z"/>
        <d v="2022-07-22T00:00:00Z"/>
        <d v="2022-07-23T00:00:00Z"/>
        <d v="2022-07-24T00:00:00Z"/>
        <d v="2022-07-25T00:00:00Z"/>
        <d v="2022-07-26T00:00:00Z"/>
        <d v="2022-07-27T00:00:00Z"/>
        <d v="2022-07-28T00:00:00Z"/>
        <d v="2022-07-29T00:00:00Z"/>
        <d v="2022-07-30T00:00:00Z"/>
        <d v="2022-07-31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8-13T00:00:00Z"/>
        <d v="2022-08-14T00:00:00Z"/>
        <d v="2022-08-15T00:00:00Z"/>
        <d v="2022-08-16T00:00:00Z"/>
        <d v="2022-08-17T00:00:00Z"/>
        <d v="2022-08-18T00:00:00Z"/>
        <d v="2022-08-19T00:00:00Z"/>
        <d v="2022-08-20T00:00:00Z"/>
        <d v="2022-08-21T00:00:00Z"/>
        <d v="2022-08-22T00:00:00Z"/>
        <d v="2022-08-23T00:00:00Z"/>
        <d v="2022-08-24T00:00:00Z"/>
        <d v="2022-08-25T00:00:00Z"/>
        <d v="2022-08-26T00:00:00Z"/>
        <d v="2022-08-27T00:00:00Z"/>
        <d v="2022-08-28T00:00:00Z"/>
        <d v="2022-08-29T00:00:00Z"/>
        <d v="2022-08-30T00:00:00Z"/>
        <d v="2022-08-31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09-13T00:00:00Z"/>
        <d v="2022-09-14T00:00:00Z"/>
        <d v="2022-09-15T00:00:00Z"/>
        <d v="2022-09-16T00:00:00Z"/>
        <d v="2022-09-17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5T00:00:00Z"/>
        <d v="2022-09-26T00:00:00Z"/>
        <d v="2022-09-27T00:00:00Z"/>
        <d v="2022-09-28T00:00:00Z"/>
        <d v="2022-09-29T00:00:00Z"/>
        <d v="2022-09-30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0-13T00:00:00Z"/>
        <d v="2022-10-14T00:00:00Z"/>
        <d v="2022-10-15T00:00:00Z"/>
        <d v="2022-10-16T00:00:00Z"/>
        <d v="2022-10-17T00:00:00Z"/>
        <d v="2022-10-18T00:00:00Z"/>
        <d v="2022-10-19T00:00:00Z"/>
        <d v="2022-10-20T00:00:00Z"/>
        <d v="2022-10-21T00:00:00Z"/>
        <d v="2022-10-22T00:00:00Z"/>
        <d v="2022-10-23T00:00:00Z"/>
        <d v="2022-10-24T00:00:00Z"/>
        <d v="2022-10-25T00:00:00Z"/>
        <d v="2022-10-26T00:00:00Z"/>
        <d v="2022-10-27T00:00:00Z"/>
        <d v="2022-10-28T00:00:00Z"/>
        <d v="2022-10-29T00:00:00Z"/>
        <d v="2022-10-30T00:00:00Z"/>
        <d v="2022-10-31T00:00:00Z"/>
        <d v="2022-11-01T00:00:00Z"/>
        <d v="2022-11-02T00:00:00Z"/>
        <d v="2022-11-03T00:00:00Z"/>
        <d v="2022-11-04T00:00:00Z"/>
        <d v="2022-11-05T00:00:00Z"/>
        <d v="2022-11-06T00:00:00Z"/>
        <d v="2022-11-07T00:00:00Z"/>
        <d v="2922-11-08T00:00:00Z"/>
        <d v="2022-11-08T00:00:00Z"/>
        <d v="2022-11-09T00:00:00Z"/>
        <d v="2022-11-10T00:00:00Z"/>
        <d v="2022-11-11T00:00:00Z"/>
        <d v="2022-11-12T00:00:00Z"/>
        <d v="2022-11-13T00:00:00Z"/>
        <d v="2022-11-14T00:00:00Z"/>
        <d v="2022-11-15T00:00:00Z"/>
        <d v="2022-11-16T00:00:00Z"/>
        <d v="2022-11-17T00:00:00Z"/>
        <d v="2022-11-18T00:00:00Z"/>
        <d v="2022-11-19T00:00:00Z"/>
        <d v="2022-11-20T00:00:00Z"/>
        <d v="2022-11-21T00:00:00Z"/>
        <d v="2022-11-22T00:00:00Z"/>
        <d v="2022-11-23T00:00:00Z"/>
        <d v="2022-11-25T00:00:00Z"/>
        <d v="2022-11-26T00:00:00Z"/>
        <d v="2022-11-27T00:00:00Z"/>
        <d v="2022-11-28T00:00:00Z"/>
        <d v="2022-11-29T00:00:00Z"/>
        <d v="2022-11-30T00:00:00Z"/>
        <d v="2022-12-01T00:00:00Z"/>
        <d v="2022-12-02T00:00:00Z"/>
        <d v="2022-12-03T00:00:00Z"/>
        <d v="2022-12-04T00:00:00Z"/>
        <d v="2022-12-05T00:00:00Z"/>
        <d v="2022-12-06T00:00:00Z"/>
        <d v="2022-12-07T00:00:00Z"/>
        <d v="2022-12-08T00:00:00Z"/>
        <d v="2022-12-09T00:00:00Z"/>
        <d v="2022-12-10T00:00:00Z"/>
        <d v="2022-12-11T00:00:00Z"/>
        <d v="2022-12-12T00:00:00Z"/>
        <d v="2022-12-13T00:00:00Z"/>
        <d v="2022-12-14T00:00:00Z"/>
        <d v="2022-12-15T00:00:00Z"/>
        <d v="2022-12-16T00:00:00Z"/>
        <d v="2022-12-17T00:00:00Z"/>
        <d v="2022-12-18T00:00:00Z"/>
        <d v="2022-12-19T00:00:00Z"/>
        <d v="2022-12-20T00:00:00Z"/>
        <d v="2022-12-21T00:00:00Z"/>
        <d v="2022-12-22T00:00:00Z"/>
        <d v="2022-12-23T00:00:00Z"/>
        <d v="2022-12-24T00:00:00Z"/>
        <d v="2022-12-26T00:00:00Z"/>
        <d v="2022-12-27T00:00:00Z"/>
        <d v="2022-12-28T00:00:00Z"/>
        <d v="2022-12-29T00:00:00Z"/>
        <d v="2022-12-30T00:00:00Z"/>
        <d v="2022-12-31T00:00:00Z"/>
      </sharedItems>
    </cacheField>
    <cacheField name="Month" numFmtId="0">
      <sharedItems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Day" numFmtId="167">
      <sharedItems>
        <s v="Sunday"/>
        <s v="Monday"/>
        <s v="Tuesday"/>
        <s v="Wednesday"/>
        <s v="Thursday"/>
        <s v="Friday"/>
        <s v="Saturday"/>
      </sharedItems>
    </cacheField>
    <cacheField name="Shift" numFmtId="0">
      <sharedItems>
        <s v="lunch"/>
        <s v="dinner"/>
      </sharedItems>
    </cacheField>
    <cacheField name="Name" numFmtId="0">
      <sharedItems>
        <s v="employee Q"/>
        <s v="employee B"/>
        <s v="employee C"/>
        <s v="employee E"/>
        <s v="employee J"/>
        <s v="employee F"/>
        <s v="employee K"/>
        <s v="employee D"/>
        <s v="employee I"/>
        <s v="employee L"/>
        <s v="employee N"/>
        <s v="employee A"/>
        <s v="employee G"/>
        <s v="employee M"/>
        <s v="employee P"/>
        <s v="employee H"/>
        <s v="employee O"/>
        <s v="employee R"/>
        <s v="employee S"/>
        <s v="employee T"/>
        <s v="employee U"/>
        <s v="employee V"/>
        <s v="employee W"/>
        <s v="employee X"/>
        <s v="employee Y"/>
        <s v="employee Z"/>
        <s v="employee ZA"/>
      </sharedItems>
    </cacheField>
    <cacheField name="Amount" numFmtId="165">
      <sharedItems containsSemiMixedTypes="0" containsString="0" containsNumber="1">
        <n v="86.32"/>
        <n v="61.66"/>
        <n v="98.69"/>
        <n v="87.73"/>
        <n v="152.05"/>
        <n v="79.13"/>
        <n v="52.76"/>
        <n v="93.68"/>
        <n v="27.89"/>
        <n v="18.6"/>
        <n v="91.49"/>
        <n v="10.17"/>
        <n v="53.3"/>
        <n v="47.38"/>
        <n v="117.72"/>
        <n v="64.7"/>
        <n v="91.66"/>
        <n v="100.47"/>
        <n v="141.65"/>
        <n v="101.2"/>
        <n v="80.09"/>
        <n v="122.32"/>
        <n v="78.64"/>
        <n v="22.79"/>
        <n v="68.38"/>
        <n v="44.9"/>
        <n v="70.15"/>
        <n v="82.55"/>
        <n v="21.77"/>
        <n v="14.51"/>
        <n v="76.0"/>
        <n v="81.87"/>
        <n v="88.32"/>
        <n v="44.4"/>
        <n v="34.53"/>
        <n v="19.73"/>
        <n v="106.33"/>
        <n v="70.01"/>
        <n v="156.96"/>
        <n v="112.11"/>
        <n v="16.6"/>
        <n v="45.65"/>
        <n v="24.9"/>
        <n v="76.56"/>
        <n v="63.8"/>
        <n v="110.72"/>
        <n v="129.08"/>
        <n v="90.36"/>
        <n v="86.53"/>
        <n v="52.83"/>
        <n v="29.92"/>
        <n v="0.0"/>
        <n v="9.97"/>
        <n v="86.96"/>
        <n v="91.9"/>
        <n v="61.27"/>
        <n v="64.54"/>
        <n v="74.04"/>
        <n v="41.13"/>
        <n v="45.19"/>
        <n v="84.74"/>
        <n v="75.32"/>
        <n v="65.56"/>
        <n v="50.45"/>
        <n v="118.85"/>
        <n v="79.23"/>
        <n v="114.46"/>
        <n v="89.89"/>
        <n v="63.91"/>
        <n v="56.81"/>
        <n v="21.31"/>
        <n v="39.57"/>
        <n v="56.85"/>
        <n v="34.74"/>
        <n v="56.71"/>
        <n v="75.14"/>
        <n v="58.44"/>
        <n v="103.68"/>
        <n v="57.74"/>
        <n v="44.91"/>
        <n v="35.28"/>
        <n v="66.25"/>
        <n v="59.63"/>
        <n v="46.37"/>
        <n v="133.81"/>
        <n v="102.95"/>
        <n v="50.87"/>
        <n v="65.4"/>
        <n v="58.14"/>
        <n v="33.92"/>
        <n v="62.19"/>
        <n v="22.61"/>
        <n v="13.12"/>
        <n v="59.04"/>
        <n v="76.58"/>
        <n v="24.52"/>
        <n v="19.07"/>
        <n v="110.14"/>
        <n v="31.44"/>
        <n v="26.2"/>
        <n v="17.46"/>
        <n v="75.68"/>
        <n v="92.83"/>
        <n v="67.05"/>
        <n v="72.2"/>
        <n v="87.0"/>
        <n v="48.08"/>
        <n v="42.74"/>
        <n v="26.71"/>
        <n v="69.51"/>
        <n v="75.49"/>
        <n v="67.09"/>
        <n v="63.02"/>
        <n v="48.48"/>
        <n v="61.91"/>
        <n v="34.39"/>
        <n v="55.03"/>
        <n v="26.24"/>
        <n v="75.1"/>
        <n v="60.08"/>
        <n v="53.24"/>
        <n v="41.43"/>
        <n v="116.36"/>
        <n v="45.02"/>
        <n v="35.01"/>
        <n v="20.01"/>
        <n v="69.26"/>
        <n v="62.22"/>
        <n v="48.39"/>
        <n v="41.48"/>
        <n v="44.33"/>
        <n v="62.1"/>
        <n v="55.2"/>
        <n v="41.41"/>
        <n v="78.67"/>
        <n v="72.0"/>
        <n v="40.01"/>
        <n v="48.0"/>
        <n v="33.43"/>
        <n v="30.08"/>
        <n v="98.6"/>
        <n v="87.64"/>
        <n v="150.92"/>
        <n v="107.8"/>
        <n v="53.84"/>
        <n v="99.81"/>
        <n v="66.53"/>
        <n v="81.6"/>
        <n v="76.5"/>
        <n v="102.0"/>
        <n v="11.04"/>
        <n v="3.68"/>
        <n v="7.36"/>
        <n v="83.95"/>
        <n v="8.4"/>
        <n v="84.97"/>
        <n v="66.1"/>
        <n v="58.25"/>
        <n v="55.89"/>
        <n v="37.25"/>
        <n v="61.29"/>
        <n v="65.66"/>
        <n v="54.72"/>
        <n v="43.78"/>
        <n v="65.97"/>
        <n v="30.01"/>
        <n v="54.01"/>
        <n v="42.01"/>
        <n v="121.64"/>
        <n v="76.14"/>
        <n v="67.67"/>
        <n v="33.84"/>
        <n v="95.85"/>
        <n v="73.7"/>
        <n v="63.12"/>
        <n v="49.09"/>
        <n v="28.01"/>
        <n v="70.05"/>
        <n v="34.37"/>
        <n v="44.19"/>
        <n v="19.64"/>
        <n v="138.95"/>
        <n v="48.63"/>
        <n v="85.96"/>
        <n v="76.41"/>
        <n v="38.57"/>
        <n v="41.94"/>
        <n v="44.04"/>
        <n v="19.57"/>
        <n v="29.36"/>
        <n v="96.45"/>
        <n v="19.29"/>
        <n v="37.88"/>
        <n v="27.36"/>
        <n v="31.57"/>
        <n v="100.24"/>
        <n v="59.12"/>
        <n v="39.41"/>
        <n v="32.84"/>
        <n v="58.54"/>
        <n v="25.1"/>
        <n v="47.95"/>
        <n v="55.94"/>
        <n v="63.93"/>
        <n v="90.93"/>
        <n v="77.94"/>
        <n v="65.02"/>
        <n v="77.16"/>
        <n v="106.76"/>
        <n v="68.63"/>
        <n v="38.12"/>
        <n v="36.17"/>
        <n v="54.26"/>
        <n v="107.55"/>
        <n v="54.47"/>
        <n v="42.92"/>
        <n v="67.11"/>
        <n v="93.11"/>
        <n v="44.52"/>
        <n v="34.63"/>
        <n v="32.16"/>
        <n v="94.9"/>
        <n v="86.9"/>
        <n v="82.09"/>
        <n v="67.59"/>
        <n v="65.95"/>
        <n v="115.09"/>
        <n v="18.39"/>
        <n v="41.37"/>
        <n v="45.97"/>
        <n v="93.35"/>
        <n v="18.25"/>
        <n v="52.14"/>
        <n v="57.35"/>
        <n v="41.71"/>
        <n v="62.51"/>
        <n v="48.61"/>
        <n v="55.56"/>
        <n v="142.08"/>
        <n v="111.2"/>
        <n v="98.84"/>
        <n v="82.45"/>
        <n v="50.09"/>
        <n v="38.97"/>
        <n v="79.98"/>
        <n v="6.84"/>
        <n v="54.25"/>
        <n v="42.2"/>
        <n v="84.47"/>
        <n v="67.01"/>
        <n v="59.54"/>
        <n v="52.12"/>
        <n v="140.78"/>
        <n v="56.61"/>
        <n v="37.74"/>
        <n v="88.88"/>
        <n v="98.75"/>
        <n v="88.89"/>
        <n v="85.74"/>
        <n v="46.73"/>
        <n v="98.66"/>
        <n v="55.51"/>
        <n v="37.01"/>
        <n v="38.86"/>
        <n v="86.15"/>
        <n v="85.88"/>
        <n v="96.61"/>
        <n v="84.54"/>
        <n v="40.56"/>
        <n v="63.34"/>
        <n v="96.16"/>
        <n v="58.1"/>
        <n v="51.24"/>
        <n v="67.85"/>
        <n v="45.3"/>
        <n v="52.85"/>
        <n v="58.58"/>
        <n v="54.7"/>
        <n v="39.5"/>
        <n v="40.74"/>
        <n v="81.49"/>
        <n v="90.54"/>
        <n v="59.6"/>
        <n v="43.9"/>
        <n v="79.85"/>
        <n v="75.86"/>
        <n v="49.45"/>
        <n v="59.34"/>
        <n v="46.15"/>
        <n v="66.0"/>
        <n v="78.0"/>
        <n v="56.34"/>
        <n v="60.67"/>
        <n v="116.17"/>
        <n v="93.36"/>
        <n v="72.62"/>
        <n v="82.56"/>
        <n v="77.89"/>
        <n v="60.58"/>
        <n v="82.31"/>
        <n v="75.92"/>
        <n v="117.94"/>
        <n v="152.31"/>
        <n v="135.39"/>
        <n v="104.25"/>
        <n v="80.19"/>
        <n v="72.17"/>
        <n v="63.01"/>
        <n v="49.01"/>
        <n v="174.11"/>
        <n v="124.37"/>
        <n v="105.71"/>
        <n v="84.11"/>
        <n v="28.4"/>
        <n v="40.91"/>
        <n v="75.31"/>
        <n v="58.57"/>
        <n v="71.3"/>
        <n v="66.76"/>
        <n v="51.93"/>
        <n v="80.34"/>
        <n v="74.82"/>
        <n v="58.19"/>
        <n v="71.75"/>
        <n v="77.62"/>
        <n v="43.5"/>
        <n v="43.49"/>
        <n v="83.96"/>
        <n v="48.13"/>
        <n v="53.5"/>
        <n v="94.97"/>
        <n v="63.32"/>
        <n v="60.49"/>
        <n v="90.81"/>
        <n v="100.9"/>
        <n v="38.27"/>
        <n v="25.51"/>
        <n v="111.84"/>
        <n v="9.69"/>
        <n v="67.86"/>
        <n v="103.61"/>
        <n v="59.99"/>
        <n v="59.98"/>
        <n v="20.0"/>
        <n v="82.42"/>
        <n v="92.91"/>
        <n v="61.94"/>
        <n v="94.05"/>
        <n v="129.02"/>
        <n v="71.7"/>
        <n v="44.61"/>
        <n v="64.21"/>
        <n v="88.35"/>
        <n v="121.49"/>
        <n v="110.44"/>
        <n v="38.93"/>
        <n v="58.41"/>
        <n v="63.48"/>
        <n v="55.47"/>
        <n v="49.32"/>
        <n v="55.49"/>
        <n v="61.41"/>
        <n v="61.83"/>
        <n v="58.39"/>
        <n v="80.2"/>
        <n v="86.65"/>
        <n v="67.4"/>
        <n v="82.62"/>
        <n v="103.01"/>
        <n v="56.99"/>
        <n v="69.61"/>
        <n v="83.84"/>
        <n v="55.92"/>
        <n v="60.17"/>
        <n v="42.53"/>
        <n v="94.83"/>
        <n v="104.9"/>
        <n v="99.9"/>
        <n v="36.49"/>
        <n v="46.92"/>
        <n v="48.68"/>
        <n v="48.69"/>
        <n v="88.51"/>
        <n v="79.66"/>
        <n v="63.86"/>
        <n v="42.59"/>
        <n v="39.68"/>
        <n v="60.92"/>
        <n v="40.61"/>
        <n v="78.43"/>
        <n v="61.0"/>
        <n v="8.71"/>
        <n v="40.31"/>
        <n v="71.23"/>
        <n v="58.66"/>
        <n v="90.84"/>
        <n v="33.02"/>
        <n v="82.08"/>
        <n v="88.66"/>
        <n v="88.67"/>
        <n v="102.61"/>
        <n v="77.67"/>
        <n v="205.64"/>
        <n v="88.17"/>
        <n v="117.51"/>
        <n v="57.94"/>
        <n v="74.49"/>
        <n v="51.85"/>
        <n v="81.26"/>
        <n v="141.9"/>
        <n v="46.06"/>
        <n v="91.25"/>
        <n v="41.63"/>
        <n v="13.88"/>
        <n v="71.27"/>
        <n v="72.31"/>
        <n v="60.26"/>
        <n v="56.25"/>
        <n v="60.1"/>
        <n v="48.04"/>
        <n v="86.56"/>
        <n v="38.47"/>
        <n v="68.89"/>
        <n v="124.01"/>
        <n v="112.78"/>
        <n v="87.71"/>
        <n v="59.0"/>
        <n v="79.42"/>
        <n v="53.89"/>
        <n v="56.73"/>
        <n v="46.22"/>
        <n v="79.26"/>
        <n v="56.12"/>
        <n v="43.64"/>
        <n v="39.6"/>
        <n v="30.79"/>
        <n v="30.78"/>
        <n v="78.52"/>
        <n v="72.61"/>
        <n v="24.21"/>
        <n v="116.1"/>
        <n v="40.07"/>
        <n v="45.08"/>
        <n v="35.06"/>
        <n v="137.16"/>
        <n v="114.57"/>
        <n v="89.09"/>
        <n v="134.12"/>
        <n v="95.79"/>
        <n v="63.35"/>
        <n v="49.27"/>
        <n v="59.38"/>
        <n v="83.13"/>
        <n v="55.46"/>
        <n v="89.5"/>
        <n v="69.63"/>
        <n v="85.39"/>
        <n v="68.2"/>
        <n v="76.67"/>
        <n v="51.15"/>
        <n v="132.62"/>
        <n v="67.13"/>
        <n v="52.21"/>
        <n v="128.69"/>
        <n v="49.07"/>
        <n v="63.09"/>
        <n v="112.17"/>
        <n v="17.28"/>
        <n v="77.78"/>
        <n v="136.45"/>
        <n v="99.55"/>
        <n v="44.25"/>
        <n v="48.82"/>
        <n v="69.75"/>
        <n v="59.66"/>
        <n v="33.15"/>
        <n v="53.9"/>
        <n v="75.47"/>
        <n v="37.73"/>
        <n v="30.14"/>
        <n v="16.44"/>
        <n v="19.18"/>
        <n v="97.93"/>
        <n v="132.09"/>
        <n v="102.76"/>
        <n v="134.11"/>
        <n v="41.31"/>
        <n v="32.13"/>
        <n v="112.96"/>
        <n v="47.83"/>
        <n v="21.26"/>
        <n v="47.84"/>
        <n v="66.38"/>
        <n v="64.68"/>
        <n v="64.67"/>
        <n v="43.11"/>
        <n v="42.57"/>
        <n v="33.1"/>
        <n v="43.34"/>
        <n v="33.72"/>
        <n v="33.73"/>
        <n v="97.65"/>
        <n v="52.36"/>
        <n v="45.71"/>
        <n v="104.12"/>
        <n v="94.65"/>
        <n v="70.96"/>
        <n v="51.84"/>
        <n v="66.64"/>
        <n v="78.63"/>
        <n v="41.3"/>
        <n v="53.12"/>
        <n v="99.84"/>
        <n v="72.65"/>
        <n v="65.82"/>
        <n v="58.51"/>
        <n v="51.19"/>
        <n v="68.85"/>
        <n v="51.17"/>
        <n v="76.77"/>
        <n v="59.71"/>
        <n v="62.26"/>
        <n v="53.36"/>
        <n v="68.25"/>
        <n v="76.79"/>
        <n v="59.72"/>
        <n v="126.63"/>
        <n v="90.48"/>
        <n v="45.67"/>
        <n v="35.53"/>
        <n v="62.58"/>
        <n v="56.9"/>
        <n v="44.84"/>
        <n v="38.88"/>
        <n v="44.85"/>
        <n v="126.85"/>
        <n v="101.46"/>
        <n v="76.86"/>
        <n v="76.87"/>
        <n v="59.75"/>
        <n v="107.64"/>
        <n v="63.56"/>
        <n v="71.51"/>
        <n v="55.62"/>
        <n v="14.1"/>
        <n v="69.6"/>
        <n v="46.39"/>
        <n v="86.31"/>
        <n v="80.11"/>
        <n v="80.12"/>
        <n v="53.4"/>
        <n v="124.66"/>
        <n v="108.87"/>
        <n v="84.68"/>
        <n v="81.4"/>
        <n v="105.86"/>
        <n v="73.26"/>
        <n v="67.69"/>
        <n v="145.74"/>
        <n v="104.1"/>
        <n v="83.33"/>
        <n v="39.23"/>
        <n v="45.77"/>
        <n v="58.84"/>
        <n v="162.96"/>
        <n v="67.97"/>
        <n v="7.49"/>
        <n v="51.77"/>
        <n v="85.17"/>
        <n v="64.18"/>
        <n v="49.95"/>
        <n v="74.15"/>
        <n v="23.24"/>
        <n v="15.49"/>
        <n v="18.08"/>
        <n v="160.22"/>
        <n v="64.19"/>
        <n v="49.93"/>
        <n v="90.63"/>
        <n v="70.49"/>
        <n v="154.63"/>
        <n v="110.41"/>
        <n v="64.12"/>
        <n v="72.14"/>
        <n v="133.84"/>
        <n v="105.16"/>
        <n v="86.05"/>
        <n v="61.2"/>
        <n v="50.96"/>
        <n v="131.38"/>
        <n v="128.11"/>
        <n v="99.64"/>
        <n v="14.23"/>
        <n v="96.9"/>
        <n v="15.64"/>
        <n v="54.74"/>
        <n v="107.28"/>
        <n v="101.72"/>
        <n v="79.12"/>
        <n v="84.34"/>
        <n v="58.9"/>
        <n v="58.91"/>
        <n v="45.79"/>
        <n v="116.24"/>
        <n v="89.6"/>
        <n v="69.66"/>
        <n v="170.71"/>
        <n v="121.94"/>
        <n v="121.45"/>
        <n v="107.11"/>
        <n v="45.9"/>
        <n v="38.22"/>
        <n v="180.74"/>
        <n v="86.04"/>
        <n v="66.93"/>
        <n v="129.98"/>
        <n v="81.19"/>
        <n v="71.05"/>
        <n v="96.2"/>
        <n v="64.03"/>
        <n v="49.81"/>
        <n v="51.94"/>
        <n v="50.11"/>
        <n v="38.99"/>
        <n v="109.71"/>
        <n v="65.07"/>
        <n v="50.6"/>
        <n v="38.45"/>
        <n v="52.3"/>
        <n v="41.44"/>
        <n v="59.15"/>
        <n v="50.28"/>
        <n v="41.66"/>
        <n v="27.7"/>
        <n v="50.0"/>
        <n v="54.65"/>
        <n v="101.18"/>
        <n v="78.7"/>
        <n v="99.36"/>
        <n v="108.49"/>
        <n v="84.39"/>
        <n v="60.43"/>
        <n v="58.87"/>
        <n v="45.78"/>
        <n v="108.33"/>
        <n v="47.39"/>
        <n v="26.31"/>
        <n v="36.86"/>
        <n v="76.07"/>
        <n v="32.41"/>
        <n v="37.04"/>
        <n v="133.56"/>
        <n v="76.32"/>
        <n v="57.23"/>
        <n v="69.02"/>
        <n v="77.65"/>
        <n v="109.97"/>
        <n v="39.27"/>
        <n v="47.0"/>
        <n v="36.5"/>
        <n v="70.83"/>
        <n v="56.6"/>
        <n v="101.57"/>
        <n v="101.58"/>
        <n v="73.35"/>
        <n v="117.11"/>
        <n v="80.29"/>
        <n v="66.12"/>
        <n v="31.28"/>
        <n v="52.03"/>
        <n v="80.42"/>
        <n v="48.36"/>
        <n v="54.41"/>
        <n v="42.32"/>
        <n v="73.2"/>
        <n v="85.61"/>
        <n v="71.35"/>
        <n v="66.59"/>
        <n v="78.19"/>
        <n v="55.85"/>
        <n v="33.5"/>
        <n v="52.09"/>
        <n v="58.6"/>
        <n v="125.65"/>
        <n v="89.75"/>
        <n v="80.71"/>
        <n v="68.65"/>
        <n v="86.88"/>
        <n v="33.0"/>
        <n v="46.0"/>
        <n v="72.68"/>
        <n v="44.27"/>
        <n v="49.8"/>
        <n v="40.14"/>
        <n v="57.6"/>
        <n v="86.4"/>
        <n v="67.21"/>
        <n v="133.29"/>
        <n v="62.91"/>
        <n v="34.93"/>
        <n v="70.9"/>
        <n v="10.63"/>
        <n v="83.93"/>
        <n v="74.56"/>
        <n v="97.37"/>
        <n v="69.55"/>
        <n v="55.6"/>
        <n v="42.21"/>
        <n v="68.55"/>
        <n v="80.66"/>
        <n v="112.91"/>
        <n v="52.58"/>
        <n v="85.98"/>
        <n v="30.31"/>
        <n v="39.05"/>
        <n v="113.63"/>
        <n v="57.19"/>
        <n v="56.14"/>
        <n v="43.66"/>
        <n v="37.43"/>
        <n v="89.04"/>
        <n v="21.0"/>
        <n v="33.3"/>
        <n v="27.0"/>
        <n v="109.64"/>
        <n v="36.55"/>
        <n v="56.43"/>
        <n v="49.56"/>
        <n v="107.31"/>
        <n v="76.65"/>
        <n v="53.71"/>
        <n v="66.33"/>
        <n v="66.51"/>
        <n v="57.01"/>
        <n v="63.37"/>
        <n v="35.22"/>
        <n v="127.72"/>
        <n v="85.05"/>
        <n v="66.15"/>
        <n v="50.14"/>
        <n v="78.41"/>
        <n v="54.8"/>
        <n v="60.48"/>
        <n v="68.08"/>
        <n v="50.65"/>
        <n v="66.55"/>
        <n v="103.53"/>
        <n v="101.65"/>
        <n v="46.87"/>
        <n v="70.38"/>
        <n v="110.11"/>
        <n v="62.92"/>
        <n v="39.33"/>
        <n v="64.59"/>
        <n v="98.27"/>
        <n v="59.65"/>
        <n v="70.18"/>
        <n v="79.1"/>
        <n v="116.46"/>
        <n v="90.73"/>
        <n v="70.56"/>
        <n v="76.19"/>
        <n v="79.5"/>
        <n v="53.99"/>
        <n v="42.0"/>
        <n v="93.45"/>
        <n v="75.33"/>
        <n v="75.34"/>
        <n v="77.91"/>
        <n v="78.88"/>
        <n v="99.89"/>
        <n v="32.1"/>
        <n v="40.65"/>
        <n v="40.64"/>
        <n v="145.79"/>
        <n v="64.74"/>
        <n v="73.79"/>
        <n v="57.52"/>
        <n v="103.65"/>
        <n v="103.66"/>
        <n v="123.27"/>
        <n v="114.38"/>
        <n v="21.89"/>
        <n v="76.66"/>
        <n v="97.69"/>
        <n v="75.25"/>
        <n v="64.5"/>
        <n v="64.25"/>
        <n v="80.62"/>
        <n v="99.82"/>
        <n v="32.02"/>
        <n v="20.93"/>
        <n v="34.26"/>
        <n v="130.75"/>
        <n v="93.34"/>
        <n v="15.82"/>
        <n v="13.56"/>
        <n v="18.91"/>
        <n v="111.93"/>
        <n v="146.49"/>
        <n v="79.57"/>
        <n v="59.8"/>
        <n v="135.57"/>
        <n v="63.59"/>
        <n v="81.76"/>
        <n v="32.74"/>
        <n v="4.91"/>
        <n v="120.32"/>
        <n v="46.78"/>
        <n v="46.77"/>
        <n v="54.95"/>
        <n v="54.96"/>
        <n v="84.26"/>
        <n v="76.6"/>
        <n v="45.06"/>
        <n v="87.22"/>
        <n v="52.67"/>
        <n v="67.81"/>
        <n v="67.72"/>
        <n v="83.32"/>
        <n v="100.23"/>
        <n v="100.33"/>
        <n v="66.75"/>
        <n v="80.08"/>
        <n v="69.74"/>
        <n v="89.73"/>
        <n v="124.16"/>
        <n v="96.05"/>
        <n v="53.8"/>
        <n v="160.58"/>
        <n v="126.06"/>
        <n v="103.14"/>
        <n v="37.85"/>
        <n v="120.93"/>
        <n v="53.35"/>
        <n v="56.02"/>
        <n v="46.28"/>
        <n v="141.34"/>
        <n v="70.2"/>
        <n v="54.63"/>
        <n v="105.12"/>
        <n v="96.39"/>
        <n v="75.01"/>
        <n v="60.64"/>
        <n v="70.46"/>
        <n v="66.26"/>
        <n v="153.48"/>
        <n v="105.18"/>
        <n v="105.19"/>
        <n v="77.7"/>
        <n v="16.69"/>
        <n v="30.96"/>
        <n v="46.43"/>
        <n v="43.85"/>
        <n v="74.25"/>
        <n v="53.03"/>
        <n v="64.13"/>
        <n v="42.76"/>
        <n v="91.4"/>
        <n v="64.01"/>
        <n v="99.59"/>
        <n v="99.6"/>
        <n v="90.45"/>
        <n v="54.27"/>
        <n v="68.5"/>
        <n v="65.99"/>
        <n v="102.51"/>
        <n v="61.26"/>
        <n v="47.65"/>
        <n v="106.97"/>
        <n v="26.97"/>
        <n v="17.98"/>
        <n v="181.38"/>
        <n v="164.89"/>
        <n v="32.04"/>
        <n v="48.06"/>
        <n v="74.37"/>
        <n v="54.13"/>
        <n v="36.08"/>
        <n v="119.54"/>
        <n v="63.62"/>
        <n v="35.34"/>
        <n v="37.18"/>
        <n v="83.66"/>
        <n v="65.11"/>
        <n v="84.84"/>
        <n v="82.0"/>
        <n v="68.86"/>
        <n v="93.4"/>
        <n v="140.06"/>
        <n v="52.27"/>
        <n v="105.52"/>
        <n v="81.17"/>
        <n v="73.05"/>
        <n v="44.24"/>
        <n v="25.81"/>
        <n v="66.36"/>
        <n v="77.68"/>
        <n v="11.95"/>
        <n v="48.15"/>
        <n v="151.16"/>
        <n v="99.25"/>
        <n v="99.05"/>
        <n v="64.57"/>
        <n v="53.14"/>
        <n v="96.25"/>
        <n v="89.53"/>
        <n v="47.11"/>
        <n v="36.64"/>
        <n v="53.64"/>
        <n v="78.37"/>
        <n v="145.09"/>
        <n v="103.64"/>
        <n v="41.82"/>
        <n v="57.9"/>
        <n v="51.47"/>
        <n v="98.15"/>
        <n v="93.47"/>
        <n v="53.19"/>
        <n v="88.94"/>
        <n v="92.37"/>
        <n v="71.85"/>
        <n v="62.72"/>
        <n v="61.5"/>
        <n v="34.18"/>
        <n v="51.36"/>
        <n v="61.63"/>
        <n v="47.93"/>
        <n v="58.76"/>
        <n v="54.62"/>
        <n v="49.92"/>
        <n v="79.38"/>
        <n v="49.0"/>
        <n v="55.14"/>
        <n v="127.05"/>
        <n v="90.75"/>
        <n v="54.45"/>
        <n v="43.25"/>
        <n v="48.66"/>
        <n v="89.8"/>
        <n v="72.72"/>
        <n v="72.73"/>
        <n v="69.16"/>
        <n v="74.7"/>
        <n v="98.13"/>
        <n v="61.46"/>
        <n v="27.31"/>
        <n v="80.06"/>
        <n v="111.75"/>
        <n v="86.92"/>
        <n v="50.95"/>
        <n v="41.58"/>
        <n v="41.57"/>
        <n v="74.76"/>
        <n v="53.06"/>
        <n v="68.21"/>
        <n v="51.78"/>
        <n v="27.25"/>
        <n v="12.57"/>
        <n v="113.13"/>
        <n v="100.56"/>
        <n v="166.1"/>
        <n v="94.91"/>
        <n v="57.83"/>
        <n v="57.84"/>
        <n v="86.34"/>
        <n v="78.78"/>
        <n v="43.75"/>
        <n v="78.79"/>
        <n v="72.21"/>
        <n v="46.86"/>
        <n v="46.81"/>
        <n v="15.6"/>
        <n v="99.79"/>
        <n v="92.75"/>
        <n v="73.98"/>
        <n v="54.38"/>
        <n v="33.23"/>
        <n v="48.34"/>
        <n v="46.67"/>
        <n v="28.0"/>
        <n v="74.26"/>
        <n v="53.05"/>
        <n v="26.52"/>
        <n v="35.75"/>
        <n v="33.76"/>
        <n v="19.86"/>
        <n v="166.66"/>
        <n v="77.37"/>
        <n v="139.77"/>
        <n v="42.02"/>
        <n v="63.03"/>
        <n v="49.02"/>
        <n v="62.75"/>
        <n v="41.53"/>
        <n v="41.54"/>
        <n v="18.44"/>
        <n v="78.98"/>
        <n v="41.32"/>
        <n v="27.55"/>
        <n v="22.96"/>
        <n v="66.37"/>
        <n v="61.21"/>
        <n v="47.61"/>
        <n v="34.01"/>
        <n v="129.95"/>
        <n v="72.25"/>
        <n v="106.6"/>
        <n v="45.68"/>
        <n v="65.0"/>
        <n v="68.82"/>
        <n v="54.0"/>
        <n v="45.0"/>
        <n v="70.45"/>
        <n v="97.47"/>
        <n v="46.53"/>
        <n v="20.68"/>
        <n v="105.23"/>
        <n v="78.57"/>
        <n v="74.2"/>
        <n v="61.11"/>
        <n v="52.87"/>
        <n v="56.59"/>
        <n v="44.01"/>
        <n v="49.94"/>
        <n v="33.33"/>
        <n v="93.98"/>
        <n v="53.45"/>
        <n v="35.62"/>
        <n v="41.56"/>
        <n v="85.69"/>
        <n v="48.96"/>
        <n v="30.6"/>
        <n v="80.41"/>
        <n v="62.55"/>
        <n v="68.75"/>
        <n v="48.14"/>
        <n v="46.04"/>
        <n v="38.36"/>
        <n v="103.15"/>
        <n v="42.18"/>
        <n v="42.19"/>
        <n v="89.33"/>
        <n v="83.83"/>
        <n v="27.95"/>
        <n v="42.04"/>
        <n v="61.62"/>
        <n v="34.22"/>
        <n v="27.38"/>
        <n v="109.99"/>
        <n v="24.49"/>
        <n v="71.58"/>
        <n v="100.92"/>
        <n v="67.28"/>
        <n v="144.62"/>
        <n v="103.32"/>
        <n v="54.09"/>
        <n v="108.19"/>
        <n v="95.33"/>
        <n v="68.05"/>
        <n v="54.44"/>
        <n v="77.71"/>
        <n v="108.83"/>
        <n v="51.55"/>
        <n v="51.56"/>
        <n v="112.38"/>
        <n v="66.41"/>
        <n v="103.88"/>
        <n v="58.68"/>
        <n v="32.6"/>
        <n v="29.34"/>
        <n v="74.27"/>
        <n v="86.62"/>
        <n v="127.75"/>
        <n v="56.28"/>
        <n v="72.36"/>
        <n v="86.63"/>
        <n v="43.31"/>
        <n v="24.75"/>
        <n v="52.96"/>
        <n v="63.5"/>
        <n v="63.55"/>
        <n v="111.88"/>
        <n v="59.94"/>
        <n v="14.26"/>
        <n v="75.73"/>
        <n v="43.84"/>
        <n v="56.35"/>
        <n v="119.66"/>
        <n v="87.47"/>
        <n v="62.24"/>
        <n v="19.93"/>
        <n v="88.58"/>
        <n v="68.9"/>
        <n v="127.32"/>
        <n v="108.68"/>
        <n v="135.6"/>
        <n v="58.12"/>
        <n v="37.56"/>
        <n v="43.82"/>
        <n v="105.5"/>
        <n v="117.23"/>
        <n v="44.35"/>
        <n v="49.89"/>
        <n v="167.48"/>
        <n v="86.44"/>
        <n v="77.69"/>
        <n v="115.88"/>
        <n v="110.61"/>
        <n v="41.51"/>
        <n v="100.57"/>
        <n v="73.38"/>
        <n v="94.35"/>
        <n v="141.02"/>
        <n v="60.44"/>
        <n v="56.27"/>
        <n v="12.5"/>
        <n v="54.46"/>
        <n v="14.48"/>
        <n v="33.79"/>
        <n v="85.92"/>
        <n v="86.58"/>
        <n v="38.48"/>
        <n v="48.1"/>
        <n v="98.17"/>
        <n v="17.58"/>
        <n v="46.88"/>
        <n v="52.74"/>
        <n v="88.99"/>
        <n v="42.65"/>
        <n v="28.43"/>
        <n v="45.58"/>
        <n v="54.99"/>
        <n v="85.02"/>
        <n v="115.1"/>
        <n v="76.73"/>
        <n v="70.17"/>
        <n v="50.12"/>
        <n v="30.07"/>
        <n v="110.52"/>
        <n v="73.69"/>
        <n v="67.61"/>
        <n v="57.47"/>
        <n v="118.59"/>
        <n v="57.21"/>
        <n v="100.4"/>
        <n v="66.94"/>
        <n v="96.57"/>
        <n v="24.27"/>
        <n v="72.81"/>
        <n v="92.78"/>
        <n v="71.06"/>
        <n v="54.52"/>
        <n v="37.95"/>
        <n v="54.21"/>
        <n v="71.65"/>
        <n v="63.68"/>
        <n v="74.79"/>
        <n v="32.05"/>
        <n v="25.71"/>
        <n v="59.31"/>
        <n v="78.53"/>
        <n v="86.86"/>
        <n v="70.81"/>
        <n v="59.01"/>
        <n v="54.42"/>
        <n v="27.16"/>
        <n v="83.28"/>
        <n v="25.45"/>
        <n v="22.62"/>
        <n v="8.76"/>
        <n v="87.14"/>
        <n v="62.37"/>
        <n v="20.79"/>
        <n v="107.1"/>
        <n v="78.35"/>
        <n v="110.12"/>
        <n v="137.65"/>
        <n v="42.46"/>
        <n v="37.16"/>
        <n v="47.77"/>
        <n v="21.46"/>
        <n v="31.22"/>
        <n v="46.83"/>
        <n v="36.42"/>
        <n v="118.21"/>
        <n v="87.99"/>
        <n v="98.99"/>
        <n v="122.33"/>
        <n v="46.8"/>
        <n v="41.6"/>
        <n v="31.2"/>
        <n v="66.07"/>
        <n v="53.34"/>
        <n v="100.3"/>
        <n v="38.53"/>
        <n v="34.25"/>
        <n v="46.91"/>
        <n v="184.36"/>
        <n v="31.74"/>
        <n v="175.98"/>
        <n v="74.48"/>
        <n v="62.68"/>
        <n v="77.1"/>
        <n v="38.09"/>
        <n v="33.86"/>
        <n v="19.05"/>
        <n v="105.08"/>
        <n v="29.54"/>
        <n v="24.61"/>
        <n v="69.87"/>
        <n v="41.93"/>
        <n v="50.25"/>
        <n v="57.29"/>
        <n v="49.11"/>
      </sharedItems>
    </cacheField>
    <cacheField name="Training" numFmtId="0">
      <sharedItems>
        <s v="No"/>
        <s v="Yes"/>
      </sharedItems>
    </cacheField>
    <cacheField name="Sick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ip_trend" cacheId="0" dataCaption="" compact="0" compactData="0">
  <location ref="A1:B14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name="Month" axis="axisRow" compact="0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name="Day" compact="0" numFmtId="167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hift" compact="0" outline="0" multipleItemSelectionAllowed="1" showAll="0">
      <items>
        <item x="0"/>
        <item x="1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m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t="default"/>
      </items>
    </pivotField>
    <pivotField name="Training" compact="0" outline="0" multipleItemSelectionAllowed="1" showAll="0">
      <items>
        <item x="0"/>
        <item x="1"/>
        <item t="default"/>
      </items>
    </pivotField>
    <pivotField name="Sick" compact="0" outline="0" multipleItemSelectionAllowed="1" showAll="0">
      <items>
        <item x="0"/>
        <item x="1"/>
        <item t="default"/>
      </items>
    </pivotField>
  </pivotFields>
  <rowFields>
    <field x="1"/>
  </rowFields>
  <dataFields>
    <dataField name="SUM of Amount" fld="5" baseField="0"/>
  </dataFields>
</pivotTableDefinition>
</file>

<file path=xl/pivotTables/pivotTable2.xml><?xml version="1.0" encoding="utf-8"?>
<pivotTableDefinition xmlns="http://schemas.openxmlformats.org/spreadsheetml/2006/main" name="best_shift_to_work" cacheId="0" dataCaption="" rowGrandTotals="0" colGrandTotals="0" compact="0" compactData="0">
  <location ref="A1:C9" firstHeaderRow="0" firstDataRow="1" firstDataCol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Day" axis="axisRow" compact="0" numFmtId="167" outline="0" multipleItemSelectionAllowed="1" showAll="0" sortType="ascending">
      <items>
        <item x="5"/>
        <item x="1"/>
        <item x="6"/>
        <item x="0"/>
        <item x="4"/>
        <item x="2"/>
        <item x="3"/>
        <item t="default"/>
      </items>
    </pivotField>
    <pivotField name="Shift" axis="axisCol" compact="0" outline="0" multipleItemSelectionAllowed="1" showAll="0" sortType="descending">
      <items>
        <item x="0"/>
        <item x="1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mou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t="default"/>
      </items>
    </pivotField>
    <pivotField name="Training" compact="0" outline="0" multipleItemSelectionAllowed="1" showAll="0">
      <items>
        <item x="0"/>
        <item x="1"/>
        <item t="default"/>
      </items>
    </pivotField>
    <pivotField name="Sick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3"/>
  </colFields>
  <dataFields>
    <dataField name="AVERAGE of Amount" fld="5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IFERROR(__xludf.DUMMYFUNCTION("IMPORTRANGE(""https://docs.google.com/spreadsheets/d/1X0xMtBqQDB580tPGVZpwFZJikuKY9-nz7CMnQIN1cq0/edit#gid=0"",""Sheet1!A1:F1628"")"),"Date")</f>
        <v>Date</v>
      </c>
      <c r="B1" s="2" t="str">
        <f>IFERROR(__xludf.DUMMYFUNCTION("""COMPUTED_VALUE"""),"Shift")</f>
        <v>Shift</v>
      </c>
      <c r="C1" s="2" t="str">
        <f>IFERROR(__xludf.DUMMYFUNCTION("""COMPUTED_VALUE"""),"Name")</f>
        <v>Name</v>
      </c>
      <c r="D1" s="3" t="str">
        <f>IFERROR(__xludf.DUMMYFUNCTION("""COMPUTED_VALUE"""),"Amount")</f>
        <v>Amount</v>
      </c>
      <c r="E1" s="2" t="str">
        <f>IFERROR(__xludf.DUMMYFUNCTION("""COMPUTED_VALUE"""),"Training")</f>
        <v>Training</v>
      </c>
      <c r="F1" s="4" t="str">
        <f>IFERROR(__xludf.DUMMYFUNCTION("""COMPUTED_VALUE"""),"Sick")</f>
        <v>Sick</v>
      </c>
    </row>
    <row r="2">
      <c r="A2" s="5">
        <f>IFERROR(__xludf.DUMMYFUNCTION("""COMPUTED_VALUE"""),44563.0)</f>
        <v>44563</v>
      </c>
      <c r="B2" s="6" t="str">
        <f>IFERROR(__xludf.DUMMYFUNCTION("""COMPUTED_VALUE"""),"lunch")</f>
        <v>lunch</v>
      </c>
      <c r="C2" s="6" t="str">
        <f>IFERROR(__xludf.DUMMYFUNCTION("""COMPUTED_VALUE"""),"employee Q")</f>
        <v>employee Q</v>
      </c>
      <c r="D2" s="7">
        <f>IFERROR(__xludf.DUMMYFUNCTION("""COMPUTED_VALUE"""),86.32)</f>
        <v>86.32</v>
      </c>
      <c r="E2" s="6" t="str">
        <f>IFERROR(__xludf.DUMMYFUNCTION("""COMPUTED_VALUE"""),"No")</f>
        <v>No</v>
      </c>
      <c r="F2" s="8" t="str">
        <f>IFERROR(__xludf.DUMMYFUNCTION("""COMPUTED_VALUE"""),"No")</f>
        <v>No</v>
      </c>
    </row>
    <row r="3">
      <c r="A3" s="5">
        <f>IFERROR(__xludf.DUMMYFUNCTION("""COMPUTED_VALUE"""),44563.0)</f>
        <v>44563</v>
      </c>
      <c r="B3" s="6" t="str">
        <f>IFERROR(__xludf.DUMMYFUNCTION("""COMPUTED_VALUE"""),"lunch")</f>
        <v>lunch</v>
      </c>
      <c r="C3" s="6" t="str">
        <f>IFERROR(__xludf.DUMMYFUNCTION("""COMPUTED_VALUE"""),"employee B")</f>
        <v>employee B</v>
      </c>
      <c r="D3" s="7">
        <f>IFERROR(__xludf.DUMMYFUNCTION("""COMPUTED_VALUE"""),61.66)</f>
        <v>61.66</v>
      </c>
      <c r="E3" s="6" t="str">
        <f>IFERROR(__xludf.DUMMYFUNCTION("""COMPUTED_VALUE"""),"No")</f>
        <v>No</v>
      </c>
      <c r="F3" s="8" t="str">
        <f>IFERROR(__xludf.DUMMYFUNCTION("""COMPUTED_VALUE"""),"No")</f>
        <v>No</v>
      </c>
    </row>
    <row r="4">
      <c r="A4" s="5">
        <f>IFERROR(__xludf.DUMMYFUNCTION("""COMPUTED_VALUE"""),44563.0)</f>
        <v>44563</v>
      </c>
      <c r="B4" s="6" t="str">
        <f>IFERROR(__xludf.DUMMYFUNCTION("""COMPUTED_VALUE"""),"dinner")</f>
        <v>dinner</v>
      </c>
      <c r="C4" s="6" t="str">
        <f>IFERROR(__xludf.DUMMYFUNCTION("""COMPUTED_VALUE"""),"employee Q")</f>
        <v>employee Q</v>
      </c>
      <c r="D4" s="7">
        <f>IFERROR(__xludf.DUMMYFUNCTION("""COMPUTED_VALUE"""),98.69)</f>
        <v>98.69</v>
      </c>
      <c r="E4" s="6" t="str">
        <f>IFERROR(__xludf.DUMMYFUNCTION("""COMPUTED_VALUE"""),"No")</f>
        <v>No</v>
      </c>
      <c r="F4" s="8" t="str">
        <f>IFERROR(__xludf.DUMMYFUNCTION("""COMPUTED_VALUE"""),"No")</f>
        <v>No</v>
      </c>
    </row>
    <row r="5">
      <c r="A5" s="5">
        <f>IFERROR(__xludf.DUMMYFUNCTION("""COMPUTED_VALUE"""),44563.0)</f>
        <v>44563</v>
      </c>
      <c r="B5" s="6" t="str">
        <f>IFERROR(__xludf.DUMMYFUNCTION("""COMPUTED_VALUE"""),"dinner")</f>
        <v>dinner</v>
      </c>
      <c r="C5" s="6" t="str">
        <f>IFERROR(__xludf.DUMMYFUNCTION("""COMPUTED_VALUE"""),"employee C")</f>
        <v>employee C</v>
      </c>
      <c r="D5" s="7">
        <f>IFERROR(__xludf.DUMMYFUNCTION("""COMPUTED_VALUE"""),87.73)</f>
        <v>87.73</v>
      </c>
      <c r="E5" s="6" t="str">
        <f>IFERROR(__xludf.DUMMYFUNCTION("""COMPUTED_VALUE"""),"No")</f>
        <v>No</v>
      </c>
      <c r="F5" s="8" t="str">
        <f>IFERROR(__xludf.DUMMYFUNCTION("""COMPUTED_VALUE"""),"No")</f>
        <v>No</v>
      </c>
    </row>
    <row r="6">
      <c r="A6" s="5">
        <f>IFERROR(__xludf.DUMMYFUNCTION("""COMPUTED_VALUE"""),44564.0)</f>
        <v>44564</v>
      </c>
      <c r="B6" s="6" t="str">
        <f>IFERROR(__xludf.DUMMYFUNCTION("""COMPUTED_VALUE"""),"lunch")</f>
        <v>lunch</v>
      </c>
      <c r="C6" s="6" t="str">
        <f>IFERROR(__xludf.DUMMYFUNCTION("""COMPUTED_VALUE"""),"employee Q")</f>
        <v>employee Q</v>
      </c>
      <c r="D6" s="7">
        <f>IFERROR(__xludf.DUMMYFUNCTION("""COMPUTED_VALUE"""),152.05)</f>
        <v>152.05</v>
      </c>
      <c r="E6" s="6" t="str">
        <f>IFERROR(__xludf.DUMMYFUNCTION("""COMPUTED_VALUE"""),"No")</f>
        <v>No</v>
      </c>
      <c r="F6" s="8" t="str">
        <f>IFERROR(__xludf.DUMMYFUNCTION("""COMPUTED_VALUE"""),"No")</f>
        <v>No</v>
      </c>
    </row>
    <row r="7">
      <c r="A7" s="5">
        <f>IFERROR(__xludf.DUMMYFUNCTION("""COMPUTED_VALUE"""),44564.0)</f>
        <v>44564</v>
      </c>
      <c r="B7" s="6" t="str">
        <f>IFERROR(__xludf.DUMMYFUNCTION("""COMPUTED_VALUE"""),"dinner")</f>
        <v>dinner</v>
      </c>
      <c r="C7" s="6" t="str">
        <f>IFERROR(__xludf.DUMMYFUNCTION("""COMPUTED_VALUE"""),"employee Q")</f>
        <v>employee Q</v>
      </c>
      <c r="D7" s="7">
        <f>IFERROR(__xludf.DUMMYFUNCTION("""COMPUTED_VALUE"""),79.13)</f>
        <v>79.13</v>
      </c>
      <c r="E7" s="6" t="str">
        <f>IFERROR(__xludf.DUMMYFUNCTION("""COMPUTED_VALUE"""),"No")</f>
        <v>No</v>
      </c>
      <c r="F7" s="8" t="str">
        <f>IFERROR(__xludf.DUMMYFUNCTION("""COMPUTED_VALUE"""),"No")</f>
        <v>No</v>
      </c>
    </row>
    <row r="8">
      <c r="A8" s="5">
        <f>IFERROR(__xludf.DUMMYFUNCTION("""COMPUTED_VALUE"""),44564.0)</f>
        <v>44564</v>
      </c>
      <c r="B8" s="6" t="str">
        <f>IFERROR(__xludf.DUMMYFUNCTION("""COMPUTED_VALUE"""),"dinner")</f>
        <v>dinner</v>
      </c>
      <c r="C8" s="6" t="str">
        <f>IFERROR(__xludf.DUMMYFUNCTION("""COMPUTED_VALUE"""),"employee B")</f>
        <v>employee B</v>
      </c>
      <c r="D8" s="7">
        <f>IFERROR(__xludf.DUMMYFUNCTION("""COMPUTED_VALUE"""),79.13)</f>
        <v>79.13</v>
      </c>
      <c r="E8" s="6" t="str">
        <f>IFERROR(__xludf.DUMMYFUNCTION("""COMPUTED_VALUE"""),"No")</f>
        <v>No</v>
      </c>
      <c r="F8" s="8" t="str">
        <f>IFERROR(__xludf.DUMMYFUNCTION("""COMPUTED_VALUE"""),"No")</f>
        <v>No</v>
      </c>
    </row>
    <row r="9">
      <c r="A9" s="5">
        <f>IFERROR(__xludf.DUMMYFUNCTION("""COMPUTED_VALUE"""),44564.0)</f>
        <v>44564</v>
      </c>
      <c r="B9" s="6" t="str">
        <f>IFERROR(__xludf.DUMMYFUNCTION("""COMPUTED_VALUE"""),"dinner")</f>
        <v>dinner</v>
      </c>
      <c r="C9" s="6" t="str">
        <f>IFERROR(__xludf.DUMMYFUNCTION("""COMPUTED_VALUE"""),"employee E")</f>
        <v>employee E</v>
      </c>
      <c r="D9" s="7">
        <f>IFERROR(__xludf.DUMMYFUNCTION("""COMPUTED_VALUE"""),52.76)</f>
        <v>52.76</v>
      </c>
      <c r="E9" s="6" t="str">
        <f>IFERROR(__xludf.DUMMYFUNCTION("""COMPUTED_VALUE"""),"No")</f>
        <v>No</v>
      </c>
      <c r="F9" s="8" t="str">
        <f>IFERROR(__xludf.DUMMYFUNCTION("""COMPUTED_VALUE"""),"No")</f>
        <v>No</v>
      </c>
    </row>
    <row r="10">
      <c r="A10" s="5">
        <f>IFERROR(__xludf.DUMMYFUNCTION("""COMPUTED_VALUE"""),44565.0)</f>
        <v>44565</v>
      </c>
      <c r="B10" s="6" t="str">
        <f>IFERROR(__xludf.DUMMYFUNCTION("""COMPUTED_VALUE"""),"lunch")</f>
        <v>lunch</v>
      </c>
      <c r="C10" s="6" t="str">
        <f>IFERROR(__xludf.DUMMYFUNCTION("""COMPUTED_VALUE"""),"employee J")</f>
        <v>employee J</v>
      </c>
      <c r="D10" s="7">
        <f>IFERROR(__xludf.DUMMYFUNCTION("""COMPUTED_VALUE"""),93.68)</f>
        <v>93.68</v>
      </c>
      <c r="E10" s="6" t="str">
        <f>IFERROR(__xludf.DUMMYFUNCTION("""COMPUTED_VALUE"""),"No")</f>
        <v>No</v>
      </c>
      <c r="F10" s="8" t="str">
        <f>IFERROR(__xludf.DUMMYFUNCTION("""COMPUTED_VALUE"""),"No")</f>
        <v>No</v>
      </c>
    </row>
    <row r="11">
      <c r="A11" s="5">
        <f>IFERROR(__xludf.DUMMYFUNCTION("""COMPUTED_VALUE"""),44565.0)</f>
        <v>44565</v>
      </c>
      <c r="B11" s="6" t="str">
        <f>IFERROR(__xludf.DUMMYFUNCTION("""COMPUTED_VALUE"""),"dinner")</f>
        <v>dinner</v>
      </c>
      <c r="C11" s="6" t="str">
        <f>IFERROR(__xludf.DUMMYFUNCTION("""COMPUTED_VALUE"""),"employee J")</f>
        <v>employee J</v>
      </c>
      <c r="D11" s="7">
        <f>IFERROR(__xludf.DUMMYFUNCTION("""COMPUTED_VALUE"""),27.89)</f>
        <v>27.89</v>
      </c>
      <c r="E11" s="6" t="str">
        <f>IFERROR(__xludf.DUMMYFUNCTION("""COMPUTED_VALUE"""),"No")</f>
        <v>No</v>
      </c>
      <c r="F11" s="8" t="str">
        <f>IFERROR(__xludf.DUMMYFUNCTION("""COMPUTED_VALUE"""),"No")</f>
        <v>No</v>
      </c>
    </row>
    <row r="12">
      <c r="A12" s="5">
        <f>IFERROR(__xludf.DUMMYFUNCTION("""COMPUTED_VALUE"""),44565.0)</f>
        <v>44565</v>
      </c>
      <c r="B12" s="6" t="str">
        <f>IFERROR(__xludf.DUMMYFUNCTION("""COMPUTED_VALUE"""),"dinner")</f>
        <v>dinner</v>
      </c>
      <c r="C12" s="6" t="str">
        <f>IFERROR(__xludf.DUMMYFUNCTION("""COMPUTED_VALUE"""),"employee C")</f>
        <v>employee C</v>
      </c>
      <c r="D12" s="7">
        <f>IFERROR(__xludf.DUMMYFUNCTION("""COMPUTED_VALUE"""),18.6)</f>
        <v>18.6</v>
      </c>
      <c r="E12" s="6" t="str">
        <f>IFERROR(__xludf.DUMMYFUNCTION("""COMPUTED_VALUE"""),"No")</f>
        <v>No</v>
      </c>
      <c r="F12" s="8" t="str">
        <f>IFERROR(__xludf.DUMMYFUNCTION("""COMPUTED_VALUE"""),"No")</f>
        <v>No</v>
      </c>
    </row>
    <row r="13">
      <c r="A13" s="5">
        <f>IFERROR(__xludf.DUMMYFUNCTION("""COMPUTED_VALUE"""),44566.0)</f>
        <v>44566</v>
      </c>
      <c r="B13" s="6" t="str">
        <f>IFERROR(__xludf.DUMMYFUNCTION("""COMPUTED_VALUE"""),"lunch")</f>
        <v>lunch</v>
      </c>
      <c r="C13" s="6" t="str">
        <f>IFERROR(__xludf.DUMMYFUNCTION("""COMPUTED_VALUE"""),"employee Q")</f>
        <v>employee Q</v>
      </c>
      <c r="D13" s="7">
        <f>IFERROR(__xludf.DUMMYFUNCTION("""COMPUTED_VALUE"""),91.49)</f>
        <v>91.49</v>
      </c>
      <c r="E13" s="6" t="str">
        <f>IFERROR(__xludf.DUMMYFUNCTION("""COMPUTED_VALUE"""),"No")</f>
        <v>No</v>
      </c>
      <c r="F13" s="8" t="str">
        <f>IFERROR(__xludf.DUMMYFUNCTION("""COMPUTED_VALUE"""),"No")</f>
        <v>No</v>
      </c>
    </row>
    <row r="14">
      <c r="A14" s="5">
        <f>IFERROR(__xludf.DUMMYFUNCTION("""COMPUTED_VALUE"""),44566.0)</f>
        <v>44566</v>
      </c>
      <c r="B14" s="6" t="str">
        <f>IFERROR(__xludf.DUMMYFUNCTION("""COMPUTED_VALUE"""),"lunch")</f>
        <v>lunch</v>
      </c>
      <c r="C14" s="6" t="str">
        <f>IFERROR(__xludf.DUMMYFUNCTION("""COMPUTED_VALUE"""),"employee C")</f>
        <v>employee C</v>
      </c>
      <c r="D14" s="7">
        <f>IFERROR(__xludf.DUMMYFUNCTION("""COMPUTED_VALUE"""),10.17)</f>
        <v>10.17</v>
      </c>
      <c r="E14" s="6" t="str">
        <f>IFERROR(__xludf.DUMMYFUNCTION("""COMPUTED_VALUE"""),"No")</f>
        <v>No</v>
      </c>
      <c r="F14" s="8" t="str">
        <f>IFERROR(__xludf.DUMMYFUNCTION("""COMPUTED_VALUE"""),"No")</f>
        <v>No</v>
      </c>
    </row>
    <row r="15">
      <c r="A15" s="5">
        <f>IFERROR(__xludf.DUMMYFUNCTION("""COMPUTED_VALUE"""),44566.0)</f>
        <v>44566</v>
      </c>
      <c r="B15" s="6" t="str">
        <f>IFERROR(__xludf.DUMMYFUNCTION("""COMPUTED_VALUE"""),"dinner")</f>
        <v>dinner</v>
      </c>
      <c r="C15" s="6" t="str">
        <f>IFERROR(__xludf.DUMMYFUNCTION("""COMPUTED_VALUE"""),"employee J")</f>
        <v>employee J</v>
      </c>
      <c r="D15" s="7">
        <f>IFERROR(__xludf.DUMMYFUNCTION("""COMPUTED_VALUE"""),53.3)</f>
        <v>53.3</v>
      </c>
      <c r="E15" s="6" t="str">
        <f>IFERROR(__xludf.DUMMYFUNCTION("""COMPUTED_VALUE"""),"No")</f>
        <v>No</v>
      </c>
      <c r="F15" s="8" t="str">
        <f>IFERROR(__xludf.DUMMYFUNCTION("""COMPUTED_VALUE"""),"No")</f>
        <v>No</v>
      </c>
    </row>
    <row r="16">
      <c r="A16" s="5">
        <f>IFERROR(__xludf.DUMMYFUNCTION("""COMPUTED_VALUE"""),44566.0)</f>
        <v>44566</v>
      </c>
      <c r="B16" s="6" t="str">
        <f>IFERROR(__xludf.DUMMYFUNCTION("""COMPUTED_VALUE"""),"dinner")</f>
        <v>dinner</v>
      </c>
      <c r="C16" s="6" t="str">
        <f>IFERROR(__xludf.DUMMYFUNCTION("""COMPUTED_VALUE"""),"employee C")</f>
        <v>employee C</v>
      </c>
      <c r="D16" s="7">
        <f>IFERROR(__xludf.DUMMYFUNCTION("""COMPUTED_VALUE"""),47.38)</f>
        <v>47.38</v>
      </c>
      <c r="E16" s="6" t="str">
        <f>IFERROR(__xludf.DUMMYFUNCTION("""COMPUTED_VALUE"""),"No")</f>
        <v>No</v>
      </c>
      <c r="F16" s="8" t="str">
        <f>IFERROR(__xludf.DUMMYFUNCTION("""COMPUTED_VALUE"""),"No")</f>
        <v>No</v>
      </c>
    </row>
    <row r="17">
      <c r="A17" s="5">
        <f>IFERROR(__xludf.DUMMYFUNCTION("""COMPUTED_VALUE"""),44566.0)</f>
        <v>44566</v>
      </c>
      <c r="B17" s="6" t="str">
        <f>IFERROR(__xludf.DUMMYFUNCTION("""COMPUTED_VALUE"""),"lunch")</f>
        <v>lunch</v>
      </c>
      <c r="C17" s="6" t="str">
        <f>IFERROR(__xludf.DUMMYFUNCTION("""COMPUTED_VALUE"""),"employee J")</f>
        <v>employee J</v>
      </c>
      <c r="D17" s="7">
        <f>IFERROR(__xludf.DUMMYFUNCTION("""COMPUTED_VALUE"""),117.72)</f>
        <v>117.72</v>
      </c>
      <c r="E17" s="6" t="str">
        <f>IFERROR(__xludf.DUMMYFUNCTION("""COMPUTED_VALUE"""),"No")</f>
        <v>No</v>
      </c>
      <c r="F17" s="8" t="str">
        <f>IFERROR(__xludf.DUMMYFUNCTION("""COMPUTED_VALUE"""),"No")</f>
        <v>No</v>
      </c>
    </row>
    <row r="18">
      <c r="A18" s="5">
        <f>IFERROR(__xludf.DUMMYFUNCTION("""COMPUTED_VALUE"""),44567.0)</f>
        <v>44567</v>
      </c>
      <c r="B18" s="6" t="str">
        <f>IFERROR(__xludf.DUMMYFUNCTION("""COMPUTED_VALUE"""),"dinner")</f>
        <v>dinner</v>
      </c>
      <c r="C18" s="6" t="str">
        <f>IFERROR(__xludf.DUMMYFUNCTION("""COMPUTED_VALUE"""),"employee J")</f>
        <v>employee J</v>
      </c>
      <c r="D18" s="7">
        <f>IFERROR(__xludf.DUMMYFUNCTION("""COMPUTED_VALUE"""),64.7)</f>
        <v>64.7</v>
      </c>
      <c r="E18" s="6" t="str">
        <f>IFERROR(__xludf.DUMMYFUNCTION("""COMPUTED_VALUE"""),"No")</f>
        <v>No</v>
      </c>
      <c r="F18" s="8" t="str">
        <f>IFERROR(__xludf.DUMMYFUNCTION("""COMPUTED_VALUE"""),"No")</f>
        <v>No</v>
      </c>
    </row>
    <row r="19">
      <c r="A19" s="5">
        <f>IFERROR(__xludf.DUMMYFUNCTION("""COMPUTED_VALUE"""),44567.0)</f>
        <v>44567</v>
      </c>
      <c r="B19" s="6" t="str">
        <f>IFERROR(__xludf.DUMMYFUNCTION("""COMPUTED_VALUE"""),"dinner")</f>
        <v>dinner</v>
      </c>
      <c r="C19" s="6" t="str">
        <f>IFERROR(__xludf.DUMMYFUNCTION("""COMPUTED_VALUE"""),"employee E")</f>
        <v>employee E</v>
      </c>
      <c r="D19" s="7">
        <f>IFERROR(__xludf.DUMMYFUNCTION("""COMPUTED_VALUE"""),64.7)</f>
        <v>64.7</v>
      </c>
      <c r="E19" s="6" t="str">
        <f>IFERROR(__xludf.DUMMYFUNCTION("""COMPUTED_VALUE"""),"No")</f>
        <v>No</v>
      </c>
      <c r="F19" s="8" t="str">
        <f>IFERROR(__xludf.DUMMYFUNCTION("""COMPUTED_VALUE"""),"No")</f>
        <v>No</v>
      </c>
    </row>
    <row r="20">
      <c r="A20" s="5">
        <f>IFERROR(__xludf.DUMMYFUNCTION("""COMPUTED_VALUE"""),44568.0)</f>
        <v>44568</v>
      </c>
      <c r="B20" s="6" t="str">
        <f>IFERROR(__xludf.DUMMYFUNCTION("""COMPUTED_VALUE"""),"lunch")</f>
        <v>lunch</v>
      </c>
      <c r="C20" s="6" t="str">
        <f>IFERROR(__xludf.DUMMYFUNCTION("""COMPUTED_VALUE"""),"employee Q")</f>
        <v>employee Q</v>
      </c>
      <c r="D20" s="7">
        <f>IFERROR(__xludf.DUMMYFUNCTION("""COMPUTED_VALUE"""),91.66)</f>
        <v>91.66</v>
      </c>
      <c r="E20" s="6" t="str">
        <f>IFERROR(__xludf.DUMMYFUNCTION("""COMPUTED_VALUE"""),"No")</f>
        <v>No</v>
      </c>
      <c r="F20" s="8" t="str">
        <f>IFERROR(__xludf.DUMMYFUNCTION("""COMPUTED_VALUE"""),"No")</f>
        <v>No</v>
      </c>
    </row>
    <row r="21">
      <c r="A21" s="5">
        <f>IFERROR(__xludf.DUMMYFUNCTION("""COMPUTED_VALUE"""),44568.0)</f>
        <v>44568</v>
      </c>
      <c r="B21" s="6" t="str">
        <f>IFERROR(__xludf.DUMMYFUNCTION("""COMPUTED_VALUE"""),"dinner")</f>
        <v>dinner</v>
      </c>
      <c r="C21" s="6" t="str">
        <f>IFERROR(__xludf.DUMMYFUNCTION("""COMPUTED_VALUE"""),"employee J")</f>
        <v>employee J</v>
      </c>
      <c r="D21" s="7">
        <f>IFERROR(__xludf.DUMMYFUNCTION("""COMPUTED_VALUE"""),100.47)</f>
        <v>100.47</v>
      </c>
      <c r="E21" s="6" t="str">
        <f>IFERROR(__xludf.DUMMYFUNCTION("""COMPUTED_VALUE"""),"No")</f>
        <v>No</v>
      </c>
      <c r="F21" s="8" t="str">
        <f>IFERROR(__xludf.DUMMYFUNCTION("""COMPUTED_VALUE"""),"No")</f>
        <v>No</v>
      </c>
    </row>
    <row r="22">
      <c r="A22" s="5">
        <f>IFERROR(__xludf.DUMMYFUNCTION("""COMPUTED_VALUE"""),44568.0)</f>
        <v>44568</v>
      </c>
      <c r="B22" s="6" t="str">
        <f>IFERROR(__xludf.DUMMYFUNCTION("""COMPUTED_VALUE"""),"dinner")</f>
        <v>dinner</v>
      </c>
      <c r="C22" s="6" t="str">
        <f>IFERROR(__xludf.DUMMYFUNCTION("""COMPUTED_VALUE"""),"employee C")</f>
        <v>employee C</v>
      </c>
      <c r="D22" s="7">
        <f>IFERROR(__xludf.DUMMYFUNCTION("""COMPUTED_VALUE"""),100.47)</f>
        <v>100.47</v>
      </c>
      <c r="E22" s="6" t="str">
        <f>IFERROR(__xludf.DUMMYFUNCTION("""COMPUTED_VALUE"""),"No")</f>
        <v>No</v>
      </c>
      <c r="F22" s="8" t="str">
        <f>IFERROR(__xludf.DUMMYFUNCTION("""COMPUTED_VALUE"""),"No")</f>
        <v>No</v>
      </c>
    </row>
    <row r="23">
      <c r="A23" s="5">
        <f>IFERROR(__xludf.DUMMYFUNCTION("""COMPUTED_VALUE"""),44568.0)</f>
        <v>44568</v>
      </c>
      <c r="B23" s="6" t="str">
        <f>IFERROR(__xludf.DUMMYFUNCTION("""COMPUTED_VALUE"""),"dinner")</f>
        <v>dinner</v>
      </c>
      <c r="C23" s="6" t="str">
        <f>IFERROR(__xludf.DUMMYFUNCTION("""COMPUTED_VALUE"""),"employee B")</f>
        <v>employee B</v>
      </c>
      <c r="D23" s="7">
        <f>IFERROR(__xludf.DUMMYFUNCTION("""COMPUTED_VALUE"""),100.47)</f>
        <v>100.47</v>
      </c>
      <c r="E23" s="6" t="str">
        <f>IFERROR(__xludf.DUMMYFUNCTION("""COMPUTED_VALUE"""),"No")</f>
        <v>No</v>
      </c>
      <c r="F23" s="8" t="str">
        <f>IFERROR(__xludf.DUMMYFUNCTION("""COMPUTED_VALUE"""),"No")</f>
        <v>No</v>
      </c>
    </row>
    <row r="24">
      <c r="A24" s="5">
        <f>IFERROR(__xludf.DUMMYFUNCTION("""COMPUTED_VALUE"""),44569.0)</f>
        <v>44569</v>
      </c>
      <c r="B24" s="6" t="str">
        <f>IFERROR(__xludf.DUMMYFUNCTION("""COMPUTED_VALUE"""),"lunch")</f>
        <v>lunch</v>
      </c>
      <c r="C24" s="6" t="str">
        <f>IFERROR(__xludf.DUMMYFUNCTION("""COMPUTED_VALUE"""),"employee Q")</f>
        <v>employee Q</v>
      </c>
      <c r="D24" s="7">
        <f>IFERROR(__xludf.DUMMYFUNCTION("""COMPUTED_VALUE"""),141.65)</f>
        <v>141.65</v>
      </c>
      <c r="E24" s="6" t="str">
        <f>IFERROR(__xludf.DUMMYFUNCTION("""COMPUTED_VALUE"""),"No")</f>
        <v>No</v>
      </c>
      <c r="F24" s="8" t="str">
        <f>IFERROR(__xludf.DUMMYFUNCTION("""COMPUTED_VALUE"""),"No")</f>
        <v>No</v>
      </c>
    </row>
    <row r="25">
      <c r="A25" s="5">
        <f>IFERROR(__xludf.DUMMYFUNCTION("""COMPUTED_VALUE"""),44569.0)</f>
        <v>44569</v>
      </c>
      <c r="B25" s="6" t="str">
        <f>IFERROR(__xludf.DUMMYFUNCTION("""COMPUTED_VALUE"""),"lunch")</f>
        <v>lunch</v>
      </c>
      <c r="C25" s="6" t="str">
        <f>IFERROR(__xludf.DUMMYFUNCTION("""COMPUTED_VALUE"""),"employee B")</f>
        <v>employee B</v>
      </c>
      <c r="D25" s="7">
        <f>IFERROR(__xludf.DUMMYFUNCTION("""COMPUTED_VALUE"""),101.2)</f>
        <v>101.2</v>
      </c>
      <c r="E25" s="6" t="str">
        <f>IFERROR(__xludf.DUMMYFUNCTION("""COMPUTED_VALUE"""),"No")</f>
        <v>No</v>
      </c>
      <c r="F25" s="8" t="str">
        <f>IFERROR(__xludf.DUMMYFUNCTION("""COMPUTED_VALUE"""),"No")</f>
        <v>No</v>
      </c>
    </row>
    <row r="26">
      <c r="A26" s="5">
        <f>IFERROR(__xludf.DUMMYFUNCTION("""COMPUTED_VALUE"""),44569.0)</f>
        <v>44569</v>
      </c>
      <c r="B26" s="6" t="str">
        <f>IFERROR(__xludf.DUMMYFUNCTION("""COMPUTED_VALUE"""),"dinner")</f>
        <v>dinner</v>
      </c>
      <c r="C26" s="6" t="str">
        <f>IFERROR(__xludf.DUMMYFUNCTION("""COMPUTED_VALUE"""),"employee Q")</f>
        <v>employee Q</v>
      </c>
      <c r="D26" s="7">
        <f>IFERROR(__xludf.DUMMYFUNCTION("""COMPUTED_VALUE"""),80.09)</f>
        <v>80.09</v>
      </c>
      <c r="E26" s="6" t="str">
        <f>IFERROR(__xludf.DUMMYFUNCTION("""COMPUTED_VALUE"""),"No")</f>
        <v>No</v>
      </c>
      <c r="F26" s="8" t="str">
        <f>IFERROR(__xludf.DUMMYFUNCTION("""COMPUTED_VALUE"""),"No")</f>
        <v>No</v>
      </c>
    </row>
    <row r="27">
      <c r="A27" s="5">
        <f>IFERROR(__xludf.DUMMYFUNCTION("""COMPUTED_VALUE"""),44569.0)</f>
        <v>44569</v>
      </c>
      <c r="B27" s="6" t="str">
        <f>IFERROR(__xludf.DUMMYFUNCTION("""COMPUTED_VALUE"""),"dinner")</f>
        <v>dinner</v>
      </c>
      <c r="C27" s="6" t="str">
        <f>IFERROR(__xludf.DUMMYFUNCTION("""COMPUTED_VALUE"""),"employee B")</f>
        <v>employee B</v>
      </c>
      <c r="D27" s="7">
        <f>IFERROR(__xludf.DUMMYFUNCTION("""COMPUTED_VALUE"""),80.09)</f>
        <v>80.09</v>
      </c>
      <c r="E27" s="6" t="str">
        <f>IFERROR(__xludf.DUMMYFUNCTION("""COMPUTED_VALUE"""),"No")</f>
        <v>No</v>
      </c>
      <c r="F27" s="8" t="str">
        <f>IFERROR(__xludf.DUMMYFUNCTION("""COMPUTED_VALUE"""),"No")</f>
        <v>No</v>
      </c>
    </row>
    <row r="28">
      <c r="A28" s="5">
        <f>IFERROR(__xludf.DUMMYFUNCTION("""COMPUTED_VALUE"""),44569.0)</f>
        <v>44569</v>
      </c>
      <c r="B28" s="6" t="str">
        <f>IFERROR(__xludf.DUMMYFUNCTION("""COMPUTED_VALUE"""),"dinner")</f>
        <v>dinner</v>
      </c>
      <c r="C28" s="6" t="str">
        <f>IFERROR(__xludf.DUMMYFUNCTION("""COMPUTED_VALUE"""),"employee E")</f>
        <v>employee E</v>
      </c>
      <c r="D28" s="7">
        <f>IFERROR(__xludf.DUMMYFUNCTION("""COMPUTED_VALUE"""),80.09)</f>
        <v>80.09</v>
      </c>
      <c r="E28" s="6" t="str">
        <f>IFERROR(__xludf.DUMMYFUNCTION("""COMPUTED_VALUE"""),"No")</f>
        <v>No</v>
      </c>
      <c r="F28" s="8" t="str">
        <f>IFERROR(__xludf.DUMMYFUNCTION("""COMPUTED_VALUE"""),"No")</f>
        <v>No</v>
      </c>
    </row>
    <row r="29">
      <c r="A29" s="5">
        <f>IFERROR(__xludf.DUMMYFUNCTION("""COMPUTED_VALUE"""),44570.0)</f>
        <v>44570</v>
      </c>
      <c r="B29" s="6" t="str">
        <f>IFERROR(__xludf.DUMMYFUNCTION("""COMPUTED_VALUE"""),"lunch")</f>
        <v>lunch</v>
      </c>
      <c r="C29" s="6" t="str">
        <f>IFERROR(__xludf.DUMMYFUNCTION("""COMPUTED_VALUE"""),"employee J")</f>
        <v>employee J</v>
      </c>
      <c r="D29" s="7">
        <f>IFERROR(__xludf.DUMMYFUNCTION("""COMPUTED_VALUE"""),122.32)</f>
        <v>122.32</v>
      </c>
      <c r="E29" s="6" t="str">
        <f>IFERROR(__xludf.DUMMYFUNCTION("""COMPUTED_VALUE"""),"No")</f>
        <v>No</v>
      </c>
      <c r="F29" s="8" t="str">
        <f>IFERROR(__xludf.DUMMYFUNCTION("""COMPUTED_VALUE"""),"No")</f>
        <v>No</v>
      </c>
    </row>
    <row r="30">
      <c r="A30" s="5">
        <f>IFERROR(__xludf.DUMMYFUNCTION("""COMPUTED_VALUE"""),44570.0)</f>
        <v>44570</v>
      </c>
      <c r="B30" s="6" t="str">
        <f>IFERROR(__xludf.DUMMYFUNCTION("""COMPUTED_VALUE"""),"lunch")</f>
        <v>lunch</v>
      </c>
      <c r="C30" s="6" t="str">
        <f>IFERROR(__xludf.DUMMYFUNCTION("""COMPUTED_VALUE"""),"employee B")</f>
        <v>employee B</v>
      </c>
      <c r="D30" s="7">
        <f>IFERROR(__xludf.DUMMYFUNCTION("""COMPUTED_VALUE"""),78.64)</f>
        <v>78.64</v>
      </c>
      <c r="E30" s="6" t="str">
        <f>IFERROR(__xludf.DUMMYFUNCTION("""COMPUTED_VALUE"""),"No")</f>
        <v>No</v>
      </c>
      <c r="F30" s="8" t="str">
        <f>IFERROR(__xludf.DUMMYFUNCTION("""COMPUTED_VALUE"""),"No")</f>
        <v>No</v>
      </c>
    </row>
    <row r="31">
      <c r="A31" s="5">
        <f>IFERROR(__xludf.DUMMYFUNCTION("""COMPUTED_VALUE"""),44570.0)</f>
        <v>44570</v>
      </c>
      <c r="B31" s="6" t="str">
        <f>IFERROR(__xludf.DUMMYFUNCTION("""COMPUTED_VALUE"""),"lunch")</f>
        <v>lunch</v>
      </c>
      <c r="C31" s="6" t="str">
        <f>IFERROR(__xludf.DUMMYFUNCTION("""COMPUTED_VALUE"""),"employee E")</f>
        <v>employee E</v>
      </c>
      <c r="D31" s="7">
        <f>IFERROR(__xludf.DUMMYFUNCTION("""COMPUTED_VALUE"""),78.64)</f>
        <v>78.64</v>
      </c>
      <c r="E31" s="6" t="str">
        <f>IFERROR(__xludf.DUMMYFUNCTION("""COMPUTED_VALUE"""),"No")</f>
        <v>No</v>
      </c>
      <c r="F31" s="8" t="str">
        <f>IFERROR(__xludf.DUMMYFUNCTION("""COMPUTED_VALUE"""),"No")</f>
        <v>No</v>
      </c>
    </row>
    <row r="32">
      <c r="A32" s="5">
        <f>IFERROR(__xludf.DUMMYFUNCTION("""COMPUTED_VALUE"""),44570.0)</f>
        <v>44570</v>
      </c>
      <c r="B32" s="6" t="str">
        <f>IFERROR(__xludf.DUMMYFUNCTION("""COMPUTED_VALUE"""),"dinner")</f>
        <v>dinner</v>
      </c>
      <c r="C32" s="6" t="str">
        <f>IFERROR(__xludf.DUMMYFUNCTION("""COMPUTED_VALUE"""),"employee B")</f>
        <v>employee B</v>
      </c>
      <c r="D32" s="7">
        <f>IFERROR(__xludf.DUMMYFUNCTION("""COMPUTED_VALUE"""),22.79)</f>
        <v>22.79</v>
      </c>
      <c r="E32" s="6" t="str">
        <f>IFERROR(__xludf.DUMMYFUNCTION("""COMPUTED_VALUE"""),"No")</f>
        <v>No</v>
      </c>
      <c r="F32" s="8" t="str">
        <f>IFERROR(__xludf.DUMMYFUNCTION("""COMPUTED_VALUE"""),"No")</f>
        <v>No</v>
      </c>
    </row>
    <row r="33">
      <c r="A33" s="5">
        <f>IFERROR(__xludf.DUMMYFUNCTION("""COMPUTED_VALUE"""),44570.0)</f>
        <v>44570</v>
      </c>
      <c r="B33" s="6" t="str">
        <f>IFERROR(__xludf.DUMMYFUNCTION("""COMPUTED_VALUE"""),"dinner")</f>
        <v>dinner</v>
      </c>
      <c r="C33" s="6" t="str">
        <f>IFERROR(__xludf.DUMMYFUNCTION("""COMPUTED_VALUE"""),"employee E")</f>
        <v>employee E</v>
      </c>
      <c r="D33" s="7">
        <f>IFERROR(__xludf.DUMMYFUNCTION("""COMPUTED_VALUE"""),68.38)</f>
        <v>68.38</v>
      </c>
      <c r="E33" s="6" t="str">
        <f>IFERROR(__xludf.DUMMYFUNCTION("""COMPUTED_VALUE"""),"No")</f>
        <v>No</v>
      </c>
      <c r="F33" s="8" t="str">
        <f>IFERROR(__xludf.DUMMYFUNCTION("""COMPUTED_VALUE"""),"No")</f>
        <v>No</v>
      </c>
    </row>
    <row r="34">
      <c r="A34" s="5">
        <f>IFERROR(__xludf.DUMMYFUNCTION("""COMPUTED_VALUE"""),44570.0)</f>
        <v>44570</v>
      </c>
      <c r="B34" s="6" t="str">
        <f>IFERROR(__xludf.DUMMYFUNCTION("""COMPUTED_VALUE"""),"dinner")</f>
        <v>dinner</v>
      </c>
      <c r="C34" s="6" t="str">
        <f>IFERROR(__xludf.DUMMYFUNCTION("""COMPUTED_VALUE"""),"employee Q")</f>
        <v>employee Q</v>
      </c>
      <c r="D34" s="7">
        <f>IFERROR(__xludf.DUMMYFUNCTION("""COMPUTED_VALUE"""),68.38)</f>
        <v>68.38</v>
      </c>
      <c r="E34" s="6" t="str">
        <f>IFERROR(__xludf.DUMMYFUNCTION("""COMPUTED_VALUE"""),"No")</f>
        <v>No</v>
      </c>
      <c r="F34" s="8" t="str">
        <f>IFERROR(__xludf.DUMMYFUNCTION("""COMPUTED_VALUE"""),"No")</f>
        <v>No</v>
      </c>
    </row>
    <row r="35">
      <c r="A35" s="5">
        <f>IFERROR(__xludf.DUMMYFUNCTION("""COMPUTED_VALUE"""),44571.0)</f>
        <v>44571</v>
      </c>
      <c r="B35" s="6" t="str">
        <f>IFERROR(__xludf.DUMMYFUNCTION("""COMPUTED_VALUE"""),"lunch")</f>
        <v>lunch</v>
      </c>
      <c r="C35" s="6" t="str">
        <f>IFERROR(__xludf.DUMMYFUNCTION("""COMPUTED_VALUE"""),"employee F")</f>
        <v>employee F</v>
      </c>
      <c r="D35" s="7">
        <f>IFERROR(__xludf.DUMMYFUNCTION("""COMPUTED_VALUE"""),44.9)</f>
        <v>44.9</v>
      </c>
      <c r="E35" s="6" t="str">
        <f>IFERROR(__xludf.DUMMYFUNCTION("""COMPUTED_VALUE"""),"No")</f>
        <v>No</v>
      </c>
      <c r="F35" s="8" t="str">
        <f>IFERROR(__xludf.DUMMYFUNCTION("""COMPUTED_VALUE"""),"No")</f>
        <v>No</v>
      </c>
    </row>
    <row r="36">
      <c r="A36" s="5">
        <f>IFERROR(__xludf.DUMMYFUNCTION("""COMPUTED_VALUE"""),44571.0)</f>
        <v>44571</v>
      </c>
      <c r="B36" s="6" t="str">
        <f>IFERROR(__xludf.DUMMYFUNCTION("""COMPUTED_VALUE"""),"dinner")</f>
        <v>dinner</v>
      </c>
      <c r="C36" s="6" t="str">
        <f>IFERROR(__xludf.DUMMYFUNCTION("""COMPUTED_VALUE"""),"employee J")</f>
        <v>employee J</v>
      </c>
      <c r="D36" s="7">
        <f>IFERROR(__xludf.DUMMYFUNCTION("""COMPUTED_VALUE"""),70.15)</f>
        <v>70.15</v>
      </c>
      <c r="E36" s="6" t="str">
        <f>IFERROR(__xludf.DUMMYFUNCTION("""COMPUTED_VALUE"""),"No")</f>
        <v>No</v>
      </c>
      <c r="F36" s="8" t="str">
        <f>IFERROR(__xludf.DUMMYFUNCTION("""COMPUTED_VALUE"""),"No")</f>
        <v>No</v>
      </c>
    </row>
    <row r="37">
      <c r="A37" s="5">
        <f>IFERROR(__xludf.DUMMYFUNCTION("""COMPUTED_VALUE"""),44571.0)</f>
        <v>44571</v>
      </c>
      <c r="B37" s="6" t="str">
        <f>IFERROR(__xludf.DUMMYFUNCTION("""COMPUTED_VALUE"""),"dinner")</f>
        <v>dinner</v>
      </c>
      <c r="C37" s="6" t="str">
        <f>IFERROR(__xludf.DUMMYFUNCTION("""COMPUTED_VALUE"""),"employee E")</f>
        <v>employee E</v>
      </c>
      <c r="D37" s="7">
        <f>IFERROR(__xludf.DUMMYFUNCTION("""COMPUTED_VALUE"""),70.15)</f>
        <v>70.15</v>
      </c>
      <c r="E37" s="6" t="str">
        <f>IFERROR(__xludf.DUMMYFUNCTION("""COMPUTED_VALUE"""),"No")</f>
        <v>No</v>
      </c>
      <c r="F37" s="8" t="str">
        <f>IFERROR(__xludf.DUMMYFUNCTION("""COMPUTED_VALUE"""),"No")</f>
        <v>No</v>
      </c>
    </row>
    <row r="38">
      <c r="A38" s="5">
        <f>IFERROR(__xludf.DUMMYFUNCTION("""COMPUTED_VALUE"""),44572.0)</f>
        <v>44572</v>
      </c>
      <c r="B38" s="6" t="str">
        <f>IFERROR(__xludf.DUMMYFUNCTION("""COMPUTED_VALUE"""),"lunch")</f>
        <v>lunch</v>
      </c>
      <c r="C38" s="6" t="str">
        <f>IFERROR(__xludf.DUMMYFUNCTION("""COMPUTED_VALUE"""),"employee J")</f>
        <v>employee J</v>
      </c>
      <c r="D38" s="7">
        <f>IFERROR(__xludf.DUMMYFUNCTION("""COMPUTED_VALUE"""),82.55)</f>
        <v>82.55</v>
      </c>
      <c r="E38" s="6" t="str">
        <f>IFERROR(__xludf.DUMMYFUNCTION("""COMPUTED_VALUE"""),"No")</f>
        <v>No</v>
      </c>
      <c r="F38" s="8" t="str">
        <f>IFERROR(__xludf.DUMMYFUNCTION("""COMPUTED_VALUE"""),"No")</f>
        <v>No</v>
      </c>
    </row>
    <row r="39">
      <c r="A39" s="5">
        <f>IFERROR(__xludf.DUMMYFUNCTION("""COMPUTED_VALUE"""),44572.0)</f>
        <v>44572</v>
      </c>
      <c r="B39" s="6" t="str">
        <f>IFERROR(__xludf.DUMMYFUNCTION("""COMPUTED_VALUE"""),"dinner")</f>
        <v>dinner</v>
      </c>
      <c r="C39" s="6" t="str">
        <f>IFERROR(__xludf.DUMMYFUNCTION("""COMPUTED_VALUE"""),"employee Q")</f>
        <v>employee Q</v>
      </c>
      <c r="D39" s="7">
        <f>IFERROR(__xludf.DUMMYFUNCTION("""COMPUTED_VALUE"""),21.77)</f>
        <v>21.77</v>
      </c>
      <c r="E39" s="6" t="str">
        <f>IFERROR(__xludf.DUMMYFUNCTION("""COMPUTED_VALUE"""),"No")</f>
        <v>No</v>
      </c>
      <c r="F39" s="8" t="str">
        <f>IFERROR(__xludf.DUMMYFUNCTION("""COMPUTED_VALUE"""),"No")</f>
        <v>No</v>
      </c>
    </row>
    <row r="40">
      <c r="A40" s="5">
        <f>IFERROR(__xludf.DUMMYFUNCTION("""COMPUTED_VALUE"""),44572.0)</f>
        <v>44572</v>
      </c>
      <c r="B40" s="6" t="str">
        <f>IFERROR(__xludf.DUMMYFUNCTION("""COMPUTED_VALUE"""),"dinner")</f>
        <v>dinner</v>
      </c>
      <c r="C40" s="6" t="str">
        <f>IFERROR(__xludf.DUMMYFUNCTION("""COMPUTED_VALUE"""),"employee C")</f>
        <v>employee C</v>
      </c>
      <c r="D40" s="7">
        <f>IFERROR(__xludf.DUMMYFUNCTION("""COMPUTED_VALUE"""),14.51)</f>
        <v>14.51</v>
      </c>
      <c r="E40" s="6" t="str">
        <f>IFERROR(__xludf.DUMMYFUNCTION("""COMPUTED_VALUE"""),"No")</f>
        <v>No</v>
      </c>
      <c r="F40" s="8" t="str">
        <f>IFERROR(__xludf.DUMMYFUNCTION("""COMPUTED_VALUE"""),"No")</f>
        <v>No</v>
      </c>
    </row>
    <row r="41">
      <c r="A41" s="5">
        <f>IFERROR(__xludf.DUMMYFUNCTION("""COMPUTED_VALUE"""),44573.0)</f>
        <v>44573</v>
      </c>
      <c r="B41" s="6" t="str">
        <f>IFERROR(__xludf.DUMMYFUNCTION("""COMPUTED_VALUE"""),"lunch")</f>
        <v>lunch</v>
      </c>
      <c r="C41" s="6" t="str">
        <f>IFERROR(__xludf.DUMMYFUNCTION("""COMPUTED_VALUE"""),"employee Q")</f>
        <v>employee Q</v>
      </c>
      <c r="D41" s="7">
        <f>IFERROR(__xludf.DUMMYFUNCTION("""COMPUTED_VALUE"""),76.0)</f>
        <v>76</v>
      </c>
      <c r="E41" s="6" t="str">
        <f>IFERROR(__xludf.DUMMYFUNCTION("""COMPUTED_VALUE"""),"No")</f>
        <v>No</v>
      </c>
      <c r="F41" s="8" t="str">
        <f>IFERROR(__xludf.DUMMYFUNCTION("""COMPUTED_VALUE"""),"No")</f>
        <v>No</v>
      </c>
    </row>
    <row r="42">
      <c r="A42" s="5">
        <f>IFERROR(__xludf.DUMMYFUNCTION("""COMPUTED_VALUE"""),44573.0)</f>
        <v>44573</v>
      </c>
      <c r="B42" s="6" t="str">
        <f>IFERROR(__xludf.DUMMYFUNCTION("""COMPUTED_VALUE"""),"dinner")</f>
        <v>dinner</v>
      </c>
      <c r="C42" s="6" t="str">
        <f>IFERROR(__xludf.DUMMYFUNCTION("""COMPUTED_VALUE"""),"employee J")</f>
        <v>employee J</v>
      </c>
      <c r="D42" s="7">
        <f>IFERROR(__xludf.DUMMYFUNCTION("""COMPUTED_VALUE"""),81.87)</f>
        <v>81.87</v>
      </c>
      <c r="E42" s="6" t="str">
        <f>IFERROR(__xludf.DUMMYFUNCTION("""COMPUTED_VALUE"""),"No")</f>
        <v>No</v>
      </c>
      <c r="F42" s="8" t="str">
        <f>IFERROR(__xludf.DUMMYFUNCTION("""COMPUTED_VALUE"""),"No")</f>
        <v>No</v>
      </c>
    </row>
    <row r="43">
      <c r="A43" s="5">
        <f>IFERROR(__xludf.DUMMYFUNCTION("""COMPUTED_VALUE"""),44573.0)</f>
        <v>44573</v>
      </c>
      <c r="B43" s="6" t="str">
        <f>IFERROR(__xludf.DUMMYFUNCTION("""COMPUTED_VALUE"""),"dinner")</f>
        <v>dinner</v>
      </c>
      <c r="C43" s="6" t="str">
        <f>IFERROR(__xludf.DUMMYFUNCTION("""COMPUTED_VALUE"""),"employee C")</f>
        <v>employee C</v>
      </c>
      <c r="D43" s="7">
        <f>IFERROR(__xludf.DUMMYFUNCTION("""COMPUTED_VALUE"""),81.87)</f>
        <v>81.87</v>
      </c>
      <c r="E43" s="6" t="str">
        <f>IFERROR(__xludf.DUMMYFUNCTION("""COMPUTED_VALUE"""),"No")</f>
        <v>No</v>
      </c>
      <c r="F43" s="8" t="str">
        <f>IFERROR(__xludf.DUMMYFUNCTION("""COMPUTED_VALUE"""),"No")</f>
        <v>No</v>
      </c>
    </row>
    <row r="44">
      <c r="A44" s="5">
        <f>IFERROR(__xludf.DUMMYFUNCTION("""COMPUTED_VALUE"""),44574.0)</f>
        <v>44574</v>
      </c>
      <c r="B44" s="6" t="str">
        <f>IFERROR(__xludf.DUMMYFUNCTION("""COMPUTED_VALUE"""),"lunch")</f>
        <v>lunch</v>
      </c>
      <c r="C44" s="6" t="str">
        <f>IFERROR(__xludf.DUMMYFUNCTION("""COMPUTED_VALUE"""),"employee J")</f>
        <v>employee J</v>
      </c>
      <c r="D44" s="7">
        <f>IFERROR(__xludf.DUMMYFUNCTION("""COMPUTED_VALUE"""),88.32)</f>
        <v>88.32</v>
      </c>
      <c r="E44" s="6" t="str">
        <f>IFERROR(__xludf.DUMMYFUNCTION("""COMPUTED_VALUE"""),"No")</f>
        <v>No</v>
      </c>
      <c r="F44" s="8" t="str">
        <f>IFERROR(__xludf.DUMMYFUNCTION("""COMPUTED_VALUE"""),"No")</f>
        <v>No</v>
      </c>
    </row>
    <row r="45">
      <c r="A45" s="5">
        <f>IFERROR(__xludf.DUMMYFUNCTION("""COMPUTED_VALUE"""),44574.0)</f>
        <v>44574</v>
      </c>
      <c r="B45" s="6" t="str">
        <f>IFERROR(__xludf.DUMMYFUNCTION("""COMPUTED_VALUE"""),"dinner")</f>
        <v>dinner</v>
      </c>
      <c r="C45" s="6" t="str">
        <f>IFERROR(__xludf.DUMMYFUNCTION("""COMPUTED_VALUE"""),"employee J")</f>
        <v>employee J</v>
      </c>
      <c r="D45" s="7">
        <f>IFERROR(__xludf.DUMMYFUNCTION("""COMPUTED_VALUE"""),44.4)</f>
        <v>44.4</v>
      </c>
      <c r="E45" s="6" t="str">
        <f>IFERROR(__xludf.DUMMYFUNCTION("""COMPUTED_VALUE"""),"No")</f>
        <v>No</v>
      </c>
      <c r="F45" s="8" t="str">
        <f>IFERROR(__xludf.DUMMYFUNCTION("""COMPUTED_VALUE"""),"No")</f>
        <v>No</v>
      </c>
    </row>
    <row r="46">
      <c r="A46" s="5">
        <f>IFERROR(__xludf.DUMMYFUNCTION("""COMPUTED_VALUE"""),44574.0)</f>
        <v>44574</v>
      </c>
      <c r="B46" s="6" t="str">
        <f>IFERROR(__xludf.DUMMYFUNCTION("""COMPUTED_VALUE"""),"dinner")</f>
        <v>dinner</v>
      </c>
      <c r="C46" s="6" t="str">
        <f>IFERROR(__xludf.DUMMYFUNCTION("""COMPUTED_VALUE"""),"employee B")</f>
        <v>employee B</v>
      </c>
      <c r="D46" s="7">
        <f>IFERROR(__xludf.DUMMYFUNCTION("""COMPUTED_VALUE"""),34.53)</f>
        <v>34.53</v>
      </c>
      <c r="E46" s="6" t="str">
        <f>IFERROR(__xludf.DUMMYFUNCTION("""COMPUTED_VALUE"""),"No")</f>
        <v>No</v>
      </c>
      <c r="F46" s="8" t="str">
        <f>IFERROR(__xludf.DUMMYFUNCTION("""COMPUTED_VALUE"""),"No")</f>
        <v>No</v>
      </c>
    </row>
    <row r="47">
      <c r="A47" s="5">
        <f>IFERROR(__xludf.DUMMYFUNCTION("""COMPUTED_VALUE"""),44574.0)</f>
        <v>44574</v>
      </c>
      <c r="B47" s="6" t="str">
        <f>IFERROR(__xludf.DUMMYFUNCTION("""COMPUTED_VALUE"""),"dinner")</f>
        <v>dinner</v>
      </c>
      <c r="C47" s="6" t="str">
        <f>IFERROR(__xludf.DUMMYFUNCTION("""COMPUTED_VALUE"""),"employee E")</f>
        <v>employee E</v>
      </c>
      <c r="D47" s="7">
        <f>IFERROR(__xludf.DUMMYFUNCTION("""COMPUTED_VALUE"""),19.73)</f>
        <v>19.73</v>
      </c>
      <c r="E47" s="6" t="str">
        <f>IFERROR(__xludf.DUMMYFUNCTION("""COMPUTED_VALUE"""),"No")</f>
        <v>No</v>
      </c>
      <c r="F47" s="8" t="str">
        <f>IFERROR(__xludf.DUMMYFUNCTION("""COMPUTED_VALUE"""),"No")</f>
        <v>No</v>
      </c>
    </row>
    <row r="48">
      <c r="A48" s="5">
        <f>IFERROR(__xludf.DUMMYFUNCTION("""COMPUTED_VALUE"""),44575.0)</f>
        <v>44575</v>
      </c>
      <c r="B48" s="6" t="str">
        <f>IFERROR(__xludf.DUMMYFUNCTION("""COMPUTED_VALUE"""),"lunch")</f>
        <v>lunch</v>
      </c>
      <c r="C48" s="6" t="str">
        <f>IFERROR(__xludf.DUMMYFUNCTION("""COMPUTED_VALUE"""),"employee Q")</f>
        <v>employee Q</v>
      </c>
      <c r="D48" s="7">
        <f>IFERROR(__xludf.DUMMYFUNCTION("""COMPUTED_VALUE"""),106.33)</f>
        <v>106.33</v>
      </c>
      <c r="E48" s="6" t="str">
        <f>IFERROR(__xludf.DUMMYFUNCTION("""COMPUTED_VALUE"""),"No")</f>
        <v>No</v>
      </c>
      <c r="F48" s="8" t="str">
        <f>IFERROR(__xludf.DUMMYFUNCTION("""COMPUTED_VALUE"""),"No")</f>
        <v>No</v>
      </c>
    </row>
    <row r="49">
      <c r="A49" s="5">
        <f>IFERROR(__xludf.DUMMYFUNCTION("""COMPUTED_VALUE"""),44575.0)</f>
        <v>44575</v>
      </c>
      <c r="B49" s="6" t="str">
        <f>IFERROR(__xludf.DUMMYFUNCTION("""COMPUTED_VALUE"""),"dinner")</f>
        <v>dinner</v>
      </c>
      <c r="C49" s="6" t="str">
        <f>IFERROR(__xludf.DUMMYFUNCTION("""COMPUTED_VALUE"""),"employee Q")</f>
        <v>employee Q</v>
      </c>
      <c r="D49" s="7">
        <f>IFERROR(__xludf.DUMMYFUNCTION("""COMPUTED_VALUE"""),70.01)</f>
        <v>70.01</v>
      </c>
      <c r="E49" s="6" t="str">
        <f>IFERROR(__xludf.DUMMYFUNCTION("""COMPUTED_VALUE"""),"No")</f>
        <v>No</v>
      </c>
      <c r="F49" s="8" t="str">
        <f>IFERROR(__xludf.DUMMYFUNCTION("""COMPUTED_VALUE"""),"No")</f>
        <v>No</v>
      </c>
    </row>
    <row r="50">
      <c r="A50" s="5">
        <f>IFERROR(__xludf.DUMMYFUNCTION("""COMPUTED_VALUE"""),44575.0)</f>
        <v>44575</v>
      </c>
      <c r="B50" s="6" t="str">
        <f>IFERROR(__xludf.DUMMYFUNCTION("""COMPUTED_VALUE"""),"dinner")</f>
        <v>dinner</v>
      </c>
      <c r="C50" s="6" t="str">
        <f>IFERROR(__xludf.DUMMYFUNCTION("""COMPUTED_VALUE"""),"employee F")</f>
        <v>employee F</v>
      </c>
      <c r="D50" s="7">
        <f>IFERROR(__xludf.DUMMYFUNCTION("""COMPUTED_VALUE"""),70.01)</f>
        <v>70.01</v>
      </c>
      <c r="E50" s="6" t="str">
        <f>IFERROR(__xludf.DUMMYFUNCTION("""COMPUTED_VALUE"""),"No")</f>
        <v>No</v>
      </c>
      <c r="F50" s="8" t="str">
        <f>IFERROR(__xludf.DUMMYFUNCTION("""COMPUTED_VALUE"""),"No")</f>
        <v>No</v>
      </c>
    </row>
    <row r="51">
      <c r="A51" s="5">
        <f>IFERROR(__xludf.DUMMYFUNCTION("""COMPUTED_VALUE"""),44575.0)</f>
        <v>44575</v>
      </c>
      <c r="B51" s="6" t="str">
        <f>IFERROR(__xludf.DUMMYFUNCTION("""COMPUTED_VALUE"""),"dinner")</f>
        <v>dinner</v>
      </c>
      <c r="C51" s="6" t="str">
        <f>IFERROR(__xludf.DUMMYFUNCTION("""COMPUTED_VALUE"""),"employee B")</f>
        <v>employee B</v>
      </c>
      <c r="D51" s="7">
        <f>IFERROR(__xludf.DUMMYFUNCTION("""COMPUTED_VALUE"""),70.01)</f>
        <v>70.01</v>
      </c>
      <c r="E51" s="6" t="str">
        <f>IFERROR(__xludf.DUMMYFUNCTION("""COMPUTED_VALUE"""),"No")</f>
        <v>No</v>
      </c>
      <c r="F51" s="8" t="str">
        <f>IFERROR(__xludf.DUMMYFUNCTION("""COMPUTED_VALUE"""),"No")</f>
        <v>No</v>
      </c>
    </row>
    <row r="52">
      <c r="A52" s="5">
        <f>IFERROR(__xludf.DUMMYFUNCTION("""COMPUTED_VALUE"""),44576.0)</f>
        <v>44576</v>
      </c>
      <c r="B52" s="6" t="str">
        <f>IFERROR(__xludf.DUMMYFUNCTION("""COMPUTED_VALUE"""),"lunch")</f>
        <v>lunch</v>
      </c>
      <c r="C52" s="6" t="str">
        <f>IFERROR(__xludf.DUMMYFUNCTION("""COMPUTED_VALUE"""),"employee Q")</f>
        <v>employee Q</v>
      </c>
      <c r="D52" s="7">
        <f>IFERROR(__xludf.DUMMYFUNCTION("""COMPUTED_VALUE"""),156.96)</f>
        <v>156.96</v>
      </c>
      <c r="E52" s="6" t="str">
        <f>IFERROR(__xludf.DUMMYFUNCTION("""COMPUTED_VALUE"""),"No")</f>
        <v>No</v>
      </c>
      <c r="F52" s="8" t="str">
        <f>IFERROR(__xludf.DUMMYFUNCTION("""COMPUTED_VALUE"""),"No")</f>
        <v>No</v>
      </c>
    </row>
    <row r="53">
      <c r="A53" s="5">
        <f>IFERROR(__xludf.DUMMYFUNCTION("""COMPUTED_VALUE"""),44576.0)</f>
        <v>44576</v>
      </c>
      <c r="B53" s="6" t="str">
        <f>IFERROR(__xludf.DUMMYFUNCTION("""COMPUTED_VALUE"""),"lunch")</f>
        <v>lunch</v>
      </c>
      <c r="C53" s="6" t="str">
        <f>IFERROR(__xludf.DUMMYFUNCTION("""COMPUTED_VALUE"""),"employee B")</f>
        <v>employee B</v>
      </c>
      <c r="D53" s="7">
        <f>IFERROR(__xludf.DUMMYFUNCTION("""COMPUTED_VALUE"""),112.11)</f>
        <v>112.11</v>
      </c>
      <c r="E53" s="6" t="str">
        <f>IFERROR(__xludf.DUMMYFUNCTION("""COMPUTED_VALUE"""),"No")</f>
        <v>No</v>
      </c>
      <c r="F53" s="8" t="str">
        <f>IFERROR(__xludf.DUMMYFUNCTION("""COMPUTED_VALUE"""),"No")</f>
        <v>No</v>
      </c>
    </row>
    <row r="54">
      <c r="A54" s="5">
        <f>IFERROR(__xludf.DUMMYFUNCTION("""COMPUTED_VALUE"""),44576.0)</f>
        <v>44576</v>
      </c>
      <c r="B54" s="6" t="str">
        <f>IFERROR(__xludf.DUMMYFUNCTION("""COMPUTED_VALUE"""),"dinner")</f>
        <v>dinner</v>
      </c>
      <c r="C54" s="6" t="str">
        <f>IFERROR(__xludf.DUMMYFUNCTION("""COMPUTED_VALUE"""),"employee Q")</f>
        <v>employee Q</v>
      </c>
      <c r="D54" s="7">
        <f>IFERROR(__xludf.DUMMYFUNCTION("""COMPUTED_VALUE"""),16.6)</f>
        <v>16.6</v>
      </c>
      <c r="E54" s="6" t="str">
        <f>IFERROR(__xludf.DUMMYFUNCTION("""COMPUTED_VALUE"""),"No")</f>
        <v>No</v>
      </c>
      <c r="F54" s="8" t="str">
        <f>IFERROR(__xludf.DUMMYFUNCTION("""COMPUTED_VALUE"""),"No")</f>
        <v>No</v>
      </c>
    </row>
    <row r="55">
      <c r="A55" s="5">
        <f>IFERROR(__xludf.DUMMYFUNCTION("""COMPUTED_VALUE"""),44576.0)</f>
        <v>44576</v>
      </c>
      <c r="B55" s="6" t="str">
        <f>IFERROR(__xludf.DUMMYFUNCTION("""COMPUTED_VALUE"""),"dinner")</f>
        <v>dinner</v>
      </c>
      <c r="C55" s="6" t="str">
        <f>IFERROR(__xludf.DUMMYFUNCTION("""COMPUTED_VALUE"""),"employee B")</f>
        <v>employee B</v>
      </c>
      <c r="D55" s="7">
        <f>IFERROR(__xludf.DUMMYFUNCTION("""COMPUTED_VALUE"""),16.6)</f>
        <v>16.6</v>
      </c>
      <c r="E55" s="6" t="str">
        <f>IFERROR(__xludf.DUMMYFUNCTION("""COMPUTED_VALUE"""),"No")</f>
        <v>No</v>
      </c>
      <c r="F55" s="8" t="str">
        <f>IFERROR(__xludf.DUMMYFUNCTION("""COMPUTED_VALUE"""),"No")</f>
        <v>No</v>
      </c>
    </row>
    <row r="56">
      <c r="A56" s="5">
        <f>IFERROR(__xludf.DUMMYFUNCTION("""COMPUTED_VALUE"""),44576.0)</f>
        <v>44576</v>
      </c>
      <c r="B56" s="6" t="str">
        <f>IFERROR(__xludf.DUMMYFUNCTION("""COMPUTED_VALUE"""),"dinner")</f>
        <v>dinner</v>
      </c>
      <c r="C56" s="6" t="str">
        <f>IFERROR(__xludf.DUMMYFUNCTION("""COMPUTED_VALUE"""),"employee F")</f>
        <v>employee F</v>
      </c>
      <c r="D56" s="7">
        <f>IFERROR(__xludf.DUMMYFUNCTION("""COMPUTED_VALUE"""),45.65)</f>
        <v>45.65</v>
      </c>
      <c r="E56" s="6" t="str">
        <f>IFERROR(__xludf.DUMMYFUNCTION("""COMPUTED_VALUE"""),"No")</f>
        <v>No</v>
      </c>
      <c r="F56" s="8" t="str">
        <f>IFERROR(__xludf.DUMMYFUNCTION("""COMPUTED_VALUE"""),"No")</f>
        <v>No</v>
      </c>
    </row>
    <row r="57">
      <c r="A57" s="5">
        <f>IFERROR(__xludf.DUMMYFUNCTION("""COMPUTED_VALUE"""),44576.0)</f>
        <v>44576</v>
      </c>
      <c r="B57" s="6" t="str">
        <f>IFERROR(__xludf.DUMMYFUNCTION("""COMPUTED_VALUE"""),"dinner")</f>
        <v>dinner</v>
      </c>
      <c r="C57" s="6" t="str">
        <f>IFERROR(__xludf.DUMMYFUNCTION("""COMPUTED_VALUE"""),"employee C")</f>
        <v>employee C</v>
      </c>
      <c r="D57" s="7">
        <f>IFERROR(__xludf.DUMMYFUNCTION("""COMPUTED_VALUE"""),24.9)</f>
        <v>24.9</v>
      </c>
      <c r="E57" s="6" t="str">
        <f>IFERROR(__xludf.DUMMYFUNCTION("""COMPUTED_VALUE"""),"No")</f>
        <v>No</v>
      </c>
      <c r="F57" s="8" t="str">
        <f>IFERROR(__xludf.DUMMYFUNCTION("""COMPUTED_VALUE"""),"No")</f>
        <v>No</v>
      </c>
    </row>
    <row r="58">
      <c r="A58" s="5">
        <f>IFERROR(__xludf.DUMMYFUNCTION("""COMPUTED_VALUE"""),44577.0)</f>
        <v>44577</v>
      </c>
      <c r="B58" s="6" t="str">
        <f>IFERROR(__xludf.DUMMYFUNCTION("""COMPUTED_VALUE"""),"lunch")</f>
        <v>lunch</v>
      </c>
      <c r="C58" s="6" t="str">
        <f>IFERROR(__xludf.DUMMYFUNCTION("""COMPUTED_VALUE"""),"employee J")</f>
        <v>employee J</v>
      </c>
      <c r="D58" s="7">
        <f>IFERROR(__xludf.DUMMYFUNCTION("""COMPUTED_VALUE"""),76.56)</f>
        <v>76.56</v>
      </c>
      <c r="E58" s="6" t="str">
        <f>IFERROR(__xludf.DUMMYFUNCTION("""COMPUTED_VALUE"""),"No")</f>
        <v>No</v>
      </c>
      <c r="F58" s="8" t="str">
        <f>IFERROR(__xludf.DUMMYFUNCTION("""COMPUTED_VALUE"""),"No")</f>
        <v>No</v>
      </c>
    </row>
    <row r="59">
      <c r="A59" s="5">
        <f>IFERROR(__xludf.DUMMYFUNCTION("""COMPUTED_VALUE"""),44577.0)</f>
        <v>44577</v>
      </c>
      <c r="B59" s="6" t="str">
        <f>IFERROR(__xludf.DUMMYFUNCTION("""COMPUTED_VALUE"""),"lunch")</f>
        <v>lunch</v>
      </c>
      <c r="C59" s="6" t="str">
        <f>IFERROR(__xludf.DUMMYFUNCTION("""COMPUTED_VALUE"""),"employee B")</f>
        <v>employee B</v>
      </c>
      <c r="D59" s="7">
        <f>IFERROR(__xludf.DUMMYFUNCTION("""COMPUTED_VALUE"""),63.8)</f>
        <v>63.8</v>
      </c>
      <c r="E59" s="6" t="str">
        <f>IFERROR(__xludf.DUMMYFUNCTION("""COMPUTED_VALUE"""),"No")</f>
        <v>No</v>
      </c>
      <c r="F59" s="8" t="str">
        <f>IFERROR(__xludf.DUMMYFUNCTION("""COMPUTED_VALUE"""),"No")</f>
        <v>No</v>
      </c>
    </row>
    <row r="60">
      <c r="A60" s="5">
        <f>IFERROR(__xludf.DUMMYFUNCTION("""COMPUTED_VALUE"""),44577.0)</f>
        <v>44577</v>
      </c>
      <c r="B60" s="6" t="str">
        <f>IFERROR(__xludf.DUMMYFUNCTION("""COMPUTED_VALUE"""),"lunch")</f>
        <v>lunch</v>
      </c>
      <c r="C60" s="6" t="str">
        <f>IFERROR(__xludf.DUMMYFUNCTION("""COMPUTED_VALUE"""),"employee F")</f>
        <v>employee F</v>
      </c>
      <c r="D60" s="7">
        <f>IFERROR(__xludf.DUMMYFUNCTION("""COMPUTED_VALUE"""),63.8)</f>
        <v>63.8</v>
      </c>
      <c r="E60" s="6" t="str">
        <f>IFERROR(__xludf.DUMMYFUNCTION("""COMPUTED_VALUE"""),"No")</f>
        <v>No</v>
      </c>
      <c r="F60" s="8" t="str">
        <f>IFERROR(__xludf.DUMMYFUNCTION("""COMPUTED_VALUE"""),"No")</f>
        <v>No</v>
      </c>
    </row>
    <row r="61">
      <c r="A61" s="5">
        <f>IFERROR(__xludf.DUMMYFUNCTION("""COMPUTED_VALUE"""),44577.0)</f>
        <v>44577</v>
      </c>
      <c r="B61" s="6" t="str">
        <f>IFERROR(__xludf.DUMMYFUNCTION("""COMPUTED_VALUE"""),"dinner")</f>
        <v>dinner</v>
      </c>
      <c r="C61" s="6" t="str">
        <f>IFERROR(__xludf.DUMMYFUNCTION("""COMPUTED_VALUE"""),"employee B")</f>
        <v>employee B</v>
      </c>
      <c r="D61" s="7">
        <f>IFERROR(__xludf.DUMMYFUNCTION("""COMPUTED_VALUE"""),110.72)</f>
        <v>110.72</v>
      </c>
      <c r="E61" s="6" t="str">
        <f>IFERROR(__xludf.DUMMYFUNCTION("""COMPUTED_VALUE"""),"No")</f>
        <v>No</v>
      </c>
      <c r="F61" s="8" t="str">
        <f>IFERROR(__xludf.DUMMYFUNCTION("""COMPUTED_VALUE"""),"No")</f>
        <v>No</v>
      </c>
    </row>
    <row r="62">
      <c r="A62" s="5">
        <f>IFERROR(__xludf.DUMMYFUNCTION("""COMPUTED_VALUE"""),44577.0)</f>
        <v>44577</v>
      </c>
      <c r="B62" s="6" t="str">
        <f>IFERROR(__xludf.DUMMYFUNCTION("""COMPUTED_VALUE"""),"dinner")</f>
        <v>dinner</v>
      </c>
      <c r="C62" s="6" t="str">
        <f>IFERROR(__xludf.DUMMYFUNCTION("""COMPUTED_VALUE"""),"employee F")</f>
        <v>employee F</v>
      </c>
      <c r="D62" s="7">
        <f>IFERROR(__xludf.DUMMYFUNCTION("""COMPUTED_VALUE"""),110.72)</f>
        <v>110.72</v>
      </c>
      <c r="E62" s="6" t="str">
        <f>IFERROR(__xludf.DUMMYFUNCTION("""COMPUTED_VALUE"""),"No")</f>
        <v>No</v>
      </c>
      <c r="F62" s="8" t="str">
        <f>IFERROR(__xludf.DUMMYFUNCTION("""COMPUTED_VALUE"""),"No")</f>
        <v>No</v>
      </c>
    </row>
    <row r="63">
      <c r="A63" s="5">
        <f>IFERROR(__xludf.DUMMYFUNCTION("""COMPUTED_VALUE"""),44578.0)</f>
        <v>44578</v>
      </c>
      <c r="B63" s="6" t="str">
        <f>IFERROR(__xludf.DUMMYFUNCTION("""COMPUTED_VALUE"""),"lunch")</f>
        <v>lunch</v>
      </c>
      <c r="C63" s="6" t="str">
        <f>IFERROR(__xludf.DUMMYFUNCTION("""COMPUTED_VALUE"""),"employee C")</f>
        <v>employee C</v>
      </c>
      <c r="D63" s="7">
        <f>IFERROR(__xludf.DUMMYFUNCTION("""COMPUTED_VALUE"""),129.08)</f>
        <v>129.08</v>
      </c>
      <c r="E63" s="6" t="str">
        <f>IFERROR(__xludf.DUMMYFUNCTION("""COMPUTED_VALUE"""),"No")</f>
        <v>No</v>
      </c>
      <c r="F63" s="8" t="str">
        <f>IFERROR(__xludf.DUMMYFUNCTION("""COMPUTED_VALUE"""),"No")</f>
        <v>No</v>
      </c>
    </row>
    <row r="64">
      <c r="A64" s="5">
        <f>IFERROR(__xludf.DUMMYFUNCTION("""COMPUTED_VALUE"""),44578.0)</f>
        <v>44578</v>
      </c>
      <c r="B64" s="6" t="str">
        <f>IFERROR(__xludf.DUMMYFUNCTION("""COMPUTED_VALUE"""),"lunch")</f>
        <v>lunch</v>
      </c>
      <c r="C64" s="6" t="str">
        <f>IFERROR(__xludf.DUMMYFUNCTION("""COMPUTED_VALUE"""),"employee F")</f>
        <v>employee F</v>
      </c>
      <c r="D64" s="7">
        <f>IFERROR(__xludf.DUMMYFUNCTION("""COMPUTED_VALUE"""),90.36)</f>
        <v>90.36</v>
      </c>
      <c r="E64" s="6" t="str">
        <f>IFERROR(__xludf.DUMMYFUNCTION("""COMPUTED_VALUE"""),"No")</f>
        <v>No</v>
      </c>
      <c r="F64" s="8" t="str">
        <f>IFERROR(__xludf.DUMMYFUNCTION("""COMPUTED_VALUE"""),"No")</f>
        <v>No</v>
      </c>
    </row>
    <row r="65">
      <c r="A65" s="5">
        <f>IFERROR(__xludf.DUMMYFUNCTION("""COMPUTED_VALUE"""),44578.0)</f>
        <v>44578</v>
      </c>
      <c r="B65" s="6" t="str">
        <f>IFERROR(__xludf.DUMMYFUNCTION("""COMPUTED_VALUE"""),"dinner")</f>
        <v>dinner</v>
      </c>
      <c r="C65" s="6" t="str">
        <f>IFERROR(__xludf.DUMMYFUNCTION("""COMPUTED_VALUE"""),"employee J")</f>
        <v>employee J</v>
      </c>
      <c r="D65" s="7">
        <f>IFERROR(__xludf.DUMMYFUNCTION("""COMPUTED_VALUE"""),86.53)</f>
        <v>86.53</v>
      </c>
      <c r="E65" s="6" t="str">
        <f>IFERROR(__xludf.DUMMYFUNCTION("""COMPUTED_VALUE"""),"No")</f>
        <v>No</v>
      </c>
      <c r="F65" s="8" t="str">
        <f>IFERROR(__xludf.DUMMYFUNCTION("""COMPUTED_VALUE"""),"No")</f>
        <v>No</v>
      </c>
    </row>
    <row r="66">
      <c r="A66" s="5">
        <f>IFERROR(__xludf.DUMMYFUNCTION("""COMPUTED_VALUE"""),44578.0)</f>
        <v>44578</v>
      </c>
      <c r="B66" s="6" t="str">
        <f>IFERROR(__xludf.DUMMYFUNCTION("""COMPUTED_VALUE"""),"dinner")</f>
        <v>dinner</v>
      </c>
      <c r="C66" s="6" t="str">
        <f>IFERROR(__xludf.DUMMYFUNCTION("""COMPUTED_VALUE"""),"employee C")</f>
        <v>employee C</v>
      </c>
      <c r="D66" s="7">
        <f>IFERROR(__xludf.DUMMYFUNCTION("""COMPUTED_VALUE"""),86.53)</f>
        <v>86.53</v>
      </c>
      <c r="E66" s="6" t="str">
        <f>IFERROR(__xludf.DUMMYFUNCTION("""COMPUTED_VALUE"""),"No")</f>
        <v>No</v>
      </c>
      <c r="F66" s="8" t="str">
        <f>IFERROR(__xludf.DUMMYFUNCTION("""COMPUTED_VALUE"""),"No")</f>
        <v>No</v>
      </c>
    </row>
    <row r="67">
      <c r="A67" s="5">
        <f>IFERROR(__xludf.DUMMYFUNCTION("""COMPUTED_VALUE"""),44579.0)</f>
        <v>44579</v>
      </c>
      <c r="B67" s="6" t="str">
        <f>IFERROR(__xludf.DUMMYFUNCTION("""COMPUTED_VALUE"""),"lunch")</f>
        <v>lunch</v>
      </c>
      <c r="C67" s="6" t="str">
        <f>IFERROR(__xludf.DUMMYFUNCTION("""COMPUTED_VALUE"""),"employee Q")</f>
        <v>employee Q</v>
      </c>
      <c r="D67" s="7">
        <f>IFERROR(__xludf.DUMMYFUNCTION("""COMPUTED_VALUE"""),52.83)</f>
        <v>52.83</v>
      </c>
      <c r="E67" s="6" t="str">
        <f>IFERROR(__xludf.DUMMYFUNCTION("""COMPUTED_VALUE"""),"No")</f>
        <v>No</v>
      </c>
      <c r="F67" s="8" t="str">
        <f>IFERROR(__xludf.DUMMYFUNCTION("""COMPUTED_VALUE"""),"No")</f>
        <v>No</v>
      </c>
    </row>
    <row r="68">
      <c r="A68" s="5">
        <f>IFERROR(__xludf.DUMMYFUNCTION("""COMPUTED_VALUE"""),44579.0)</f>
        <v>44579</v>
      </c>
      <c r="B68" s="6" t="str">
        <f>IFERROR(__xludf.DUMMYFUNCTION("""COMPUTED_VALUE"""),"dinner")</f>
        <v>dinner</v>
      </c>
      <c r="C68" s="6" t="str">
        <f>IFERROR(__xludf.DUMMYFUNCTION("""COMPUTED_VALUE"""),"employee Q")</f>
        <v>employee Q</v>
      </c>
      <c r="D68" s="7">
        <f>IFERROR(__xludf.DUMMYFUNCTION("""COMPUTED_VALUE"""),29.92)</f>
        <v>29.92</v>
      </c>
      <c r="E68" s="6" t="str">
        <f>IFERROR(__xludf.DUMMYFUNCTION("""COMPUTED_VALUE"""),"No")</f>
        <v>No</v>
      </c>
      <c r="F68" s="8" t="str">
        <f>IFERROR(__xludf.DUMMYFUNCTION("""COMPUTED_VALUE"""),"No")</f>
        <v>No</v>
      </c>
    </row>
    <row r="69">
      <c r="A69" s="5">
        <f>IFERROR(__xludf.DUMMYFUNCTION("""COMPUTED_VALUE"""),44579.0)</f>
        <v>44579</v>
      </c>
      <c r="B69" s="6" t="str">
        <f>IFERROR(__xludf.DUMMYFUNCTION("""COMPUTED_VALUE"""),"dinner")</f>
        <v>dinner</v>
      </c>
      <c r="C69" s="6" t="str">
        <f>IFERROR(__xludf.DUMMYFUNCTION("""COMPUTED_VALUE"""),"employee K")</f>
        <v>employee K</v>
      </c>
      <c r="D69" s="7">
        <f>IFERROR(__xludf.DUMMYFUNCTION("""COMPUTED_VALUE"""),0.0)</f>
        <v>0</v>
      </c>
      <c r="E69" s="9" t="str">
        <f>IFERROR(__xludf.DUMMYFUNCTION("""COMPUTED_VALUE"""),"Yes")</f>
        <v>Yes</v>
      </c>
      <c r="F69" s="8" t="str">
        <f>IFERROR(__xludf.DUMMYFUNCTION("""COMPUTED_VALUE"""),"No")</f>
        <v>No</v>
      </c>
    </row>
    <row r="70">
      <c r="A70" s="5">
        <f>IFERROR(__xludf.DUMMYFUNCTION("""COMPUTED_VALUE"""),44579.0)</f>
        <v>44579</v>
      </c>
      <c r="B70" s="6" t="str">
        <f>IFERROR(__xludf.DUMMYFUNCTION("""COMPUTED_VALUE"""),"dinner")</f>
        <v>dinner</v>
      </c>
      <c r="C70" s="6" t="str">
        <f>IFERROR(__xludf.DUMMYFUNCTION("""COMPUTED_VALUE"""),"employee C")</f>
        <v>employee C</v>
      </c>
      <c r="D70" s="7">
        <f>IFERROR(__xludf.DUMMYFUNCTION("""COMPUTED_VALUE"""),9.97)</f>
        <v>9.97</v>
      </c>
      <c r="E70" s="6" t="str">
        <f>IFERROR(__xludf.DUMMYFUNCTION("""COMPUTED_VALUE"""),"No")</f>
        <v>No</v>
      </c>
      <c r="F70" s="8" t="str">
        <f>IFERROR(__xludf.DUMMYFUNCTION("""COMPUTED_VALUE"""),"No")</f>
        <v>No</v>
      </c>
    </row>
    <row r="71">
      <c r="A71" s="5">
        <f>IFERROR(__xludf.DUMMYFUNCTION("""COMPUTED_VALUE"""),44580.0)</f>
        <v>44580</v>
      </c>
      <c r="B71" s="6" t="str">
        <f>IFERROR(__xludf.DUMMYFUNCTION("""COMPUTED_VALUE"""),"lunch")</f>
        <v>lunch</v>
      </c>
      <c r="C71" s="6" t="str">
        <f>IFERROR(__xludf.DUMMYFUNCTION("""COMPUTED_VALUE"""),"employee J")</f>
        <v>employee J</v>
      </c>
      <c r="D71" s="7">
        <f>IFERROR(__xludf.DUMMYFUNCTION("""COMPUTED_VALUE"""),86.96)</f>
        <v>86.96</v>
      </c>
      <c r="E71" s="6" t="str">
        <f>IFERROR(__xludf.DUMMYFUNCTION("""COMPUTED_VALUE"""),"No")</f>
        <v>No</v>
      </c>
      <c r="F71" s="8" t="str">
        <f>IFERROR(__xludf.DUMMYFUNCTION("""COMPUTED_VALUE"""),"No")</f>
        <v>No</v>
      </c>
    </row>
    <row r="72">
      <c r="A72" s="5">
        <f>IFERROR(__xludf.DUMMYFUNCTION("""COMPUTED_VALUE"""),44580.0)</f>
        <v>44580</v>
      </c>
      <c r="B72" s="6" t="str">
        <f>IFERROR(__xludf.DUMMYFUNCTION("""COMPUTED_VALUE"""),"dinner")</f>
        <v>dinner</v>
      </c>
      <c r="C72" s="6" t="str">
        <f>IFERROR(__xludf.DUMMYFUNCTION("""COMPUTED_VALUE"""),"employee J")</f>
        <v>employee J</v>
      </c>
      <c r="D72" s="7">
        <f>IFERROR(__xludf.DUMMYFUNCTION("""COMPUTED_VALUE"""),91.9)</f>
        <v>91.9</v>
      </c>
      <c r="E72" s="6" t="str">
        <f>IFERROR(__xludf.DUMMYFUNCTION("""COMPUTED_VALUE"""),"No")</f>
        <v>No</v>
      </c>
      <c r="F72" s="8" t="str">
        <f>IFERROR(__xludf.DUMMYFUNCTION("""COMPUTED_VALUE"""),"No")</f>
        <v>No</v>
      </c>
    </row>
    <row r="73">
      <c r="A73" s="5">
        <f>IFERROR(__xludf.DUMMYFUNCTION("""COMPUTED_VALUE"""),44580.0)</f>
        <v>44580</v>
      </c>
      <c r="B73" s="6" t="str">
        <f>IFERROR(__xludf.DUMMYFUNCTION("""COMPUTED_VALUE"""),"dinner")</f>
        <v>dinner</v>
      </c>
      <c r="C73" s="6" t="str">
        <f>IFERROR(__xludf.DUMMYFUNCTION("""COMPUTED_VALUE"""),"employee E")</f>
        <v>employee E</v>
      </c>
      <c r="D73" s="7">
        <f>IFERROR(__xludf.DUMMYFUNCTION("""COMPUTED_VALUE"""),61.27)</f>
        <v>61.27</v>
      </c>
      <c r="E73" s="6" t="str">
        <f>IFERROR(__xludf.DUMMYFUNCTION("""COMPUTED_VALUE"""),"No")</f>
        <v>No</v>
      </c>
      <c r="F73" s="8" t="str">
        <f>IFERROR(__xludf.DUMMYFUNCTION("""COMPUTED_VALUE"""),"No")</f>
        <v>No</v>
      </c>
    </row>
    <row r="74">
      <c r="A74" s="5">
        <f>IFERROR(__xludf.DUMMYFUNCTION("""COMPUTED_VALUE"""),44581.0)</f>
        <v>44581</v>
      </c>
      <c r="B74" s="6" t="str">
        <f>IFERROR(__xludf.DUMMYFUNCTION("""COMPUTED_VALUE"""),"lunch")</f>
        <v>lunch</v>
      </c>
      <c r="C74" s="6" t="str">
        <f>IFERROR(__xludf.DUMMYFUNCTION("""COMPUTED_VALUE"""),"employee Q")</f>
        <v>employee Q</v>
      </c>
      <c r="D74" s="7">
        <f>IFERROR(__xludf.DUMMYFUNCTION("""COMPUTED_VALUE"""),64.54)</f>
        <v>64.54</v>
      </c>
      <c r="E74" s="6" t="str">
        <f>IFERROR(__xludf.DUMMYFUNCTION("""COMPUTED_VALUE"""),"No")</f>
        <v>No</v>
      </c>
      <c r="F74" s="8" t="str">
        <f>IFERROR(__xludf.DUMMYFUNCTION("""COMPUTED_VALUE"""),"No")</f>
        <v>No</v>
      </c>
    </row>
    <row r="75">
      <c r="A75" s="5">
        <f>IFERROR(__xludf.DUMMYFUNCTION("""COMPUTED_VALUE"""),44581.0)</f>
        <v>44581</v>
      </c>
      <c r="B75" s="6" t="str">
        <f>IFERROR(__xludf.DUMMYFUNCTION("""COMPUTED_VALUE"""),"lunch")</f>
        <v>lunch</v>
      </c>
      <c r="C75" s="6" t="str">
        <f>IFERROR(__xludf.DUMMYFUNCTION("""COMPUTED_VALUE"""),"employee D")</f>
        <v>employee D</v>
      </c>
      <c r="D75" s="7">
        <f>IFERROR(__xludf.DUMMYFUNCTION("""COMPUTED_VALUE"""),0.0)</f>
        <v>0</v>
      </c>
      <c r="E75" s="9" t="str">
        <f>IFERROR(__xludf.DUMMYFUNCTION("""COMPUTED_VALUE"""),"Yes")</f>
        <v>Yes</v>
      </c>
      <c r="F75" s="8" t="str">
        <f>IFERROR(__xludf.DUMMYFUNCTION("""COMPUTED_VALUE"""),"No")</f>
        <v>No</v>
      </c>
    </row>
    <row r="76">
      <c r="A76" s="5">
        <f>IFERROR(__xludf.DUMMYFUNCTION("""COMPUTED_VALUE"""),44581.0)</f>
        <v>44581</v>
      </c>
      <c r="B76" s="6" t="str">
        <f>IFERROR(__xludf.DUMMYFUNCTION("""COMPUTED_VALUE"""),"dinner")</f>
        <v>dinner</v>
      </c>
      <c r="C76" s="6" t="str">
        <f>IFERROR(__xludf.DUMMYFUNCTION("""COMPUTED_VALUE"""),"employee Q")</f>
        <v>employee Q</v>
      </c>
      <c r="D76" s="7">
        <f>IFERROR(__xludf.DUMMYFUNCTION("""COMPUTED_VALUE"""),74.04)</f>
        <v>74.04</v>
      </c>
      <c r="E76" s="6" t="str">
        <f>IFERROR(__xludf.DUMMYFUNCTION("""COMPUTED_VALUE"""),"No")</f>
        <v>No</v>
      </c>
      <c r="F76" s="8" t="str">
        <f>IFERROR(__xludf.DUMMYFUNCTION("""COMPUTED_VALUE"""),"No")</f>
        <v>No</v>
      </c>
    </row>
    <row r="77">
      <c r="A77" s="5">
        <f>IFERROR(__xludf.DUMMYFUNCTION("""COMPUTED_VALUE"""),44581.0)</f>
        <v>44581</v>
      </c>
      <c r="B77" s="6" t="str">
        <f>IFERROR(__xludf.DUMMYFUNCTION("""COMPUTED_VALUE"""),"dinner")</f>
        <v>dinner</v>
      </c>
      <c r="C77" s="6" t="str">
        <f>IFERROR(__xludf.DUMMYFUNCTION("""COMPUTED_VALUE"""),"employee E")</f>
        <v>employee E</v>
      </c>
      <c r="D77" s="7">
        <f>IFERROR(__xludf.DUMMYFUNCTION("""COMPUTED_VALUE"""),41.13)</f>
        <v>41.13</v>
      </c>
      <c r="E77" s="6" t="str">
        <f>IFERROR(__xludf.DUMMYFUNCTION("""COMPUTED_VALUE"""),"No")</f>
        <v>No</v>
      </c>
      <c r="F77" s="8" t="str">
        <f>IFERROR(__xludf.DUMMYFUNCTION("""COMPUTED_VALUE"""),"No")</f>
        <v>No</v>
      </c>
    </row>
    <row r="78">
      <c r="A78" s="5">
        <f>IFERROR(__xludf.DUMMYFUNCTION("""COMPUTED_VALUE"""),44582.0)</f>
        <v>44582</v>
      </c>
      <c r="B78" s="6" t="str">
        <f>IFERROR(__xludf.DUMMYFUNCTION("""COMPUTED_VALUE"""),"lunch")</f>
        <v>lunch</v>
      </c>
      <c r="C78" s="6" t="str">
        <f>IFERROR(__xludf.DUMMYFUNCTION("""COMPUTED_VALUE"""),"employee Q")</f>
        <v>employee Q</v>
      </c>
      <c r="D78" s="7">
        <f>IFERROR(__xludf.DUMMYFUNCTION("""COMPUTED_VALUE"""),45.19)</f>
        <v>45.19</v>
      </c>
      <c r="E78" s="6" t="str">
        <f>IFERROR(__xludf.DUMMYFUNCTION("""COMPUTED_VALUE"""),"No")</f>
        <v>No</v>
      </c>
      <c r="F78" s="8" t="str">
        <f>IFERROR(__xludf.DUMMYFUNCTION("""COMPUTED_VALUE"""),"No")</f>
        <v>No</v>
      </c>
    </row>
    <row r="79">
      <c r="A79" s="5">
        <f>IFERROR(__xludf.DUMMYFUNCTION("""COMPUTED_VALUE"""),44582.0)</f>
        <v>44582</v>
      </c>
      <c r="B79" s="6" t="str">
        <f>IFERROR(__xludf.DUMMYFUNCTION("""COMPUTED_VALUE"""),"lunch")</f>
        <v>lunch</v>
      </c>
      <c r="C79" s="6" t="str">
        <f>IFERROR(__xludf.DUMMYFUNCTION("""COMPUTED_VALUE"""),"employee D")</f>
        <v>employee D</v>
      </c>
      <c r="D79" s="7">
        <f>IFERROR(__xludf.DUMMYFUNCTION("""COMPUTED_VALUE"""),0.0)</f>
        <v>0</v>
      </c>
      <c r="E79" s="9" t="str">
        <f>IFERROR(__xludf.DUMMYFUNCTION("""COMPUTED_VALUE"""),"Yes")</f>
        <v>Yes</v>
      </c>
      <c r="F79" s="8" t="str">
        <f>IFERROR(__xludf.DUMMYFUNCTION("""COMPUTED_VALUE"""),"No")</f>
        <v>No</v>
      </c>
    </row>
    <row r="80">
      <c r="A80" s="5">
        <f>IFERROR(__xludf.DUMMYFUNCTION("""COMPUTED_VALUE"""),44582.0)</f>
        <v>44582</v>
      </c>
      <c r="B80" s="6" t="str">
        <f>IFERROR(__xludf.DUMMYFUNCTION("""COMPUTED_VALUE"""),"dinner")</f>
        <v>dinner</v>
      </c>
      <c r="C80" s="6" t="str">
        <f>IFERROR(__xludf.DUMMYFUNCTION("""COMPUTED_VALUE"""),"employee Q")</f>
        <v>employee Q</v>
      </c>
      <c r="D80" s="7">
        <f>IFERROR(__xludf.DUMMYFUNCTION("""COMPUTED_VALUE"""),84.74)</f>
        <v>84.74</v>
      </c>
      <c r="E80" s="6" t="str">
        <f>IFERROR(__xludf.DUMMYFUNCTION("""COMPUTED_VALUE"""),"No")</f>
        <v>No</v>
      </c>
      <c r="F80" s="8" t="str">
        <f>IFERROR(__xludf.DUMMYFUNCTION("""COMPUTED_VALUE"""),"No")</f>
        <v>No</v>
      </c>
    </row>
    <row r="81">
      <c r="A81" s="5">
        <f>IFERROR(__xludf.DUMMYFUNCTION("""COMPUTED_VALUE"""),44582.0)</f>
        <v>44582</v>
      </c>
      <c r="B81" s="6" t="str">
        <f>IFERROR(__xludf.DUMMYFUNCTION("""COMPUTED_VALUE"""),"dinner")</f>
        <v>dinner</v>
      </c>
      <c r="C81" s="6" t="str">
        <f>IFERROR(__xludf.DUMMYFUNCTION("""COMPUTED_VALUE"""),"employee B")</f>
        <v>employee B</v>
      </c>
      <c r="D81" s="7">
        <f>IFERROR(__xludf.DUMMYFUNCTION("""COMPUTED_VALUE"""),75.32)</f>
        <v>75.32</v>
      </c>
      <c r="E81" s="6" t="str">
        <f>IFERROR(__xludf.DUMMYFUNCTION("""COMPUTED_VALUE"""),"No")</f>
        <v>No</v>
      </c>
      <c r="F81" s="8" t="str">
        <f>IFERROR(__xludf.DUMMYFUNCTION("""COMPUTED_VALUE"""),"No")</f>
        <v>No</v>
      </c>
    </row>
    <row r="82">
      <c r="A82" s="5">
        <f>IFERROR(__xludf.DUMMYFUNCTION("""COMPUTED_VALUE"""),44582.0)</f>
        <v>44582</v>
      </c>
      <c r="B82" s="6" t="str">
        <f>IFERROR(__xludf.DUMMYFUNCTION("""COMPUTED_VALUE"""),"dinner")</f>
        <v>dinner</v>
      </c>
      <c r="C82" s="6" t="str">
        <f>IFERROR(__xludf.DUMMYFUNCTION("""COMPUTED_VALUE"""),"employee K")</f>
        <v>employee K</v>
      </c>
      <c r="D82" s="7">
        <f>IFERROR(__xludf.DUMMYFUNCTION("""COMPUTED_VALUE"""),0.0)</f>
        <v>0</v>
      </c>
      <c r="E82" s="9" t="str">
        <f>IFERROR(__xludf.DUMMYFUNCTION("""COMPUTED_VALUE"""),"Yes")</f>
        <v>Yes</v>
      </c>
      <c r="F82" s="8" t="str">
        <f>IFERROR(__xludf.DUMMYFUNCTION("""COMPUTED_VALUE"""),"No")</f>
        <v>No</v>
      </c>
    </row>
    <row r="83">
      <c r="A83" s="5">
        <f>IFERROR(__xludf.DUMMYFUNCTION("""COMPUTED_VALUE"""),44583.0)</f>
        <v>44583</v>
      </c>
      <c r="B83" s="6" t="str">
        <f>IFERROR(__xludf.DUMMYFUNCTION("""COMPUTED_VALUE"""),"lunch")</f>
        <v>lunch</v>
      </c>
      <c r="C83" s="6" t="str">
        <f>IFERROR(__xludf.DUMMYFUNCTION("""COMPUTED_VALUE"""),"employee Q")</f>
        <v>employee Q</v>
      </c>
      <c r="D83" s="7">
        <f>IFERROR(__xludf.DUMMYFUNCTION("""COMPUTED_VALUE"""),65.56)</f>
        <v>65.56</v>
      </c>
      <c r="E83" s="6" t="str">
        <f>IFERROR(__xludf.DUMMYFUNCTION("""COMPUTED_VALUE"""),"No")</f>
        <v>No</v>
      </c>
      <c r="F83" s="8" t="str">
        <f>IFERROR(__xludf.DUMMYFUNCTION("""COMPUTED_VALUE"""),"No")</f>
        <v>No</v>
      </c>
    </row>
    <row r="84">
      <c r="A84" s="5">
        <f>IFERROR(__xludf.DUMMYFUNCTION("""COMPUTED_VALUE"""),44583.0)</f>
        <v>44583</v>
      </c>
      <c r="B84" s="6" t="str">
        <f>IFERROR(__xludf.DUMMYFUNCTION("""COMPUTED_VALUE"""),"lunch")</f>
        <v>lunch</v>
      </c>
      <c r="C84" s="6" t="str">
        <f>IFERROR(__xludf.DUMMYFUNCTION("""COMPUTED_VALUE"""),"employee B")</f>
        <v>employee B</v>
      </c>
      <c r="D84" s="7">
        <f>IFERROR(__xludf.DUMMYFUNCTION("""COMPUTED_VALUE"""),50.45)</f>
        <v>50.45</v>
      </c>
      <c r="E84" s="6" t="str">
        <f>IFERROR(__xludf.DUMMYFUNCTION("""COMPUTED_VALUE"""),"No")</f>
        <v>No</v>
      </c>
      <c r="F84" s="8" t="str">
        <f>IFERROR(__xludf.DUMMYFUNCTION("""COMPUTED_VALUE"""),"No")</f>
        <v>No</v>
      </c>
    </row>
    <row r="85">
      <c r="A85" s="5">
        <f>IFERROR(__xludf.DUMMYFUNCTION("""COMPUTED_VALUE"""),44583.0)</f>
        <v>44583</v>
      </c>
      <c r="B85" s="6" t="str">
        <f>IFERROR(__xludf.DUMMYFUNCTION("""COMPUTED_VALUE"""),"lunch")</f>
        <v>lunch</v>
      </c>
      <c r="C85" s="6" t="str">
        <f>IFERROR(__xludf.DUMMYFUNCTION("""COMPUTED_VALUE"""),"employee K")</f>
        <v>employee K</v>
      </c>
      <c r="D85" s="7">
        <f>IFERROR(__xludf.DUMMYFUNCTION("""COMPUTED_VALUE"""),50.45)</f>
        <v>50.45</v>
      </c>
      <c r="E85" s="6" t="str">
        <f>IFERROR(__xludf.DUMMYFUNCTION("""COMPUTED_VALUE"""),"No")</f>
        <v>No</v>
      </c>
      <c r="F85" s="8" t="str">
        <f>IFERROR(__xludf.DUMMYFUNCTION("""COMPUTED_VALUE"""),"No")</f>
        <v>No</v>
      </c>
    </row>
    <row r="86">
      <c r="A86" s="5">
        <f>IFERROR(__xludf.DUMMYFUNCTION("""COMPUTED_VALUE"""),44583.0)</f>
        <v>44583</v>
      </c>
      <c r="B86" s="6" t="str">
        <f>IFERROR(__xludf.DUMMYFUNCTION("""COMPUTED_VALUE"""),"dinner")</f>
        <v>dinner</v>
      </c>
      <c r="C86" s="6" t="str">
        <f>IFERROR(__xludf.DUMMYFUNCTION("""COMPUTED_VALUE"""),"employee B")</f>
        <v>employee B</v>
      </c>
      <c r="D86" s="7">
        <f>IFERROR(__xludf.DUMMYFUNCTION("""COMPUTED_VALUE"""),118.85)</f>
        <v>118.85</v>
      </c>
      <c r="E86" s="6" t="str">
        <f>IFERROR(__xludf.DUMMYFUNCTION("""COMPUTED_VALUE"""),"No")</f>
        <v>No</v>
      </c>
      <c r="F86" s="8" t="str">
        <f>IFERROR(__xludf.DUMMYFUNCTION("""COMPUTED_VALUE"""),"No")</f>
        <v>No</v>
      </c>
    </row>
    <row r="87">
      <c r="A87" s="5">
        <f>IFERROR(__xludf.DUMMYFUNCTION("""COMPUTED_VALUE"""),44583.0)</f>
        <v>44583</v>
      </c>
      <c r="B87" s="6" t="str">
        <f>IFERROR(__xludf.DUMMYFUNCTION("""COMPUTED_VALUE"""),"dinner")</f>
        <v>dinner</v>
      </c>
      <c r="C87" s="6" t="str">
        <f>IFERROR(__xludf.DUMMYFUNCTION("""COMPUTED_VALUE"""),"employee E")</f>
        <v>employee E</v>
      </c>
      <c r="D87" s="7">
        <f>IFERROR(__xludf.DUMMYFUNCTION("""COMPUTED_VALUE"""),118.85)</f>
        <v>118.85</v>
      </c>
      <c r="E87" s="6" t="str">
        <f>IFERROR(__xludf.DUMMYFUNCTION("""COMPUTED_VALUE"""),"No")</f>
        <v>No</v>
      </c>
      <c r="F87" s="8" t="str">
        <f>IFERROR(__xludf.DUMMYFUNCTION("""COMPUTED_VALUE"""),"No")</f>
        <v>No</v>
      </c>
    </row>
    <row r="88">
      <c r="A88" s="5">
        <f>IFERROR(__xludf.DUMMYFUNCTION("""COMPUTED_VALUE"""),44583.0)</f>
        <v>44583</v>
      </c>
      <c r="B88" s="6" t="str">
        <f>IFERROR(__xludf.DUMMYFUNCTION("""COMPUTED_VALUE"""),"dinner")</f>
        <v>dinner</v>
      </c>
      <c r="C88" s="6" t="str">
        <f>IFERROR(__xludf.DUMMYFUNCTION("""COMPUTED_VALUE"""),"employee J")</f>
        <v>employee J</v>
      </c>
      <c r="D88" s="7">
        <f>IFERROR(__xludf.DUMMYFUNCTION("""COMPUTED_VALUE"""),79.23)</f>
        <v>79.23</v>
      </c>
      <c r="E88" s="6" t="str">
        <f>IFERROR(__xludf.DUMMYFUNCTION("""COMPUTED_VALUE"""),"No")</f>
        <v>No</v>
      </c>
      <c r="F88" s="8" t="str">
        <f>IFERROR(__xludf.DUMMYFUNCTION("""COMPUTED_VALUE"""),"No")</f>
        <v>No</v>
      </c>
    </row>
    <row r="89">
      <c r="A89" s="5">
        <f>IFERROR(__xludf.DUMMYFUNCTION("""COMPUTED_VALUE"""),44584.0)</f>
        <v>44584</v>
      </c>
      <c r="B89" s="6" t="str">
        <f>IFERROR(__xludf.DUMMYFUNCTION("""COMPUTED_VALUE"""),"lunch")</f>
        <v>lunch</v>
      </c>
      <c r="C89" s="6" t="str">
        <f>IFERROR(__xludf.DUMMYFUNCTION("""COMPUTED_VALUE"""),"employee J")</f>
        <v>employee J</v>
      </c>
      <c r="D89" s="7">
        <f>IFERROR(__xludf.DUMMYFUNCTION("""COMPUTED_VALUE"""),114.46)</f>
        <v>114.46</v>
      </c>
      <c r="E89" s="6" t="str">
        <f>IFERROR(__xludf.DUMMYFUNCTION("""COMPUTED_VALUE"""),"No")</f>
        <v>No</v>
      </c>
      <c r="F89" s="8" t="str">
        <f>IFERROR(__xludf.DUMMYFUNCTION("""COMPUTED_VALUE"""),"No")</f>
        <v>No</v>
      </c>
    </row>
    <row r="90">
      <c r="A90" s="5">
        <f>IFERROR(__xludf.DUMMYFUNCTION("""COMPUTED_VALUE"""),44584.0)</f>
        <v>44584</v>
      </c>
      <c r="B90" s="6" t="str">
        <f>IFERROR(__xludf.DUMMYFUNCTION("""COMPUTED_VALUE"""),"lunch")</f>
        <v>lunch</v>
      </c>
      <c r="C90" s="6" t="str">
        <f>IFERROR(__xludf.DUMMYFUNCTION("""COMPUTED_VALUE"""),"employee D")</f>
        <v>employee D</v>
      </c>
      <c r="D90" s="7">
        <f>IFERROR(__xludf.DUMMYFUNCTION("""COMPUTED_VALUE"""),114.46)</f>
        <v>114.46</v>
      </c>
      <c r="E90" s="6" t="str">
        <f>IFERROR(__xludf.DUMMYFUNCTION("""COMPUTED_VALUE"""),"No")</f>
        <v>No</v>
      </c>
      <c r="F90" s="8" t="str">
        <f>IFERROR(__xludf.DUMMYFUNCTION("""COMPUTED_VALUE"""),"No")</f>
        <v>No</v>
      </c>
    </row>
    <row r="91">
      <c r="A91" s="5">
        <f>IFERROR(__xludf.DUMMYFUNCTION("""COMPUTED_VALUE"""),44585.0)</f>
        <v>44585</v>
      </c>
      <c r="B91" s="6" t="str">
        <f>IFERROR(__xludf.DUMMYFUNCTION("""COMPUTED_VALUE"""),"lunch")</f>
        <v>lunch</v>
      </c>
      <c r="C91" s="6" t="str">
        <f>IFERROR(__xludf.DUMMYFUNCTION("""COMPUTED_VALUE"""),"employee Q")</f>
        <v>employee Q</v>
      </c>
      <c r="D91" s="7">
        <f>IFERROR(__xludf.DUMMYFUNCTION("""COMPUTED_VALUE"""),89.89)</f>
        <v>89.89</v>
      </c>
      <c r="E91" s="6" t="str">
        <f>IFERROR(__xludf.DUMMYFUNCTION("""COMPUTED_VALUE"""),"No")</f>
        <v>No</v>
      </c>
      <c r="F91" s="8" t="str">
        <f>IFERROR(__xludf.DUMMYFUNCTION("""COMPUTED_VALUE"""),"No")</f>
        <v>No</v>
      </c>
    </row>
    <row r="92">
      <c r="A92" s="5">
        <f>IFERROR(__xludf.DUMMYFUNCTION("""COMPUTED_VALUE"""),44585.0)</f>
        <v>44585</v>
      </c>
      <c r="B92" s="6" t="str">
        <f>IFERROR(__xludf.DUMMYFUNCTION("""COMPUTED_VALUE"""),"dinner")</f>
        <v>dinner</v>
      </c>
      <c r="C92" s="6" t="str">
        <f>IFERROR(__xludf.DUMMYFUNCTION("""COMPUTED_VALUE"""),"employee Q")</f>
        <v>employee Q</v>
      </c>
      <c r="D92" s="7">
        <f>IFERROR(__xludf.DUMMYFUNCTION("""COMPUTED_VALUE"""),63.91)</f>
        <v>63.91</v>
      </c>
      <c r="E92" s="6" t="str">
        <f>IFERROR(__xludf.DUMMYFUNCTION("""COMPUTED_VALUE"""),"No")</f>
        <v>No</v>
      </c>
      <c r="F92" s="8" t="str">
        <f>IFERROR(__xludf.DUMMYFUNCTION("""COMPUTED_VALUE"""),"No")</f>
        <v>No</v>
      </c>
    </row>
    <row r="93">
      <c r="A93" s="5">
        <f>IFERROR(__xludf.DUMMYFUNCTION("""COMPUTED_VALUE"""),44585.0)</f>
        <v>44585</v>
      </c>
      <c r="B93" s="6" t="str">
        <f>IFERROR(__xludf.DUMMYFUNCTION("""COMPUTED_VALUE"""),"dinner")</f>
        <v>dinner</v>
      </c>
      <c r="C93" s="6" t="str">
        <f>IFERROR(__xludf.DUMMYFUNCTION("""COMPUTED_VALUE"""),"employee D")</f>
        <v>employee D</v>
      </c>
      <c r="D93" s="7">
        <f>IFERROR(__xludf.DUMMYFUNCTION("""COMPUTED_VALUE"""),56.81)</f>
        <v>56.81</v>
      </c>
      <c r="E93" s="6" t="str">
        <f>IFERROR(__xludf.DUMMYFUNCTION("""COMPUTED_VALUE"""),"No")</f>
        <v>No</v>
      </c>
      <c r="F93" s="8" t="str">
        <f>IFERROR(__xludf.DUMMYFUNCTION("""COMPUTED_VALUE"""),"No")</f>
        <v>No</v>
      </c>
    </row>
    <row r="94">
      <c r="A94" s="5">
        <f>IFERROR(__xludf.DUMMYFUNCTION("""COMPUTED_VALUE"""),44585.0)</f>
        <v>44585</v>
      </c>
      <c r="B94" s="6" t="str">
        <f>IFERROR(__xludf.DUMMYFUNCTION("""COMPUTED_VALUE"""),"dinner")</f>
        <v>dinner</v>
      </c>
      <c r="C94" s="6" t="str">
        <f>IFERROR(__xludf.DUMMYFUNCTION("""COMPUTED_VALUE"""),"employee E")</f>
        <v>employee E</v>
      </c>
      <c r="D94" s="7">
        <f>IFERROR(__xludf.DUMMYFUNCTION("""COMPUTED_VALUE"""),21.31)</f>
        <v>21.31</v>
      </c>
      <c r="E94" s="6" t="str">
        <f>IFERROR(__xludf.DUMMYFUNCTION("""COMPUTED_VALUE"""),"No")</f>
        <v>No</v>
      </c>
      <c r="F94" s="8" t="str">
        <f>IFERROR(__xludf.DUMMYFUNCTION("""COMPUTED_VALUE"""),"No")</f>
        <v>No</v>
      </c>
    </row>
    <row r="95">
      <c r="A95" s="5">
        <f>IFERROR(__xludf.DUMMYFUNCTION("""COMPUTED_VALUE"""),44586.0)</f>
        <v>44586</v>
      </c>
      <c r="B95" s="6" t="str">
        <f>IFERROR(__xludf.DUMMYFUNCTION("""COMPUTED_VALUE"""),"lunch")</f>
        <v>lunch</v>
      </c>
      <c r="C95" s="6" t="str">
        <f>IFERROR(__xludf.DUMMYFUNCTION("""COMPUTED_VALUE"""),"employee J")</f>
        <v>employee J</v>
      </c>
      <c r="D95" s="7">
        <f>IFERROR(__xludf.DUMMYFUNCTION("""COMPUTED_VALUE"""),39.57)</f>
        <v>39.57</v>
      </c>
      <c r="E95" s="6" t="str">
        <f>IFERROR(__xludf.DUMMYFUNCTION("""COMPUTED_VALUE"""),"No")</f>
        <v>No</v>
      </c>
      <c r="F95" s="8" t="str">
        <f>IFERROR(__xludf.DUMMYFUNCTION("""COMPUTED_VALUE"""),"No")</f>
        <v>No</v>
      </c>
    </row>
    <row r="96">
      <c r="A96" s="5">
        <f>IFERROR(__xludf.DUMMYFUNCTION("""COMPUTED_VALUE"""),44586.0)</f>
        <v>44586</v>
      </c>
      <c r="B96" s="6" t="str">
        <f>IFERROR(__xludf.DUMMYFUNCTION("""COMPUTED_VALUE"""),"dinner")</f>
        <v>dinner</v>
      </c>
      <c r="C96" s="6" t="str">
        <f>IFERROR(__xludf.DUMMYFUNCTION("""COMPUTED_VALUE"""),"employee Q")</f>
        <v>employee Q</v>
      </c>
      <c r="D96" s="7">
        <f>IFERROR(__xludf.DUMMYFUNCTION("""COMPUTED_VALUE"""),56.85)</f>
        <v>56.85</v>
      </c>
      <c r="E96" s="6" t="str">
        <f>IFERROR(__xludf.DUMMYFUNCTION("""COMPUTED_VALUE"""),"No")</f>
        <v>No</v>
      </c>
      <c r="F96" s="8" t="str">
        <f>IFERROR(__xludf.DUMMYFUNCTION("""COMPUTED_VALUE"""),"No")</f>
        <v>No</v>
      </c>
    </row>
    <row r="97">
      <c r="A97" s="5">
        <f>IFERROR(__xludf.DUMMYFUNCTION("""COMPUTED_VALUE"""),44586.0)</f>
        <v>44586</v>
      </c>
      <c r="B97" s="6" t="str">
        <f>IFERROR(__xludf.DUMMYFUNCTION("""COMPUTED_VALUE"""),"dinner")</f>
        <v>dinner</v>
      </c>
      <c r="C97" s="6" t="str">
        <f>IFERROR(__xludf.DUMMYFUNCTION("""COMPUTED_VALUE"""),"employee C")</f>
        <v>employee C</v>
      </c>
      <c r="D97" s="7">
        <f>IFERROR(__xludf.DUMMYFUNCTION("""COMPUTED_VALUE"""),34.74)</f>
        <v>34.74</v>
      </c>
      <c r="E97" s="6" t="str">
        <f>IFERROR(__xludf.DUMMYFUNCTION("""COMPUTED_VALUE"""),"No")</f>
        <v>No</v>
      </c>
      <c r="F97" s="8" t="str">
        <f>IFERROR(__xludf.DUMMYFUNCTION("""COMPUTED_VALUE"""),"No")</f>
        <v>No</v>
      </c>
    </row>
    <row r="98">
      <c r="A98" s="5">
        <f>IFERROR(__xludf.DUMMYFUNCTION("""COMPUTED_VALUE"""),44586.0)</f>
        <v>44586</v>
      </c>
      <c r="B98" s="6" t="str">
        <f>IFERROR(__xludf.DUMMYFUNCTION("""COMPUTED_VALUE"""),"dinner")</f>
        <v>dinner</v>
      </c>
      <c r="C98" s="6" t="str">
        <f>IFERROR(__xludf.DUMMYFUNCTION("""COMPUTED_VALUE"""),"employee I")</f>
        <v>employee I</v>
      </c>
      <c r="D98" s="7">
        <f>IFERROR(__xludf.DUMMYFUNCTION("""COMPUTED_VALUE"""),0.0)</f>
        <v>0</v>
      </c>
      <c r="E98" s="9" t="str">
        <f>IFERROR(__xludf.DUMMYFUNCTION("""COMPUTED_VALUE"""),"Yes")</f>
        <v>Yes</v>
      </c>
      <c r="F98" s="8" t="str">
        <f>IFERROR(__xludf.DUMMYFUNCTION("""COMPUTED_VALUE"""),"No")</f>
        <v>No</v>
      </c>
    </row>
    <row r="99">
      <c r="A99" s="5">
        <f>IFERROR(__xludf.DUMMYFUNCTION("""COMPUTED_VALUE"""),44587.0)</f>
        <v>44587</v>
      </c>
      <c r="B99" s="6" t="str">
        <f>IFERROR(__xludf.DUMMYFUNCTION("""COMPUTED_VALUE"""),"lunch")</f>
        <v>lunch</v>
      </c>
      <c r="C99" s="6" t="str">
        <f>IFERROR(__xludf.DUMMYFUNCTION("""COMPUTED_VALUE"""),"employee J")</f>
        <v>employee J</v>
      </c>
      <c r="D99" s="7">
        <f>IFERROR(__xludf.DUMMYFUNCTION("""COMPUTED_VALUE"""),56.71)</f>
        <v>56.71</v>
      </c>
      <c r="E99" s="6" t="str">
        <f>IFERROR(__xludf.DUMMYFUNCTION("""COMPUTED_VALUE"""),"No")</f>
        <v>No</v>
      </c>
      <c r="F99" s="8" t="str">
        <f>IFERROR(__xludf.DUMMYFUNCTION("""COMPUTED_VALUE"""),"No")</f>
        <v>No</v>
      </c>
    </row>
    <row r="100">
      <c r="A100" s="5">
        <f>IFERROR(__xludf.DUMMYFUNCTION("""COMPUTED_VALUE"""),44587.0)</f>
        <v>44587</v>
      </c>
      <c r="B100" s="6" t="str">
        <f>IFERROR(__xludf.DUMMYFUNCTION("""COMPUTED_VALUE"""),"dinner")</f>
        <v>dinner</v>
      </c>
      <c r="C100" s="6" t="str">
        <f>IFERROR(__xludf.DUMMYFUNCTION("""COMPUTED_VALUE"""),"employee J")</f>
        <v>employee J</v>
      </c>
      <c r="D100" s="7">
        <f>IFERROR(__xludf.DUMMYFUNCTION("""COMPUTED_VALUE"""),75.14)</f>
        <v>75.14</v>
      </c>
      <c r="E100" s="6" t="str">
        <f>IFERROR(__xludf.DUMMYFUNCTION("""COMPUTED_VALUE"""),"No")</f>
        <v>No</v>
      </c>
      <c r="F100" s="8" t="str">
        <f>IFERROR(__xludf.DUMMYFUNCTION("""COMPUTED_VALUE"""),"No")</f>
        <v>No</v>
      </c>
    </row>
    <row r="101">
      <c r="A101" s="5">
        <f>IFERROR(__xludf.DUMMYFUNCTION("""COMPUTED_VALUE"""),44587.0)</f>
        <v>44587</v>
      </c>
      <c r="B101" s="6" t="str">
        <f>IFERROR(__xludf.DUMMYFUNCTION("""COMPUTED_VALUE"""),"dinner")</f>
        <v>dinner</v>
      </c>
      <c r="C101" s="6" t="str">
        <f>IFERROR(__xludf.DUMMYFUNCTION("""COMPUTED_VALUE"""),"employee C")</f>
        <v>employee C</v>
      </c>
      <c r="D101" s="7">
        <f>IFERROR(__xludf.DUMMYFUNCTION("""COMPUTED_VALUE"""),58.44)</f>
        <v>58.44</v>
      </c>
      <c r="E101" s="6" t="str">
        <f>IFERROR(__xludf.DUMMYFUNCTION("""COMPUTED_VALUE"""),"No")</f>
        <v>No</v>
      </c>
      <c r="F101" s="8" t="str">
        <f>IFERROR(__xludf.DUMMYFUNCTION("""COMPUTED_VALUE"""),"No")</f>
        <v>No</v>
      </c>
    </row>
    <row r="102">
      <c r="A102" s="5">
        <f>IFERROR(__xludf.DUMMYFUNCTION("""COMPUTED_VALUE"""),44587.0)</f>
        <v>44587</v>
      </c>
      <c r="B102" s="6" t="str">
        <f>IFERROR(__xludf.DUMMYFUNCTION("""COMPUTED_VALUE"""),"dinner")</f>
        <v>dinner</v>
      </c>
      <c r="C102" s="6" t="str">
        <f>IFERROR(__xludf.DUMMYFUNCTION("""COMPUTED_VALUE"""),"employee I")</f>
        <v>employee I</v>
      </c>
      <c r="D102" s="7">
        <f>IFERROR(__xludf.DUMMYFUNCTION("""COMPUTED_VALUE"""),0.0)</f>
        <v>0</v>
      </c>
      <c r="E102" s="9" t="str">
        <f>IFERROR(__xludf.DUMMYFUNCTION("""COMPUTED_VALUE"""),"Yes")</f>
        <v>Yes</v>
      </c>
      <c r="F102" s="8" t="str">
        <f>IFERROR(__xludf.DUMMYFUNCTION("""COMPUTED_VALUE"""),"No")</f>
        <v>No</v>
      </c>
    </row>
    <row r="103">
      <c r="A103" s="5">
        <f>IFERROR(__xludf.DUMMYFUNCTION("""COMPUTED_VALUE"""),44588.0)</f>
        <v>44588</v>
      </c>
      <c r="B103" s="6" t="str">
        <f>IFERROR(__xludf.DUMMYFUNCTION("""COMPUTED_VALUE"""),"lunch")</f>
        <v>lunch</v>
      </c>
      <c r="C103" s="6" t="str">
        <f>IFERROR(__xludf.DUMMYFUNCTION("""COMPUTED_VALUE"""),"employee J")</f>
        <v>employee J</v>
      </c>
      <c r="D103" s="7">
        <f>IFERROR(__xludf.DUMMYFUNCTION("""COMPUTED_VALUE"""),103.68)</f>
        <v>103.68</v>
      </c>
      <c r="E103" s="6" t="str">
        <f>IFERROR(__xludf.DUMMYFUNCTION("""COMPUTED_VALUE"""),"No")</f>
        <v>No</v>
      </c>
      <c r="F103" s="8" t="str">
        <f>IFERROR(__xludf.DUMMYFUNCTION("""COMPUTED_VALUE"""),"No")</f>
        <v>No</v>
      </c>
    </row>
    <row r="104">
      <c r="A104" s="5">
        <f>IFERROR(__xludf.DUMMYFUNCTION("""COMPUTED_VALUE"""),44588.0)</f>
        <v>44588</v>
      </c>
      <c r="B104" s="6" t="str">
        <f>IFERROR(__xludf.DUMMYFUNCTION("""COMPUTED_VALUE"""),"dinner")</f>
        <v>dinner</v>
      </c>
      <c r="C104" s="6" t="str">
        <f>IFERROR(__xludf.DUMMYFUNCTION("""COMPUTED_VALUE"""),"employee Q")</f>
        <v>employee Q</v>
      </c>
      <c r="D104" s="7">
        <f>IFERROR(__xludf.DUMMYFUNCTION("""COMPUTED_VALUE"""),57.74)</f>
        <v>57.74</v>
      </c>
      <c r="E104" s="6" t="str">
        <f>IFERROR(__xludf.DUMMYFUNCTION("""COMPUTED_VALUE"""),"No")</f>
        <v>No</v>
      </c>
      <c r="F104" s="8" t="str">
        <f>IFERROR(__xludf.DUMMYFUNCTION("""COMPUTED_VALUE"""),"No")</f>
        <v>No</v>
      </c>
    </row>
    <row r="105">
      <c r="A105" s="5">
        <f>IFERROR(__xludf.DUMMYFUNCTION("""COMPUTED_VALUE"""),44588.0)</f>
        <v>44588</v>
      </c>
      <c r="B105" s="6" t="str">
        <f>IFERROR(__xludf.DUMMYFUNCTION("""COMPUTED_VALUE"""),"dinner")</f>
        <v>dinner</v>
      </c>
      <c r="C105" s="6" t="str">
        <f>IFERROR(__xludf.DUMMYFUNCTION("""COMPUTED_VALUE"""),"employee D")</f>
        <v>employee D</v>
      </c>
      <c r="D105" s="7">
        <f>IFERROR(__xludf.DUMMYFUNCTION("""COMPUTED_VALUE"""),44.91)</f>
        <v>44.91</v>
      </c>
      <c r="E105" s="6" t="str">
        <f>IFERROR(__xludf.DUMMYFUNCTION("""COMPUTED_VALUE"""),"No")</f>
        <v>No</v>
      </c>
      <c r="F105" s="8" t="str">
        <f>IFERROR(__xludf.DUMMYFUNCTION("""COMPUTED_VALUE"""),"No")</f>
        <v>No</v>
      </c>
    </row>
    <row r="106">
      <c r="A106" s="5">
        <f>IFERROR(__xludf.DUMMYFUNCTION("""COMPUTED_VALUE"""),44588.0)</f>
        <v>44588</v>
      </c>
      <c r="B106" s="6" t="str">
        <f>IFERROR(__xludf.DUMMYFUNCTION("""COMPUTED_VALUE"""),"dinner")</f>
        <v>dinner</v>
      </c>
      <c r="C106" s="6" t="str">
        <f>IFERROR(__xludf.DUMMYFUNCTION("""COMPUTED_VALUE"""),"employee E")</f>
        <v>employee E</v>
      </c>
      <c r="D106" s="7">
        <f>IFERROR(__xludf.DUMMYFUNCTION("""COMPUTED_VALUE"""),35.28)</f>
        <v>35.28</v>
      </c>
      <c r="E106" s="6" t="str">
        <f>IFERROR(__xludf.DUMMYFUNCTION("""COMPUTED_VALUE"""),"No")</f>
        <v>No</v>
      </c>
      <c r="F106" s="8" t="str">
        <f>IFERROR(__xludf.DUMMYFUNCTION("""COMPUTED_VALUE"""),"No")</f>
        <v>No</v>
      </c>
    </row>
    <row r="107">
      <c r="A107" s="5">
        <f>IFERROR(__xludf.DUMMYFUNCTION("""COMPUTED_VALUE"""),44589.0)</f>
        <v>44589</v>
      </c>
      <c r="B107" s="6" t="str">
        <f>IFERROR(__xludf.DUMMYFUNCTION("""COMPUTED_VALUE"""),"lunch")</f>
        <v>lunch</v>
      </c>
      <c r="C107" s="6" t="str">
        <f>IFERROR(__xludf.DUMMYFUNCTION("""COMPUTED_VALUE"""),"employee Q")</f>
        <v>employee Q</v>
      </c>
      <c r="D107" s="7">
        <f>IFERROR(__xludf.DUMMYFUNCTION("""COMPUTED_VALUE"""),66.25)</f>
        <v>66.25</v>
      </c>
      <c r="E107" s="6" t="str">
        <f>IFERROR(__xludf.DUMMYFUNCTION("""COMPUTED_VALUE"""),"No")</f>
        <v>No</v>
      </c>
      <c r="F107" s="8" t="str">
        <f>IFERROR(__xludf.DUMMYFUNCTION("""COMPUTED_VALUE"""),"No")</f>
        <v>No</v>
      </c>
    </row>
    <row r="108">
      <c r="A108" s="5">
        <f>IFERROR(__xludf.DUMMYFUNCTION("""COMPUTED_VALUE"""),44589.0)</f>
        <v>44589</v>
      </c>
      <c r="B108" s="6" t="str">
        <f>IFERROR(__xludf.DUMMYFUNCTION("""COMPUTED_VALUE"""),"dinner")</f>
        <v>dinner</v>
      </c>
      <c r="C108" s="6" t="str">
        <f>IFERROR(__xludf.DUMMYFUNCTION("""COMPUTED_VALUE"""),"employee J")</f>
        <v>employee J</v>
      </c>
      <c r="D108" s="7">
        <f>IFERROR(__xludf.DUMMYFUNCTION("""COMPUTED_VALUE"""),59.63)</f>
        <v>59.63</v>
      </c>
      <c r="E108" s="6" t="str">
        <f>IFERROR(__xludf.DUMMYFUNCTION("""COMPUTED_VALUE"""),"No")</f>
        <v>No</v>
      </c>
      <c r="F108" s="8" t="str">
        <f>IFERROR(__xludf.DUMMYFUNCTION("""COMPUTED_VALUE"""),"No")</f>
        <v>No</v>
      </c>
    </row>
    <row r="109">
      <c r="A109" s="5">
        <f>IFERROR(__xludf.DUMMYFUNCTION("""COMPUTED_VALUE"""),44589.0)</f>
        <v>44589</v>
      </c>
      <c r="B109" s="6" t="str">
        <f>IFERROR(__xludf.DUMMYFUNCTION("""COMPUTED_VALUE"""),"dinner")</f>
        <v>dinner</v>
      </c>
      <c r="C109" s="6" t="str">
        <f>IFERROR(__xludf.DUMMYFUNCTION("""COMPUTED_VALUE"""),"employee B")</f>
        <v>employee B</v>
      </c>
      <c r="D109" s="7">
        <f>IFERROR(__xludf.DUMMYFUNCTION("""COMPUTED_VALUE"""),59.63)</f>
        <v>59.63</v>
      </c>
      <c r="E109" s="6" t="str">
        <f>IFERROR(__xludf.DUMMYFUNCTION("""COMPUTED_VALUE"""),"No")</f>
        <v>No</v>
      </c>
      <c r="F109" s="8" t="str">
        <f>IFERROR(__xludf.DUMMYFUNCTION("""COMPUTED_VALUE"""),"No")</f>
        <v>No</v>
      </c>
    </row>
    <row r="110">
      <c r="A110" s="5">
        <f>IFERROR(__xludf.DUMMYFUNCTION("""COMPUTED_VALUE"""),44589.0)</f>
        <v>44589</v>
      </c>
      <c r="B110" s="6" t="str">
        <f>IFERROR(__xludf.DUMMYFUNCTION("""COMPUTED_VALUE"""),"dinner")</f>
        <v>dinner</v>
      </c>
      <c r="C110" s="6" t="str">
        <f>IFERROR(__xludf.DUMMYFUNCTION("""COMPUTED_VALUE"""),"employee E")</f>
        <v>employee E</v>
      </c>
      <c r="D110" s="7">
        <f>IFERROR(__xludf.DUMMYFUNCTION("""COMPUTED_VALUE"""),46.37)</f>
        <v>46.37</v>
      </c>
      <c r="E110" s="6" t="str">
        <f>IFERROR(__xludf.DUMMYFUNCTION("""COMPUTED_VALUE"""),"No")</f>
        <v>No</v>
      </c>
      <c r="F110" s="8" t="str">
        <f>IFERROR(__xludf.DUMMYFUNCTION("""COMPUTED_VALUE"""),"No")</f>
        <v>No</v>
      </c>
    </row>
    <row r="111">
      <c r="A111" s="5">
        <f>IFERROR(__xludf.DUMMYFUNCTION("""COMPUTED_VALUE"""),44590.0)</f>
        <v>44590</v>
      </c>
      <c r="B111" s="6" t="str">
        <f>IFERROR(__xludf.DUMMYFUNCTION("""COMPUTED_VALUE"""),"lunch")</f>
        <v>lunch</v>
      </c>
      <c r="C111" s="6" t="str">
        <f>IFERROR(__xludf.DUMMYFUNCTION("""COMPUTED_VALUE"""),"employee Q")</f>
        <v>employee Q</v>
      </c>
      <c r="D111" s="7">
        <f>IFERROR(__xludf.DUMMYFUNCTION("""COMPUTED_VALUE"""),133.81)</f>
        <v>133.81</v>
      </c>
      <c r="E111" s="6" t="str">
        <f>IFERROR(__xludf.DUMMYFUNCTION("""COMPUTED_VALUE"""),"No")</f>
        <v>No</v>
      </c>
      <c r="F111" s="8" t="str">
        <f>IFERROR(__xludf.DUMMYFUNCTION("""COMPUTED_VALUE"""),"No")</f>
        <v>No</v>
      </c>
    </row>
    <row r="112">
      <c r="A112" s="5">
        <f>IFERROR(__xludf.DUMMYFUNCTION("""COMPUTED_VALUE"""),44590.0)</f>
        <v>44590</v>
      </c>
      <c r="B112" s="6" t="str">
        <f>IFERROR(__xludf.DUMMYFUNCTION("""COMPUTED_VALUE"""),"lunch")</f>
        <v>lunch</v>
      </c>
      <c r="C112" s="6" t="str">
        <f>IFERROR(__xludf.DUMMYFUNCTION("""COMPUTED_VALUE"""),"employee B")</f>
        <v>employee B</v>
      </c>
      <c r="D112" s="7">
        <f>IFERROR(__xludf.DUMMYFUNCTION("""COMPUTED_VALUE"""),102.95)</f>
        <v>102.95</v>
      </c>
      <c r="E112" s="6" t="str">
        <f>IFERROR(__xludf.DUMMYFUNCTION("""COMPUTED_VALUE"""),"No")</f>
        <v>No</v>
      </c>
      <c r="F112" s="8" t="str">
        <f>IFERROR(__xludf.DUMMYFUNCTION("""COMPUTED_VALUE"""),"No")</f>
        <v>No</v>
      </c>
    </row>
    <row r="113">
      <c r="A113" s="5">
        <f>IFERROR(__xludf.DUMMYFUNCTION("""COMPUTED_VALUE"""),44590.0)</f>
        <v>44590</v>
      </c>
      <c r="B113" s="6" t="str">
        <f>IFERROR(__xludf.DUMMYFUNCTION("""COMPUTED_VALUE"""),"dinner")</f>
        <v>dinner</v>
      </c>
      <c r="C113" s="6" t="str">
        <f>IFERROR(__xludf.DUMMYFUNCTION("""COMPUTED_VALUE"""),"employee B")</f>
        <v>employee B</v>
      </c>
      <c r="D113" s="7">
        <f>IFERROR(__xludf.DUMMYFUNCTION("""COMPUTED_VALUE"""),50.87)</f>
        <v>50.87</v>
      </c>
      <c r="E113" s="6" t="str">
        <f>IFERROR(__xludf.DUMMYFUNCTION("""COMPUTED_VALUE"""),"No")</f>
        <v>No</v>
      </c>
      <c r="F113" s="8" t="str">
        <f>IFERROR(__xludf.DUMMYFUNCTION("""COMPUTED_VALUE"""),"No")</f>
        <v>No</v>
      </c>
    </row>
    <row r="114">
      <c r="A114" s="5">
        <f>IFERROR(__xludf.DUMMYFUNCTION("""COMPUTED_VALUE"""),44590.0)</f>
        <v>44590</v>
      </c>
      <c r="B114" s="6" t="str">
        <f>IFERROR(__xludf.DUMMYFUNCTION("""COMPUTED_VALUE"""),"dinner")</f>
        <v>dinner</v>
      </c>
      <c r="C114" s="6" t="str">
        <f>IFERROR(__xludf.DUMMYFUNCTION("""COMPUTED_VALUE"""),"employee K")</f>
        <v>employee K</v>
      </c>
      <c r="D114" s="7">
        <f>IFERROR(__xludf.DUMMYFUNCTION("""COMPUTED_VALUE"""),65.4)</f>
        <v>65.4</v>
      </c>
      <c r="E114" s="6" t="str">
        <f>IFERROR(__xludf.DUMMYFUNCTION("""COMPUTED_VALUE"""),"No")</f>
        <v>No</v>
      </c>
      <c r="F114" s="8" t="str">
        <f>IFERROR(__xludf.DUMMYFUNCTION("""COMPUTED_VALUE"""),"No")</f>
        <v>No</v>
      </c>
    </row>
    <row r="115">
      <c r="A115" s="5">
        <f>IFERROR(__xludf.DUMMYFUNCTION("""COMPUTED_VALUE"""),44590.0)</f>
        <v>44590</v>
      </c>
      <c r="B115" s="6" t="str">
        <f>IFERROR(__xludf.DUMMYFUNCTION("""COMPUTED_VALUE"""),"dinner")</f>
        <v>dinner</v>
      </c>
      <c r="C115" s="6" t="str">
        <f>IFERROR(__xludf.DUMMYFUNCTION("""COMPUTED_VALUE"""),"employee J")</f>
        <v>employee J</v>
      </c>
      <c r="D115" s="7">
        <f>IFERROR(__xludf.DUMMYFUNCTION("""COMPUTED_VALUE"""),58.14)</f>
        <v>58.14</v>
      </c>
      <c r="E115" s="6" t="str">
        <f>IFERROR(__xludf.DUMMYFUNCTION("""COMPUTED_VALUE"""),"No")</f>
        <v>No</v>
      </c>
      <c r="F115" s="8" t="str">
        <f>IFERROR(__xludf.DUMMYFUNCTION("""COMPUTED_VALUE"""),"No")</f>
        <v>No</v>
      </c>
    </row>
    <row r="116">
      <c r="A116" s="5">
        <f>IFERROR(__xludf.DUMMYFUNCTION("""COMPUTED_VALUE"""),44591.0)</f>
        <v>44591</v>
      </c>
      <c r="B116" s="6" t="str">
        <f>IFERROR(__xludf.DUMMYFUNCTION("""COMPUTED_VALUE"""),"lunch")</f>
        <v>lunch</v>
      </c>
      <c r="C116" s="6" t="str">
        <f>IFERROR(__xludf.DUMMYFUNCTION("""COMPUTED_VALUE"""),"employee Q")</f>
        <v>employee Q</v>
      </c>
      <c r="D116" s="7">
        <f>IFERROR(__xludf.DUMMYFUNCTION("""COMPUTED_VALUE"""),33.92)</f>
        <v>33.92</v>
      </c>
      <c r="E116" s="6" t="str">
        <f>IFERROR(__xludf.DUMMYFUNCTION("""COMPUTED_VALUE"""),"No")</f>
        <v>No</v>
      </c>
      <c r="F116" s="8" t="str">
        <f>IFERROR(__xludf.DUMMYFUNCTION("""COMPUTED_VALUE"""),"No")</f>
        <v>No</v>
      </c>
    </row>
    <row r="117">
      <c r="A117" s="5">
        <f>IFERROR(__xludf.DUMMYFUNCTION("""COMPUTED_VALUE"""),44591.0)</f>
        <v>44591</v>
      </c>
      <c r="B117" s="6" t="str">
        <f>IFERROR(__xludf.DUMMYFUNCTION("""COMPUTED_VALUE"""),"lunch")</f>
        <v>lunch</v>
      </c>
      <c r="C117" s="6" t="str">
        <f>IFERROR(__xludf.DUMMYFUNCTION("""COMPUTED_VALUE"""),"employee K")</f>
        <v>employee K</v>
      </c>
      <c r="D117" s="7">
        <f>IFERROR(__xludf.DUMMYFUNCTION("""COMPUTED_VALUE"""),62.19)</f>
        <v>62.19</v>
      </c>
      <c r="E117" s="6" t="str">
        <f>IFERROR(__xludf.DUMMYFUNCTION("""COMPUTED_VALUE"""),"No")</f>
        <v>No</v>
      </c>
      <c r="F117" s="8" t="str">
        <f>IFERROR(__xludf.DUMMYFUNCTION("""COMPUTED_VALUE"""),"No")</f>
        <v>No</v>
      </c>
    </row>
    <row r="118">
      <c r="A118" s="5">
        <f>IFERROR(__xludf.DUMMYFUNCTION("""COMPUTED_VALUE"""),44591.0)</f>
        <v>44591</v>
      </c>
      <c r="B118" s="6" t="str">
        <f>IFERROR(__xludf.DUMMYFUNCTION("""COMPUTED_VALUE"""),"lunch")</f>
        <v>lunch</v>
      </c>
      <c r="C118" s="6" t="str">
        <f>IFERROR(__xludf.DUMMYFUNCTION("""COMPUTED_VALUE"""),"employee J")</f>
        <v>employee J</v>
      </c>
      <c r="D118" s="7">
        <f>IFERROR(__xludf.DUMMYFUNCTION("""COMPUTED_VALUE"""),33.92)</f>
        <v>33.92</v>
      </c>
      <c r="E118" s="6" t="str">
        <f>IFERROR(__xludf.DUMMYFUNCTION("""COMPUTED_VALUE"""),"No")</f>
        <v>No</v>
      </c>
      <c r="F118" s="8" t="str">
        <f>IFERROR(__xludf.DUMMYFUNCTION("""COMPUTED_VALUE"""),"No")</f>
        <v>No</v>
      </c>
    </row>
    <row r="119">
      <c r="A119" s="5">
        <f>IFERROR(__xludf.DUMMYFUNCTION("""COMPUTED_VALUE"""),44591.0)</f>
        <v>44591</v>
      </c>
      <c r="B119" s="6" t="str">
        <f>IFERROR(__xludf.DUMMYFUNCTION("""COMPUTED_VALUE"""),"lunch")</f>
        <v>lunch</v>
      </c>
      <c r="C119" s="6" t="str">
        <f>IFERROR(__xludf.DUMMYFUNCTION("""COMPUTED_VALUE"""),"employee B")</f>
        <v>employee B</v>
      </c>
      <c r="D119" s="7">
        <f>IFERROR(__xludf.DUMMYFUNCTION("""COMPUTED_VALUE"""),22.61)</f>
        <v>22.61</v>
      </c>
      <c r="E119" s="6" t="str">
        <f>IFERROR(__xludf.DUMMYFUNCTION("""COMPUTED_VALUE"""),"No")</f>
        <v>No</v>
      </c>
      <c r="F119" s="8" t="str">
        <f>IFERROR(__xludf.DUMMYFUNCTION("""COMPUTED_VALUE"""),"No")</f>
        <v>No</v>
      </c>
    </row>
    <row r="120">
      <c r="A120" s="5">
        <f>IFERROR(__xludf.DUMMYFUNCTION("""COMPUTED_VALUE"""),44591.0)</f>
        <v>44591</v>
      </c>
      <c r="B120" s="6" t="str">
        <f>IFERROR(__xludf.DUMMYFUNCTION("""COMPUTED_VALUE"""),"dinner")</f>
        <v>dinner</v>
      </c>
      <c r="C120" s="6" t="str">
        <f>IFERROR(__xludf.DUMMYFUNCTION("""COMPUTED_VALUE"""),"employee J")</f>
        <v>employee J</v>
      </c>
      <c r="D120" s="7">
        <f>IFERROR(__xludf.DUMMYFUNCTION("""COMPUTED_VALUE"""),13.12)</f>
        <v>13.12</v>
      </c>
      <c r="E120" s="6" t="str">
        <f>IFERROR(__xludf.DUMMYFUNCTION("""COMPUTED_VALUE"""),"No")</f>
        <v>No</v>
      </c>
      <c r="F120" s="8" t="str">
        <f>IFERROR(__xludf.DUMMYFUNCTION("""COMPUTED_VALUE"""),"No")</f>
        <v>No</v>
      </c>
    </row>
    <row r="121">
      <c r="A121" s="5">
        <f>IFERROR(__xludf.DUMMYFUNCTION("""COMPUTED_VALUE"""),44591.0)</f>
        <v>44591</v>
      </c>
      <c r="B121" s="6" t="str">
        <f>IFERROR(__xludf.DUMMYFUNCTION("""COMPUTED_VALUE"""),"dinner")</f>
        <v>dinner</v>
      </c>
      <c r="C121" s="6" t="str">
        <f>IFERROR(__xludf.DUMMYFUNCTION("""COMPUTED_VALUE"""),"employee D")</f>
        <v>employee D</v>
      </c>
      <c r="D121" s="7">
        <f>IFERROR(__xludf.DUMMYFUNCTION("""COMPUTED_VALUE"""),59.04)</f>
        <v>59.04</v>
      </c>
      <c r="E121" s="6" t="str">
        <f>IFERROR(__xludf.DUMMYFUNCTION("""COMPUTED_VALUE"""),"No")</f>
        <v>No</v>
      </c>
      <c r="F121" s="8" t="str">
        <f>IFERROR(__xludf.DUMMYFUNCTION("""COMPUTED_VALUE"""),"No")</f>
        <v>No</v>
      </c>
    </row>
    <row r="122">
      <c r="A122" s="5">
        <f>IFERROR(__xludf.DUMMYFUNCTION("""COMPUTED_VALUE"""),44591.0)</f>
        <v>44591</v>
      </c>
      <c r="B122" s="6" t="str">
        <f>IFERROR(__xludf.DUMMYFUNCTION("""COMPUTED_VALUE"""),"dinner")</f>
        <v>dinner</v>
      </c>
      <c r="C122" s="6" t="str">
        <f>IFERROR(__xludf.DUMMYFUNCTION("""COMPUTED_VALUE"""),"employee B")</f>
        <v>employee B</v>
      </c>
      <c r="D122" s="7">
        <f>IFERROR(__xludf.DUMMYFUNCTION("""COMPUTED_VALUE"""),59.04)</f>
        <v>59.04</v>
      </c>
      <c r="E122" s="6" t="str">
        <f>IFERROR(__xludf.DUMMYFUNCTION("""COMPUTED_VALUE"""),"No")</f>
        <v>No</v>
      </c>
      <c r="F122" s="8" t="str">
        <f>IFERROR(__xludf.DUMMYFUNCTION("""COMPUTED_VALUE"""),"No")</f>
        <v>No</v>
      </c>
    </row>
    <row r="123">
      <c r="A123" s="5">
        <f>IFERROR(__xludf.DUMMYFUNCTION("""COMPUTED_VALUE"""),44591.0)</f>
        <v>44591</v>
      </c>
      <c r="B123" s="6" t="str">
        <f>IFERROR(__xludf.DUMMYFUNCTION("""COMPUTED_VALUE"""),"dinner")</f>
        <v>dinner</v>
      </c>
      <c r="C123" s="6" t="str">
        <f>IFERROR(__xludf.DUMMYFUNCTION("""COMPUTED_VALUE"""),"employee E")</f>
        <v>employee E</v>
      </c>
      <c r="D123" s="7">
        <f>IFERROR(__xludf.DUMMYFUNCTION("""COMPUTED_VALUE"""),13.12)</f>
        <v>13.12</v>
      </c>
      <c r="E123" s="6" t="str">
        <f>IFERROR(__xludf.DUMMYFUNCTION("""COMPUTED_VALUE"""),"No")</f>
        <v>No</v>
      </c>
      <c r="F123" s="8" t="str">
        <f>IFERROR(__xludf.DUMMYFUNCTION("""COMPUTED_VALUE"""),"No")</f>
        <v>No</v>
      </c>
    </row>
    <row r="124">
      <c r="A124" s="5">
        <f>IFERROR(__xludf.DUMMYFUNCTION("""COMPUTED_VALUE"""),44592.0)</f>
        <v>44592</v>
      </c>
      <c r="B124" s="6" t="str">
        <f>IFERROR(__xludf.DUMMYFUNCTION("""COMPUTED_VALUE"""),"lunch")</f>
        <v>lunch</v>
      </c>
      <c r="C124" s="6" t="str">
        <f>IFERROR(__xludf.DUMMYFUNCTION("""COMPUTED_VALUE"""),"employee J")</f>
        <v>employee J</v>
      </c>
      <c r="D124" s="7">
        <f>IFERROR(__xludf.DUMMYFUNCTION("""COMPUTED_VALUE"""),76.58)</f>
        <v>76.58</v>
      </c>
      <c r="E124" s="6" t="str">
        <f>IFERROR(__xludf.DUMMYFUNCTION("""COMPUTED_VALUE"""),"No")</f>
        <v>No</v>
      </c>
      <c r="F124" s="8" t="str">
        <f>IFERROR(__xludf.DUMMYFUNCTION("""COMPUTED_VALUE"""),"No")</f>
        <v>No</v>
      </c>
    </row>
    <row r="125">
      <c r="A125" s="5">
        <f>IFERROR(__xludf.DUMMYFUNCTION("""COMPUTED_VALUE"""),44592.0)</f>
        <v>44592</v>
      </c>
      <c r="B125" s="6" t="str">
        <f>IFERROR(__xludf.DUMMYFUNCTION("""COMPUTED_VALUE"""),"dinner")</f>
        <v>dinner</v>
      </c>
      <c r="C125" s="6" t="str">
        <f>IFERROR(__xludf.DUMMYFUNCTION("""COMPUTED_VALUE"""),"employee J")</f>
        <v>employee J</v>
      </c>
      <c r="D125" s="7">
        <f>IFERROR(__xludf.DUMMYFUNCTION("""COMPUTED_VALUE"""),24.52)</f>
        <v>24.52</v>
      </c>
      <c r="E125" s="6" t="str">
        <f>IFERROR(__xludf.DUMMYFUNCTION("""COMPUTED_VALUE"""),"No")</f>
        <v>No</v>
      </c>
      <c r="F125" s="8" t="str">
        <f>IFERROR(__xludf.DUMMYFUNCTION("""COMPUTED_VALUE"""),"No")</f>
        <v>No</v>
      </c>
    </row>
    <row r="126">
      <c r="A126" s="5">
        <f>IFERROR(__xludf.DUMMYFUNCTION("""COMPUTED_VALUE"""),44592.0)</f>
        <v>44592</v>
      </c>
      <c r="B126" s="6" t="str">
        <f>IFERROR(__xludf.DUMMYFUNCTION("""COMPUTED_VALUE"""),"dinner")</f>
        <v>dinner</v>
      </c>
      <c r="C126" s="6" t="str">
        <f>IFERROR(__xludf.DUMMYFUNCTION("""COMPUTED_VALUE"""),"employee K")</f>
        <v>employee K</v>
      </c>
      <c r="D126" s="7">
        <f>IFERROR(__xludf.DUMMYFUNCTION("""COMPUTED_VALUE"""),19.07)</f>
        <v>19.07</v>
      </c>
      <c r="E126" s="6" t="str">
        <f>IFERROR(__xludf.DUMMYFUNCTION("""COMPUTED_VALUE"""),"No")</f>
        <v>No</v>
      </c>
      <c r="F126" s="8" t="str">
        <f>IFERROR(__xludf.DUMMYFUNCTION("""COMPUTED_VALUE"""),"No")</f>
        <v>No</v>
      </c>
    </row>
    <row r="127">
      <c r="A127" s="5">
        <f>IFERROR(__xludf.DUMMYFUNCTION("""COMPUTED_VALUE"""),44592.0)</f>
        <v>44592</v>
      </c>
      <c r="B127" s="6" t="str">
        <f>IFERROR(__xludf.DUMMYFUNCTION("""COMPUTED_VALUE"""),"dinner")</f>
        <v>dinner</v>
      </c>
      <c r="C127" s="6" t="str">
        <f>IFERROR(__xludf.DUMMYFUNCTION("""COMPUTED_VALUE"""),"employee I")</f>
        <v>employee I</v>
      </c>
      <c r="D127" s="7">
        <f>IFERROR(__xludf.DUMMYFUNCTION("""COMPUTED_VALUE"""),19.07)</f>
        <v>19.07</v>
      </c>
      <c r="E127" s="6" t="str">
        <f>IFERROR(__xludf.DUMMYFUNCTION("""COMPUTED_VALUE"""),"No")</f>
        <v>No</v>
      </c>
      <c r="F127" s="8" t="str">
        <f>IFERROR(__xludf.DUMMYFUNCTION("""COMPUTED_VALUE"""),"No")</f>
        <v>No</v>
      </c>
    </row>
    <row r="128">
      <c r="A128" s="5">
        <f>IFERROR(__xludf.DUMMYFUNCTION("""COMPUTED_VALUE"""),44593.0)</f>
        <v>44593</v>
      </c>
      <c r="B128" s="6" t="str">
        <f>IFERROR(__xludf.DUMMYFUNCTION("""COMPUTED_VALUE"""),"lunch")</f>
        <v>lunch</v>
      </c>
      <c r="C128" s="6" t="str">
        <f>IFERROR(__xludf.DUMMYFUNCTION("""COMPUTED_VALUE"""),"employee J")</f>
        <v>employee J</v>
      </c>
      <c r="D128" s="7">
        <f>IFERROR(__xludf.DUMMYFUNCTION("""COMPUTED_VALUE"""),110.14)</f>
        <v>110.14</v>
      </c>
      <c r="E128" s="6" t="str">
        <f>IFERROR(__xludf.DUMMYFUNCTION("""COMPUTED_VALUE"""),"No")</f>
        <v>No</v>
      </c>
      <c r="F128" s="8" t="str">
        <f>IFERROR(__xludf.DUMMYFUNCTION("""COMPUTED_VALUE"""),"No")</f>
        <v>No</v>
      </c>
    </row>
    <row r="129">
      <c r="A129" s="5">
        <f>IFERROR(__xludf.DUMMYFUNCTION("""COMPUTED_VALUE"""),44593.0)</f>
        <v>44593</v>
      </c>
      <c r="B129" s="6" t="str">
        <f>IFERROR(__xludf.DUMMYFUNCTION("""COMPUTED_VALUE"""),"dinner")</f>
        <v>dinner</v>
      </c>
      <c r="C129" s="6" t="str">
        <f>IFERROR(__xludf.DUMMYFUNCTION("""COMPUTED_VALUE"""),"employee Q")</f>
        <v>employee Q</v>
      </c>
      <c r="D129" s="7">
        <f>IFERROR(__xludf.DUMMYFUNCTION("""COMPUTED_VALUE"""),31.44)</f>
        <v>31.44</v>
      </c>
      <c r="E129" s="6" t="str">
        <f>IFERROR(__xludf.DUMMYFUNCTION("""COMPUTED_VALUE"""),"No")</f>
        <v>No</v>
      </c>
      <c r="F129" s="8" t="str">
        <f>IFERROR(__xludf.DUMMYFUNCTION("""COMPUTED_VALUE"""),"No")</f>
        <v>No</v>
      </c>
    </row>
    <row r="130">
      <c r="A130" s="5">
        <f>IFERROR(__xludf.DUMMYFUNCTION("""COMPUTED_VALUE"""),44593.0)</f>
        <v>44593</v>
      </c>
      <c r="B130" s="6" t="str">
        <f>IFERROR(__xludf.DUMMYFUNCTION("""COMPUTED_VALUE"""),"dinner")</f>
        <v>dinner</v>
      </c>
      <c r="C130" s="6" t="str">
        <f>IFERROR(__xludf.DUMMYFUNCTION("""COMPUTED_VALUE"""),"employee C")</f>
        <v>employee C</v>
      </c>
      <c r="D130" s="7">
        <f>IFERROR(__xludf.DUMMYFUNCTION("""COMPUTED_VALUE"""),26.2)</f>
        <v>26.2</v>
      </c>
      <c r="E130" s="6" t="str">
        <f>IFERROR(__xludf.DUMMYFUNCTION("""COMPUTED_VALUE"""),"No")</f>
        <v>No</v>
      </c>
      <c r="F130" s="8" t="str">
        <f>IFERROR(__xludf.DUMMYFUNCTION("""COMPUTED_VALUE"""),"No")</f>
        <v>No</v>
      </c>
    </row>
    <row r="131">
      <c r="A131" s="5">
        <f>IFERROR(__xludf.DUMMYFUNCTION("""COMPUTED_VALUE"""),44593.0)</f>
        <v>44593</v>
      </c>
      <c r="B131" s="6" t="str">
        <f>IFERROR(__xludf.DUMMYFUNCTION("""COMPUTED_VALUE"""),"dinner")</f>
        <v>dinner</v>
      </c>
      <c r="C131" s="6" t="str">
        <f>IFERROR(__xludf.DUMMYFUNCTION("""COMPUTED_VALUE"""),"employee I")</f>
        <v>employee I</v>
      </c>
      <c r="D131" s="7">
        <f>IFERROR(__xludf.DUMMYFUNCTION("""COMPUTED_VALUE"""),17.46)</f>
        <v>17.46</v>
      </c>
      <c r="E131" s="6" t="str">
        <f>IFERROR(__xludf.DUMMYFUNCTION("""COMPUTED_VALUE"""),"No")</f>
        <v>No</v>
      </c>
      <c r="F131" s="8" t="str">
        <f>IFERROR(__xludf.DUMMYFUNCTION("""COMPUTED_VALUE"""),"No")</f>
        <v>No</v>
      </c>
    </row>
    <row r="132">
      <c r="A132" s="5">
        <f>IFERROR(__xludf.DUMMYFUNCTION("""COMPUTED_VALUE"""),44594.0)</f>
        <v>44594</v>
      </c>
      <c r="B132" s="6" t="str">
        <f>IFERROR(__xludf.DUMMYFUNCTION("""COMPUTED_VALUE"""),"lunch")</f>
        <v>lunch</v>
      </c>
      <c r="C132" s="6" t="str">
        <f>IFERROR(__xludf.DUMMYFUNCTION("""COMPUTED_VALUE"""),"employee Q")</f>
        <v>employee Q</v>
      </c>
      <c r="D132" s="7">
        <f>IFERROR(__xludf.DUMMYFUNCTION("""COMPUTED_VALUE"""),75.68)</f>
        <v>75.68</v>
      </c>
      <c r="E132" s="6" t="str">
        <f>IFERROR(__xludf.DUMMYFUNCTION("""COMPUTED_VALUE"""),"No")</f>
        <v>No</v>
      </c>
      <c r="F132" s="8" t="str">
        <f>IFERROR(__xludf.DUMMYFUNCTION("""COMPUTED_VALUE"""),"No")</f>
        <v>No</v>
      </c>
    </row>
    <row r="133">
      <c r="A133" s="5">
        <f>IFERROR(__xludf.DUMMYFUNCTION("""COMPUTED_VALUE"""),44594.0)</f>
        <v>44594</v>
      </c>
      <c r="B133" s="6" t="str">
        <f>IFERROR(__xludf.DUMMYFUNCTION("""COMPUTED_VALUE"""),"dinner")</f>
        <v>dinner</v>
      </c>
      <c r="C133" s="6" t="str">
        <f>IFERROR(__xludf.DUMMYFUNCTION("""COMPUTED_VALUE"""),"employee Q")</f>
        <v>employee Q</v>
      </c>
      <c r="D133" s="7">
        <f>IFERROR(__xludf.DUMMYFUNCTION("""COMPUTED_VALUE"""),92.83)</f>
        <v>92.83</v>
      </c>
      <c r="E133" s="6" t="str">
        <f>IFERROR(__xludf.DUMMYFUNCTION("""COMPUTED_VALUE"""),"No")</f>
        <v>No</v>
      </c>
      <c r="F133" s="8" t="str">
        <f>IFERROR(__xludf.DUMMYFUNCTION("""COMPUTED_VALUE"""),"No")</f>
        <v>No</v>
      </c>
    </row>
    <row r="134">
      <c r="A134" s="5">
        <f>IFERROR(__xludf.DUMMYFUNCTION("""COMPUTED_VALUE"""),44594.0)</f>
        <v>44594</v>
      </c>
      <c r="B134" s="6" t="str">
        <f>IFERROR(__xludf.DUMMYFUNCTION("""COMPUTED_VALUE"""),"dinner")</f>
        <v>dinner</v>
      </c>
      <c r="C134" s="6" t="str">
        <f>IFERROR(__xludf.DUMMYFUNCTION("""COMPUTED_VALUE"""),"employee C")</f>
        <v>employee C</v>
      </c>
      <c r="D134" s="7">
        <f>IFERROR(__xludf.DUMMYFUNCTION("""COMPUTED_VALUE"""),67.05)</f>
        <v>67.05</v>
      </c>
      <c r="E134" s="6" t="str">
        <f>IFERROR(__xludf.DUMMYFUNCTION("""COMPUTED_VALUE"""),"No")</f>
        <v>No</v>
      </c>
      <c r="F134" s="8" t="str">
        <f>IFERROR(__xludf.DUMMYFUNCTION("""COMPUTED_VALUE"""),"No")</f>
        <v>No</v>
      </c>
    </row>
    <row r="135">
      <c r="A135" s="5">
        <f>IFERROR(__xludf.DUMMYFUNCTION("""COMPUTED_VALUE"""),44594.0)</f>
        <v>44594</v>
      </c>
      <c r="B135" s="6" t="str">
        <f>IFERROR(__xludf.DUMMYFUNCTION("""COMPUTED_VALUE"""),"dinner")</f>
        <v>dinner</v>
      </c>
      <c r="C135" s="6" t="str">
        <f>IFERROR(__xludf.DUMMYFUNCTION("""COMPUTED_VALUE"""),"employee I")</f>
        <v>employee I</v>
      </c>
      <c r="D135" s="7">
        <f>IFERROR(__xludf.DUMMYFUNCTION("""COMPUTED_VALUE"""),72.2)</f>
        <v>72.2</v>
      </c>
      <c r="E135" s="6" t="str">
        <f>IFERROR(__xludf.DUMMYFUNCTION("""COMPUTED_VALUE"""),"No")</f>
        <v>No</v>
      </c>
      <c r="F135" s="8" t="str">
        <f>IFERROR(__xludf.DUMMYFUNCTION("""COMPUTED_VALUE"""),"No")</f>
        <v>No</v>
      </c>
    </row>
    <row r="136">
      <c r="A136" s="5">
        <f>IFERROR(__xludf.DUMMYFUNCTION("""COMPUTED_VALUE"""),44595.0)</f>
        <v>44595</v>
      </c>
      <c r="B136" s="6" t="str">
        <f>IFERROR(__xludf.DUMMYFUNCTION("""COMPUTED_VALUE"""),"lunch")</f>
        <v>lunch</v>
      </c>
      <c r="C136" s="6" t="str">
        <f>IFERROR(__xludf.DUMMYFUNCTION("""COMPUTED_VALUE"""),"employee J")</f>
        <v>employee J</v>
      </c>
      <c r="D136" s="7">
        <f>IFERROR(__xludf.DUMMYFUNCTION("""COMPUTED_VALUE"""),87.0)</f>
        <v>87</v>
      </c>
      <c r="E136" s="6" t="str">
        <f>IFERROR(__xludf.DUMMYFUNCTION("""COMPUTED_VALUE"""),"No")</f>
        <v>No</v>
      </c>
      <c r="F136" s="8" t="str">
        <f>IFERROR(__xludf.DUMMYFUNCTION("""COMPUTED_VALUE"""),"No")</f>
        <v>No</v>
      </c>
    </row>
    <row r="137">
      <c r="A137" s="5">
        <f>IFERROR(__xludf.DUMMYFUNCTION("""COMPUTED_VALUE"""),44595.0)</f>
        <v>44595</v>
      </c>
      <c r="B137" s="6" t="str">
        <f>IFERROR(__xludf.DUMMYFUNCTION("""COMPUTED_VALUE"""),"dinner")</f>
        <v>dinner</v>
      </c>
      <c r="C137" s="6" t="str">
        <f>IFERROR(__xludf.DUMMYFUNCTION("""COMPUTED_VALUE"""),"employee J")</f>
        <v>employee J</v>
      </c>
      <c r="D137" s="7">
        <f>IFERROR(__xludf.DUMMYFUNCTION("""COMPUTED_VALUE"""),48.08)</f>
        <v>48.08</v>
      </c>
      <c r="E137" s="6" t="str">
        <f>IFERROR(__xludf.DUMMYFUNCTION("""COMPUTED_VALUE"""),"No")</f>
        <v>No</v>
      </c>
      <c r="F137" s="8" t="str">
        <f>IFERROR(__xludf.DUMMYFUNCTION("""COMPUTED_VALUE"""),"No")</f>
        <v>No</v>
      </c>
    </row>
    <row r="138">
      <c r="A138" s="5">
        <f>IFERROR(__xludf.DUMMYFUNCTION("""COMPUTED_VALUE"""),44595.0)</f>
        <v>44595</v>
      </c>
      <c r="B138" s="6" t="str">
        <f>IFERROR(__xludf.DUMMYFUNCTION("""COMPUTED_VALUE"""),"dinner")</f>
        <v>dinner</v>
      </c>
      <c r="C138" s="6" t="str">
        <f>IFERROR(__xludf.DUMMYFUNCTION("""COMPUTED_VALUE"""),"employee K")</f>
        <v>employee K</v>
      </c>
      <c r="D138" s="7">
        <f>IFERROR(__xludf.DUMMYFUNCTION("""COMPUTED_VALUE"""),42.74)</f>
        <v>42.74</v>
      </c>
      <c r="E138" s="6" t="str">
        <f>IFERROR(__xludf.DUMMYFUNCTION("""COMPUTED_VALUE"""),"No")</f>
        <v>No</v>
      </c>
      <c r="F138" s="8" t="str">
        <f>IFERROR(__xludf.DUMMYFUNCTION("""COMPUTED_VALUE"""),"No")</f>
        <v>No</v>
      </c>
    </row>
    <row r="139">
      <c r="A139" s="5">
        <f>IFERROR(__xludf.DUMMYFUNCTION("""COMPUTED_VALUE"""),44595.0)</f>
        <v>44595</v>
      </c>
      <c r="B139" s="6" t="str">
        <f>IFERROR(__xludf.DUMMYFUNCTION("""COMPUTED_VALUE"""),"dinner")</f>
        <v>dinner</v>
      </c>
      <c r="C139" s="6" t="str">
        <f>IFERROR(__xludf.DUMMYFUNCTION("""COMPUTED_VALUE"""),"employee E")</f>
        <v>employee E</v>
      </c>
      <c r="D139" s="7">
        <f>IFERROR(__xludf.DUMMYFUNCTION("""COMPUTED_VALUE"""),26.71)</f>
        <v>26.71</v>
      </c>
      <c r="E139" s="6" t="str">
        <f>IFERROR(__xludf.DUMMYFUNCTION("""COMPUTED_VALUE"""),"No")</f>
        <v>No</v>
      </c>
      <c r="F139" s="8" t="str">
        <f>IFERROR(__xludf.DUMMYFUNCTION("""COMPUTED_VALUE"""),"No")</f>
        <v>No</v>
      </c>
    </row>
    <row r="140">
      <c r="A140" s="5">
        <f>IFERROR(__xludf.DUMMYFUNCTION("""COMPUTED_VALUE"""),44596.0)</f>
        <v>44596</v>
      </c>
      <c r="B140" s="6" t="str">
        <f>IFERROR(__xludf.DUMMYFUNCTION("""COMPUTED_VALUE"""),"lunch")</f>
        <v>lunch</v>
      </c>
      <c r="C140" s="6" t="str">
        <f>IFERROR(__xludf.DUMMYFUNCTION("""COMPUTED_VALUE"""),"employee Q")</f>
        <v>employee Q</v>
      </c>
      <c r="D140" s="7">
        <f>IFERROR(__xludf.DUMMYFUNCTION("""COMPUTED_VALUE"""),69.51)</f>
        <v>69.51</v>
      </c>
      <c r="E140" s="6" t="str">
        <f>IFERROR(__xludf.DUMMYFUNCTION("""COMPUTED_VALUE"""),"No")</f>
        <v>No</v>
      </c>
      <c r="F140" s="8" t="str">
        <f>IFERROR(__xludf.DUMMYFUNCTION("""COMPUTED_VALUE"""),"No")</f>
        <v>No</v>
      </c>
    </row>
    <row r="141">
      <c r="A141" s="5">
        <f>IFERROR(__xludf.DUMMYFUNCTION("""COMPUTED_VALUE"""),44596.0)</f>
        <v>44596</v>
      </c>
      <c r="B141" s="6" t="str">
        <f>IFERROR(__xludf.DUMMYFUNCTION("""COMPUTED_VALUE"""),"lunch")</f>
        <v>lunch</v>
      </c>
      <c r="C141" s="6" t="str">
        <f>IFERROR(__xludf.DUMMYFUNCTION("""COMPUTED_VALUE"""),"employee K")</f>
        <v>employee K</v>
      </c>
      <c r="D141" s="7">
        <f>IFERROR(__xludf.DUMMYFUNCTION("""COMPUTED_VALUE"""),69.51)</f>
        <v>69.51</v>
      </c>
      <c r="E141" s="6" t="str">
        <f>IFERROR(__xludf.DUMMYFUNCTION("""COMPUTED_VALUE"""),"No")</f>
        <v>No</v>
      </c>
      <c r="F141" s="8" t="str">
        <f>IFERROR(__xludf.DUMMYFUNCTION("""COMPUTED_VALUE"""),"No")</f>
        <v>No</v>
      </c>
    </row>
    <row r="142">
      <c r="A142" s="5">
        <f>IFERROR(__xludf.DUMMYFUNCTION("""COMPUTED_VALUE"""),44596.0)</f>
        <v>44596</v>
      </c>
      <c r="B142" s="6" t="str">
        <f>IFERROR(__xludf.DUMMYFUNCTION("""COMPUTED_VALUE"""),"dinner")</f>
        <v>dinner</v>
      </c>
      <c r="C142" s="6" t="str">
        <f>IFERROR(__xludf.DUMMYFUNCTION("""COMPUTED_VALUE"""),"employee Q")</f>
        <v>employee Q</v>
      </c>
      <c r="D142" s="7">
        <f>IFERROR(__xludf.DUMMYFUNCTION("""COMPUTED_VALUE"""),75.49)</f>
        <v>75.49</v>
      </c>
      <c r="E142" s="6" t="str">
        <f>IFERROR(__xludf.DUMMYFUNCTION("""COMPUTED_VALUE"""),"No")</f>
        <v>No</v>
      </c>
      <c r="F142" s="8" t="str">
        <f>IFERROR(__xludf.DUMMYFUNCTION("""COMPUTED_VALUE"""),"No")</f>
        <v>No</v>
      </c>
    </row>
    <row r="143">
      <c r="A143" s="5">
        <f>IFERROR(__xludf.DUMMYFUNCTION("""COMPUTED_VALUE"""),44596.0)</f>
        <v>44596</v>
      </c>
      <c r="B143" s="6" t="str">
        <f>IFERROR(__xludf.DUMMYFUNCTION("""COMPUTED_VALUE"""),"dinner")</f>
        <v>dinner</v>
      </c>
      <c r="C143" s="6" t="str">
        <f>IFERROR(__xludf.DUMMYFUNCTION("""COMPUTED_VALUE"""),"employee K")</f>
        <v>employee K</v>
      </c>
      <c r="D143" s="7">
        <f>IFERROR(__xludf.DUMMYFUNCTION("""COMPUTED_VALUE"""),67.09)</f>
        <v>67.09</v>
      </c>
      <c r="E143" s="6" t="str">
        <f>IFERROR(__xludf.DUMMYFUNCTION("""COMPUTED_VALUE"""),"No")</f>
        <v>No</v>
      </c>
      <c r="F143" s="8" t="str">
        <f>IFERROR(__xludf.DUMMYFUNCTION("""COMPUTED_VALUE"""),"No")</f>
        <v>No</v>
      </c>
    </row>
    <row r="144">
      <c r="A144" s="5">
        <f>IFERROR(__xludf.DUMMYFUNCTION("""COMPUTED_VALUE"""),44596.0)</f>
        <v>44596</v>
      </c>
      <c r="B144" s="6" t="str">
        <f>IFERROR(__xludf.DUMMYFUNCTION("""COMPUTED_VALUE"""),"dinner")</f>
        <v>dinner</v>
      </c>
      <c r="C144" s="6" t="str">
        <f>IFERROR(__xludf.DUMMYFUNCTION("""COMPUTED_VALUE"""),"employee B")</f>
        <v>employee B</v>
      </c>
      <c r="D144" s="7">
        <f>IFERROR(__xludf.DUMMYFUNCTION("""COMPUTED_VALUE"""),67.09)</f>
        <v>67.09</v>
      </c>
      <c r="E144" s="6" t="str">
        <f>IFERROR(__xludf.DUMMYFUNCTION("""COMPUTED_VALUE"""),"No")</f>
        <v>No</v>
      </c>
      <c r="F144" s="8" t="str">
        <f>IFERROR(__xludf.DUMMYFUNCTION("""COMPUTED_VALUE"""),"No")</f>
        <v>No</v>
      </c>
    </row>
    <row r="145">
      <c r="A145" s="5">
        <f>IFERROR(__xludf.DUMMYFUNCTION("""COMPUTED_VALUE"""),44597.0)</f>
        <v>44597</v>
      </c>
      <c r="B145" s="6" t="str">
        <f>IFERROR(__xludf.DUMMYFUNCTION("""COMPUTED_VALUE"""),"lunch")</f>
        <v>lunch</v>
      </c>
      <c r="C145" s="6" t="str">
        <f>IFERROR(__xludf.DUMMYFUNCTION("""COMPUTED_VALUE"""),"employee B")</f>
        <v>employee B</v>
      </c>
      <c r="D145" s="7">
        <f>IFERROR(__xludf.DUMMYFUNCTION("""COMPUTED_VALUE"""),63.02)</f>
        <v>63.02</v>
      </c>
      <c r="E145" s="6" t="str">
        <f>IFERROR(__xludf.DUMMYFUNCTION("""COMPUTED_VALUE"""),"No")</f>
        <v>No</v>
      </c>
      <c r="F145" s="8" t="str">
        <f>IFERROR(__xludf.DUMMYFUNCTION("""COMPUTED_VALUE"""),"No")</f>
        <v>No</v>
      </c>
    </row>
    <row r="146">
      <c r="A146" s="5">
        <f>IFERROR(__xludf.DUMMYFUNCTION("""COMPUTED_VALUE"""),44597.0)</f>
        <v>44597</v>
      </c>
      <c r="B146" s="6" t="str">
        <f>IFERROR(__xludf.DUMMYFUNCTION("""COMPUTED_VALUE"""),"lunch")</f>
        <v>lunch</v>
      </c>
      <c r="C146" s="6" t="str">
        <f>IFERROR(__xludf.DUMMYFUNCTION("""COMPUTED_VALUE"""),"employee Q")</f>
        <v>employee Q</v>
      </c>
      <c r="D146" s="7">
        <f>IFERROR(__xludf.DUMMYFUNCTION("""COMPUTED_VALUE"""),48.48)</f>
        <v>48.48</v>
      </c>
      <c r="E146" s="6" t="str">
        <f>IFERROR(__xludf.DUMMYFUNCTION("""COMPUTED_VALUE"""),"No")</f>
        <v>No</v>
      </c>
      <c r="F146" s="8" t="str">
        <f>IFERROR(__xludf.DUMMYFUNCTION("""COMPUTED_VALUE"""),"No")</f>
        <v>No</v>
      </c>
    </row>
    <row r="147">
      <c r="A147" s="5">
        <f>IFERROR(__xludf.DUMMYFUNCTION("""COMPUTED_VALUE"""),44597.0)</f>
        <v>44597</v>
      </c>
      <c r="B147" s="6" t="str">
        <f>IFERROR(__xludf.DUMMYFUNCTION("""COMPUTED_VALUE"""),"lunch")</f>
        <v>lunch</v>
      </c>
      <c r="C147" s="6" t="str">
        <f>IFERROR(__xludf.DUMMYFUNCTION("""COMPUTED_VALUE"""),"employee E")</f>
        <v>employee E</v>
      </c>
      <c r="D147" s="7">
        <f>IFERROR(__xludf.DUMMYFUNCTION("""COMPUTED_VALUE"""),48.48)</f>
        <v>48.48</v>
      </c>
      <c r="E147" s="6" t="str">
        <f>IFERROR(__xludf.DUMMYFUNCTION("""COMPUTED_VALUE"""),"No")</f>
        <v>No</v>
      </c>
      <c r="F147" s="8" t="str">
        <f>IFERROR(__xludf.DUMMYFUNCTION("""COMPUTED_VALUE"""),"No")</f>
        <v>No</v>
      </c>
    </row>
    <row r="148">
      <c r="A148" s="5">
        <f>IFERROR(__xludf.DUMMYFUNCTION("""COMPUTED_VALUE"""),44597.0)</f>
        <v>44597</v>
      </c>
      <c r="B148" s="6" t="str">
        <f>IFERROR(__xludf.DUMMYFUNCTION("""COMPUTED_VALUE"""),"dinner")</f>
        <v>dinner</v>
      </c>
      <c r="C148" s="6" t="str">
        <f>IFERROR(__xludf.DUMMYFUNCTION("""COMPUTED_VALUE"""),"employee Q")</f>
        <v>employee Q</v>
      </c>
      <c r="D148" s="7">
        <f>IFERROR(__xludf.DUMMYFUNCTION("""COMPUTED_VALUE"""),61.91)</f>
        <v>61.91</v>
      </c>
      <c r="E148" s="6" t="str">
        <f>IFERROR(__xludf.DUMMYFUNCTION("""COMPUTED_VALUE"""),"No")</f>
        <v>No</v>
      </c>
      <c r="F148" s="8" t="str">
        <f>IFERROR(__xludf.DUMMYFUNCTION("""COMPUTED_VALUE"""),"No")</f>
        <v>No</v>
      </c>
    </row>
    <row r="149">
      <c r="A149" s="5">
        <f>IFERROR(__xludf.DUMMYFUNCTION("""COMPUTED_VALUE"""),44597.0)</f>
        <v>44597</v>
      </c>
      <c r="B149" s="6" t="str">
        <f>IFERROR(__xludf.DUMMYFUNCTION("""COMPUTED_VALUE"""),"dinner")</f>
        <v>dinner</v>
      </c>
      <c r="C149" s="6" t="str">
        <f>IFERROR(__xludf.DUMMYFUNCTION("""COMPUTED_VALUE"""),"employee E")</f>
        <v>employee E</v>
      </c>
      <c r="D149" s="7">
        <f>IFERROR(__xludf.DUMMYFUNCTION("""COMPUTED_VALUE"""),34.39)</f>
        <v>34.39</v>
      </c>
      <c r="E149" s="6" t="str">
        <f>IFERROR(__xludf.DUMMYFUNCTION("""COMPUTED_VALUE"""),"No")</f>
        <v>No</v>
      </c>
      <c r="F149" s="8" t="str">
        <f>IFERROR(__xludf.DUMMYFUNCTION("""COMPUTED_VALUE"""),"No")</f>
        <v>No</v>
      </c>
    </row>
    <row r="150">
      <c r="A150" s="5">
        <f>IFERROR(__xludf.DUMMYFUNCTION("""COMPUTED_VALUE"""),44597.0)</f>
        <v>44597</v>
      </c>
      <c r="B150" s="6" t="str">
        <f>IFERROR(__xludf.DUMMYFUNCTION("""COMPUTED_VALUE"""),"dinner")</f>
        <v>dinner</v>
      </c>
      <c r="C150" s="6" t="str">
        <f>IFERROR(__xludf.DUMMYFUNCTION("""COMPUTED_VALUE"""),"employee K")</f>
        <v>employee K</v>
      </c>
      <c r="D150" s="7">
        <f>IFERROR(__xludf.DUMMYFUNCTION("""COMPUTED_VALUE"""),55.03)</f>
        <v>55.03</v>
      </c>
      <c r="E150" s="6" t="str">
        <f>IFERROR(__xludf.DUMMYFUNCTION("""COMPUTED_VALUE"""),"No")</f>
        <v>No</v>
      </c>
      <c r="F150" s="8" t="str">
        <f>IFERROR(__xludf.DUMMYFUNCTION("""COMPUTED_VALUE"""),"No")</f>
        <v>No</v>
      </c>
    </row>
    <row r="151">
      <c r="A151" s="5">
        <f>IFERROR(__xludf.DUMMYFUNCTION("""COMPUTED_VALUE"""),44598.0)</f>
        <v>44598</v>
      </c>
      <c r="B151" s="6" t="str">
        <f>IFERROR(__xludf.DUMMYFUNCTION("""COMPUTED_VALUE"""),"lunch")</f>
        <v>lunch</v>
      </c>
      <c r="C151" s="6" t="str">
        <f>IFERROR(__xludf.DUMMYFUNCTION("""COMPUTED_VALUE"""),"employee Q")</f>
        <v>employee Q</v>
      </c>
      <c r="D151" s="7">
        <f>IFERROR(__xludf.DUMMYFUNCTION("""COMPUTED_VALUE"""),26.24)</f>
        <v>26.24</v>
      </c>
      <c r="E151" s="6" t="str">
        <f>IFERROR(__xludf.DUMMYFUNCTION("""COMPUTED_VALUE"""),"No")</f>
        <v>No</v>
      </c>
      <c r="F151" s="8" t="str">
        <f>IFERROR(__xludf.DUMMYFUNCTION("""COMPUTED_VALUE"""),"No")</f>
        <v>No</v>
      </c>
    </row>
    <row r="152">
      <c r="A152" s="5">
        <f>IFERROR(__xludf.DUMMYFUNCTION("""COMPUTED_VALUE"""),44598.0)</f>
        <v>44598</v>
      </c>
      <c r="B152" s="6" t="str">
        <f>IFERROR(__xludf.DUMMYFUNCTION("""COMPUTED_VALUE"""),"lunch")</f>
        <v>lunch</v>
      </c>
      <c r="C152" s="6" t="str">
        <f>IFERROR(__xludf.DUMMYFUNCTION("""COMPUTED_VALUE"""),"employee B")</f>
        <v>employee B</v>
      </c>
      <c r="D152" s="7">
        <f>IFERROR(__xludf.DUMMYFUNCTION("""COMPUTED_VALUE"""),75.1)</f>
        <v>75.1</v>
      </c>
      <c r="E152" s="6" t="str">
        <f>IFERROR(__xludf.DUMMYFUNCTION("""COMPUTED_VALUE"""),"No")</f>
        <v>No</v>
      </c>
      <c r="F152" s="8" t="str">
        <f>IFERROR(__xludf.DUMMYFUNCTION("""COMPUTED_VALUE"""),"No")</f>
        <v>No</v>
      </c>
    </row>
    <row r="153">
      <c r="A153" s="5">
        <f>IFERROR(__xludf.DUMMYFUNCTION("""COMPUTED_VALUE"""),44598.0)</f>
        <v>44598</v>
      </c>
      <c r="B153" s="6" t="str">
        <f>IFERROR(__xludf.DUMMYFUNCTION("""COMPUTED_VALUE"""),"lunch")</f>
        <v>lunch</v>
      </c>
      <c r="C153" s="6" t="str">
        <f>IFERROR(__xludf.DUMMYFUNCTION("""COMPUTED_VALUE"""),"employee E")</f>
        <v>employee E</v>
      </c>
      <c r="D153" s="7">
        <f>IFERROR(__xludf.DUMMYFUNCTION("""COMPUTED_VALUE"""),75.1)</f>
        <v>75.1</v>
      </c>
      <c r="E153" s="6" t="str">
        <f>IFERROR(__xludf.DUMMYFUNCTION("""COMPUTED_VALUE"""),"No")</f>
        <v>No</v>
      </c>
      <c r="F153" s="8" t="str">
        <f>IFERROR(__xludf.DUMMYFUNCTION("""COMPUTED_VALUE"""),"No")</f>
        <v>No</v>
      </c>
    </row>
    <row r="154">
      <c r="A154" s="5">
        <f>IFERROR(__xludf.DUMMYFUNCTION("""COMPUTED_VALUE"""),44598.0)</f>
        <v>44598</v>
      </c>
      <c r="B154" s="6" t="str">
        <f>IFERROR(__xludf.DUMMYFUNCTION("""COMPUTED_VALUE"""),"lunch")</f>
        <v>lunch</v>
      </c>
      <c r="C154" s="6" t="str">
        <f>IFERROR(__xludf.DUMMYFUNCTION("""COMPUTED_VALUE"""),"employee K")</f>
        <v>employee K</v>
      </c>
      <c r="D154" s="7">
        <f>IFERROR(__xludf.DUMMYFUNCTION("""COMPUTED_VALUE"""),60.08)</f>
        <v>60.08</v>
      </c>
      <c r="E154" s="6" t="str">
        <f>IFERROR(__xludf.DUMMYFUNCTION("""COMPUTED_VALUE"""),"No")</f>
        <v>No</v>
      </c>
      <c r="F154" s="8" t="str">
        <f>IFERROR(__xludf.DUMMYFUNCTION("""COMPUTED_VALUE"""),"No")</f>
        <v>No</v>
      </c>
    </row>
    <row r="155">
      <c r="A155" s="5">
        <f>IFERROR(__xludf.DUMMYFUNCTION("""COMPUTED_VALUE"""),44598.0)</f>
        <v>44598</v>
      </c>
      <c r="B155" s="6" t="str">
        <f>IFERROR(__xludf.DUMMYFUNCTION("""COMPUTED_VALUE"""),"dinner")</f>
        <v>dinner</v>
      </c>
      <c r="C155" s="6" t="str">
        <f>IFERROR(__xludf.DUMMYFUNCTION("""COMPUTED_VALUE"""),"employee B")</f>
        <v>employee B</v>
      </c>
      <c r="D155" s="7">
        <f>IFERROR(__xludf.DUMMYFUNCTION("""COMPUTED_VALUE"""),53.24)</f>
        <v>53.24</v>
      </c>
      <c r="E155" s="6" t="str">
        <f>IFERROR(__xludf.DUMMYFUNCTION("""COMPUTED_VALUE"""),"No")</f>
        <v>No</v>
      </c>
      <c r="F155" s="8" t="str">
        <f>IFERROR(__xludf.DUMMYFUNCTION("""COMPUTED_VALUE"""),"No")</f>
        <v>No</v>
      </c>
    </row>
    <row r="156">
      <c r="A156" s="5">
        <f>IFERROR(__xludf.DUMMYFUNCTION("""COMPUTED_VALUE"""),44598.0)</f>
        <v>44598</v>
      </c>
      <c r="B156" s="6" t="str">
        <f>IFERROR(__xludf.DUMMYFUNCTION("""COMPUTED_VALUE"""),"dinner")</f>
        <v>dinner</v>
      </c>
      <c r="C156" s="6" t="str">
        <f>IFERROR(__xludf.DUMMYFUNCTION("""COMPUTED_VALUE"""),"employee E")</f>
        <v>employee E</v>
      </c>
      <c r="D156" s="7">
        <f>IFERROR(__xludf.DUMMYFUNCTION("""COMPUTED_VALUE"""),53.24)</f>
        <v>53.24</v>
      </c>
      <c r="E156" s="6" t="str">
        <f>IFERROR(__xludf.DUMMYFUNCTION("""COMPUTED_VALUE"""),"No")</f>
        <v>No</v>
      </c>
      <c r="F156" s="8" t="str">
        <f>IFERROR(__xludf.DUMMYFUNCTION("""COMPUTED_VALUE"""),"No")</f>
        <v>No</v>
      </c>
    </row>
    <row r="157">
      <c r="A157" s="5">
        <f>IFERROR(__xludf.DUMMYFUNCTION("""COMPUTED_VALUE"""),44598.0)</f>
        <v>44598</v>
      </c>
      <c r="B157" s="6" t="str">
        <f>IFERROR(__xludf.DUMMYFUNCTION("""COMPUTED_VALUE"""),"dinner")</f>
        <v>dinner</v>
      </c>
      <c r="C157" s="6" t="str">
        <f>IFERROR(__xludf.DUMMYFUNCTION("""COMPUTED_VALUE"""),"employee I")</f>
        <v>employee I</v>
      </c>
      <c r="D157" s="7">
        <f>IFERROR(__xludf.DUMMYFUNCTION("""COMPUTED_VALUE"""),41.43)</f>
        <v>41.43</v>
      </c>
      <c r="E157" s="6" t="str">
        <f>IFERROR(__xludf.DUMMYFUNCTION("""COMPUTED_VALUE"""),"No")</f>
        <v>No</v>
      </c>
      <c r="F157" s="8" t="str">
        <f>IFERROR(__xludf.DUMMYFUNCTION("""COMPUTED_VALUE"""),"No")</f>
        <v>No</v>
      </c>
    </row>
    <row r="158">
      <c r="A158" s="5">
        <f>IFERROR(__xludf.DUMMYFUNCTION("""COMPUTED_VALUE"""),44599.0)</f>
        <v>44599</v>
      </c>
      <c r="B158" s="6" t="str">
        <f>IFERROR(__xludf.DUMMYFUNCTION("""COMPUTED_VALUE"""),"lunch")</f>
        <v>lunch</v>
      </c>
      <c r="C158" s="6" t="str">
        <f>IFERROR(__xludf.DUMMYFUNCTION("""COMPUTED_VALUE"""),"employee J")</f>
        <v>employee J</v>
      </c>
      <c r="D158" s="7">
        <f>IFERROR(__xludf.DUMMYFUNCTION("""COMPUTED_VALUE"""),116.36)</f>
        <v>116.36</v>
      </c>
      <c r="E158" s="6" t="str">
        <f>IFERROR(__xludf.DUMMYFUNCTION("""COMPUTED_VALUE"""),"No")</f>
        <v>No</v>
      </c>
      <c r="F158" s="8" t="str">
        <f>IFERROR(__xludf.DUMMYFUNCTION("""COMPUTED_VALUE"""),"No")</f>
        <v>No</v>
      </c>
    </row>
    <row r="159">
      <c r="A159" s="5">
        <f>IFERROR(__xludf.DUMMYFUNCTION("""COMPUTED_VALUE"""),44599.0)</f>
        <v>44599</v>
      </c>
      <c r="B159" s="6" t="str">
        <f>IFERROR(__xludf.DUMMYFUNCTION("""COMPUTED_VALUE"""),"dinner")</f>
        <v>dinner</v>
      </c>
      <c r="C159" s="6" t="str">
        <f>IFERROR(__xludf.DUMMYFUNCTION("""COMPUTED_VALUE"""),"employee J")</f>
        <v>employee J</v>
      </c>
      <c r="D159" s="7">
        <f>IFERROR(__xludf.DUMMYFUNCTION("""COMPUTED_VALUE"""),45.02)</f>
        <v>45.02</v>
      </c>
      <c r="E159" s="6" t="str">
        <f>IFERROR(__xludf.DUMMYFUNCTION("""COMPUTED_VALUE"""),"No")</f>
        <v>No</v>
      </c>
      <c r="F159" s="8" t="str">
        <f>IFERROR(__xludf.DUMMYFUNCTION("""COMPUTED_VALUE"""),"No")</f>
        <v>No</v>
      </c>
    </row>
    <row r="160">
      <c r="A160" s="5">
        <f>IFERROR(__xludf.DUMMYFUNCTION("""COMPUTED_VALUE"""),44599.0)</f>
        <v>44599</v>
      </c>
      <c r="B160" s="6" t="str">
        <f>IFERROR(__xludf.DUMMYFUNCTION("""COMPUTED_VALUE"""),"dinner")</f>
        <v>dinner</v>
      </c>
      <c r="C160" s="6" t="str">
        <f>IFERROR(__xludf.DUMMYFUNCTION("""COMPUTED_VALUE"""),"employee K")</f>
        <v>employee K</v>
      </c>
      <c r="D160" s="7">
        <f>IFERROR(__xludf.DUMMYFUNCTION("""COMPUTED_VALUE"""),35.01)</f>
        <v>35.01</v>
      </c>
      <c r="E160" s="6" t="str">
        <f>IFERROR(__xludf.DUMMYFUNCTION("""COMPUTED_VALUE"""),"No")</f>
        <v>No</v>
      </c>
      <c r="F160" s="8" t="str">
        <f>IFERROR(__xludf.DUMMYFUNCTION("""COMPUTED_VALUE"""),"No")</f>
        <v>No</v>
      </c>
    </row>
    <row r="161">
      <c r="A161" s="5">
        <f>IFERROR(__xludf.DUMMYFUNCTION("""COMPUTED_VALUE"""),44599.0)</f>
        <v>44599</v>
      </c>
      <c r="B161" s="6" t="str">
        <f>IFERROR(__xludf.DUMMYFUNCTION("""COMPUTED_VALUE"""),"dinner")</f>
        <v>dinner</v>
      </c>
      <c r="C161" s="6" t="str">
        <f>IFERROR(__xludf.DUMMYFUNCTION("""COMPUTED_VALUE"""),"employee I")</f>
        <v>employee I</v>
      </c>
      <c r="D161" s="7">
        <f>IFERROR(__xludf.DUMMYFUNCTION("""COMPUTED_VALUE"""),20.01)</f>
        <v>20.01</v>
      </c>
      <c r="E161" s="6" t="str">
        <f>IFERROR(__xludf.DUMMYFUNCTION("""COMPUTED_VALUE"""),"No")</f>
        <v>No</v>
      </c>
      <c r="F161" s="8" t="str">
        <f>IFERROR(__xludf.DUMMYFUNCTION("""COMPUTED_VALUE"""),"No")</f>
        <v>No</v>
      </c>
    </row>
    <row r="162">
      <c r="A162" s="5">
        <f>IFERROR(__xludf.DUMMYFUNCTION("""COMPUTED_VALUE"""),44600.0)</f>
        <v>44600</v>
      </c>
      <c r="B162" s="6" t="str">
        <f>IFERROR(__xludf.DUMMYFUNCTION("""COMPUTED_VALUE"""),"lunch")</f>
        <v>lunch</v>
      </c>
      <c r="C162" s="6" t="str">
        <f>IFERROR(__xludf.DUMMYFUNCTION("""COMPUTED_VALUE"""),"employee J")</f>
        <v>employee J</v>
      </c>
      <c r="D162" s="7">
        <f>IFERROR(__xludf.DUMMYFUNCTION("""COMPUTED_VALUE"""),69.26)</f>
        <v>69.26</v>
      </c>
      <c r="E162" s="6" t="str">
        <f>IFERROR(__xludf.DUMMYFUNCTION("""COMPUTED_VALUE"""),"No")</f>
        <v>No</v>
      </c>
      <c r="F162" s="8" t="str">
        <f>IFERROR(__xludf.DUMMYFUNCTION("""COMPUTED_VALUE"""),"No")</f>
        <v>No</v>
      </c>
    </row>
    <row r="163">
      <c r="A163" s="5">
        <f>IFERROR(__xludf.DUMMYFUNCTION("""COMPUTED_VALUE"""),44600.0)</f>
        <v>44600</v>
      </c>
      <c r="B163" s="6" t="str">
        <f>IFERROR(__xludf.DUMMYFUNCTION("""COMPUTED_VALUE"""),"dinner")</f>
        <v>dinner</v>
      </c>
      <c r="C163" s="6" t="str">
        <f>IFERROR(__xludf.DUMMYFUNCTION("""COMPUTED_VALUE"""),"employee J")</f>
        <v>employee J</v>
      </c>
      <c r="D163" s="7">
        <f>IFERROR(__xludf.DUMMYFUNCTION("""COMPUTED_VALUE"""),62.22)</f>
        <v>62.22</v>
      </c>
      <c r="E163" s="6" t="str">
        <f>IFERROR(__xludf.DUMMYFUNCTION("""COMPUTED_VALUE"""),"No")</f>
        <v>No</v>
      </c>
      <c r="F163" s="8" t="str">
        <f>IFERROR(__xludf.DUMMYFUNCTION("""COMPUTED_VALUE"""),"No")</f>
        <v>No</v>
      </c>
    </row>
    <row r="164">
      <c r="A164" s="5">
        <f>IFERROR(__xludf.DUMMYFUNCTION("""COMPUTED_VALUE"""),44600.0)</f>
        <v>44600</v>
      </c>
      <c r="B164" s="6" t="str">
        <f>IFERROR(__xludf.DUMMYFUNCTION("""COMPUTED_VALUE"""),"dinner")</f>
        <v>dinner</v>
      </c>
      <c r="C164" s="6" t="str">
        <f>IFERROR(__xludf.DUMMYFUNCTION("""COMPUTED_VALUE"""),"employee C")</f>
        <v>employee C</v>
      </c>
      <c r="D164" s="7">
        <f>IFERROR(__xludf.DUMMYFUNCTION("""COMPUTED_VALUE"""),48.39)</f>
        <v>48.39</v>
      </c>
      <c r="E164" s="6" t="str">
        <f>IFERROR(__xludf.DUMMYFUNCTION("""COMPUTED_VALUE"""),"No")</f>
        <v>No</v>
      </c>
      <c r="F164" s="8" t="str">
        <f>IFERROR(__xludf.DUMMYFUNCTION("""COMPUTED_VALUE"""),"No")</f>
        <v>No</v>
      </c>
    </row>
    <row r="165">
      <c r="A165" s="5">
        <f>IFERROR(__xludf.DUMMYFUNCTION("""COMPUTED_VALUE"""),44600.0)</f>
        <v>44600</v>
      </c>
      <c r="B165" s="6" t="str">
        <f>IFERROR(__xludf.DUMMYFUNCTION("""COMPUTED_VALUE"""),"dinner")</f>
        <v>dinner</v>
      </c>
      <c r="C165" s="6" t="str">
        <f>IFERROR(__xludf.DUMMYFUNCTION("""COMPUTED_VALUE"""),"employee I")</f>
        <v>employee I</v>
      </c>
      <c r="D165" s="7">
        <f>IFERROR(__xludf.DUMMYFUNCTION("""COMPUTED_VALUE"""),41.48)</f>
        <v>41.48</v>
      </c>
      <c r="E165" s="6" t="str">
        <f>IFERROR(__xludf.DUMMYFUNCTION("""COMPUTED_VALUE"""),"No")</f>
        <v>No</v>
      </c>
      <c r="F165" s="8" t="str">
        <f>IFERROR(__xludf.DUMMYFUNCTION("""COMPUTED_VALUE"""),"No")</f>
        <v>No</v>
      </c>
    </row>
    <row r="166">
      <c r="A166" s="5">
        <f>IFERROR(__xludf.DUMMYFUNCTION("""COMPUTED_VALUE"""),44601.0)</f>
        <v>44601</v>
      </c>
      <c r="B166" s="6" t="str">
        <f>IFERROR(__xludf.DUMMYFUNCTION("""COMPUTED_VALUE"""),"lunch")</f>
        <v>lunch</v>
      </c>
      <c r="C166" s="6" t="str">
        <f>IFERROR(__xludf.DUMMYFUNCTION("""COMPUTED_VALUE"""),"employee Q")</f>
        <v>employee Q</v>
      </c>
      <c r="D166" s="7">
        <f>IFERROR(__xludf.DUMMYFUNCTION("""COMPUTED_VALUE"""),44.33)</f>
        <v>44.33</v>
      </c>
      <c r="E166" s="6" t="str">
        <f>IFERROR(__xludf.DUMMYFUNCTION("""COMPUTED_VALUE"""),"No")</f>
        <v>No</v>
      </c>
      <c r="F166" s="8" t="str">
        <f>IFERROR(__xludf.DUMMYFUNCTION("""COMPUTED_VALUE"""),"No")</f>
        <v>No</v>
      </c>
    </row>
    <row r="167">
      <c r="A167" s="5">
        <f>IFERROR(__xludf.DUMMYFUNCTION("""COMPUTED_VALUE"""),44601.0)</f>
        <v>44601</v>
      </c>
      <c r="B167" s="6" t="str">
        <f>IFERROR(__xludf.DUMMYFUNCTION("""COMPUTED_VALUE"""),"dinner")</f>
        <v>dinner</v>
      </c>
      <c r="C167" s="6" t="str">
        <f>IFERROR(__xludf.DUMMYFUNCTION("""COMPUTED_VALUE"""),"employee Q")</f>
        <v>employee Q</v>
      </c>
      <c r="D167" s="7">
        <f>IFERROR(__xludf.DUMMYFUNCTION("""COMPUTED_VALUE"""),62.1)</f>
        <v>62.1</v>
      </c>
      <c r="E167" s="6" t="str">
        <f>IFERROR(__xludf.DUMMYFUNCTION("""COMPUTED_VALUE"""),"No")</f>
        <v>No</v>
      </c>
      <c r="F167" s="8" t="str">
        <f>IFERROR(__xludf.DUMMYFUNCTION("""COMPUTED_VALUE"""),"No")</f>
        <v>No</v>
      </c>
    </row>
    <row r="168">
      <c r="A168" s="5">
        <f>IFERROR(__xludf.DUMMYFUNCTION("""COMPUTED_VALUE"""),44601.0)</f>
        <v>44601</v>
      </c>
      <c r="B168" s="6" t="str">
        <f>IFERROR(__xludf.DUMMYFUNCTION("""COMPUTED_VALUE"""),"dinner")</f>
        <v>dinner</v>
      </c>
      <c r="C168" s="6" t="str">
        <f>IFERROR(__xludf.DUMMYFUNCTION("""COMPUTED_VALUE"""),"employee C")</f>
        <v>employee C</v>
      </c>
      <c r="D168" s="7">
        <f>IFERROR(__xludf.DUMMYFUNCTION("""COMPUTED_VALUE"""),55.2)</f>
        <v>55.2</v>
      </c>
      <c r="E168" s="6" t="str">
        <f>IFERROR(__xludf.DUMMYFUNCTION("""COMPUTED_VALUE"""),"No")</f>
        <v>No</v>
      </c>
      <c r="F168" s="8" t="str">
        <f>IFERROR(__xludf.DUMMYFUNCTION("""COMPUTED_VALUE"""),"No")</f>
        <v>No</v>
      </c>
    </row>
    <row r="169">
      <c r="A169" s="5">
        <f>IFERROR(__xludf.DUMMYFUNCTION("""COMPUTED_VALUE"""),44601.0)</f>
        <v>44601</v>
      </c>
      <c r="B169" s="6" t="str">
        <f>IFERROR(__xludf.DUMMYFUNCTION("""COMPUTED_VALUE"""),"dinner")</f>
        <v>dinner</v>
      </c>
      <c r="C169" s="6" t="str">
        <f>IFERROR(__xludf.DUMMYFUNCTION("""COMPUTED_VALUE"""),"employee I")</f>
        <v>employee I</v>
      </c>
      <c r="D169" s="7">
        <f>IFERROR(__xludf.DUMMYFUNCTION("""COMPUTED_VALUE"""),41.41)</f>
        <v>41.41</v>
      </c>
      <c r="E169" s="6" t="str">
        <f>IFERROR(__xludf.DUMMYFUNCTION("""COMPUTED_VALUE"""),"No")</f>
        <v>No</v>
      </c>
      <c r="F169" s="8" t="str">
        <f>IFERROR(__xludf.DUMMYFUNCTION("""COMPUTED_VALUE"""),"No")</f>
        <v>No</v>
      </c>
    </row>
    <row r="170">
      <c r="A170" s="5">
        <f>IFERROR(__xludf.DUMMYFUNCTION("""COMPUTED_VALUE"""),44602.0)</f>
        <v>44602</v>
      </c>
      <c r="B170" s="6" t="str">
        <f>IFERROR(__xludf.DUMMYFUNCTION("""COMPUTED_VALUE"""),"lunch")</f>
        <v>lunch</v>
      </c>
      <c r="C170" s="6" t="str">
        <f>IFERROR(__xludf.DUMMYFUNCTION("""COMPUTED_VALUE"""),"employee J")</f>
        <v>employee J</v>
      </c>
      <c r="D170" s="7">
        <f>IFERROR(__xludf.DUMMYFUNCTION("""COMPUTED_VALUE"""),78.67)</f>
        <v>78.67</v>
      </c>
      <c r="E170" s="6" t="str">
        <f>IFERROR(__xludf.DUMMYFUNCTION("""COMPUTED_VALUE"""),"No")</f>
        <v>No</v>
      </c>
      <c r="F170" s="8" t="str">
        <f>IFERROR(__xludf.DUMMYFUNCTION("""COMPUTED_VALUE"""),"No")</f>
        <v>No</v>
      </c>
    </row>
    <row r="171">
      <c r="A171" s="5">
        <f>IFERROR(__xludf.DUMMYFUNCTION("""COMPUTED_VALUE"""),44602.0)</f>
        <v>44602</v>
      </c>
      <c r="B171" s="6" t="str">
        <f>IFERROR(__xludf.DUMMYFUNCTION("""COMPUTED_VALUE"""),"dinner")</f>
        <v>dinner</v>
      </c>
      <c r="C171" s="6" t="str">
        <f>IFERROR(__xludf.DUMMYFUNCTION("""COMPUTED_VALUE"""),"employee Q")</f>
        <v>employee Q</v>
      </c>
      <c r="D171" s="7">
        <f>IFERROR(__xludf.DUMMYFUNCTION("""COMPUTED_VALUE"""),72.0)</f>
        <v>72</v>
      </c>
      <c r="E171" s="6" t="str">
        <f>IFERROR(__xludf.DUMMYFUNCTION("""COMPUTED_VALUE"""),"No")</f>
        <v>No</v>
      </c>
      <c r="F171" s="8" t="str">
        <f>IFERROR(__xludf.DUMMYFUNCTION("""COMPUTED_VALUE"""),"No")</f>
        <v>No</v>
      </c>
    </row>
    <row r="172">
      <c r="A172" s="5">
        <f>IFERROR(__xludf.DUMMYFUNCTION("""COMPUTED_VALUE"""),44602.0)</f>
        <v>44602</v>
      </c>
      <c r="B172" s="6" t="str">
        <f>IFERROR(__xludf.DUMMYFUNCTION("""COMPUTED_VALUE"""),"dinner")</f>
        <v>dinner</v>
      </c>
      <c r="C172" s="6" t="str">
        <f>IFERROR(__xludf.DUMMYFUNCTION("""COMPUTED_VALUE"""),"employee K")</f>
        <v>employee K</v>
      </c>
      <c r="D172" s="7">
        <f>IFERROR(__xludf.DUMMYFUNCTION("""COMPUTED_VALUE"""),40.01)</f>
        <v>40.01</v>
      </c>
      <c r="E172" s="6" t="str">
        <f>IFERROR(__xludf.DUMMYFUNCTION("""COMPUTED_VALUE"""),"No")</f>
        <v>No</v>
      </c>
      <c r="F172" s="8" t="str">
        <f>IFERROR(__xludf.DUMMYFUNCTION("""COMPUTED_VALUE"""),"No")</f>
        <v>No</v>
      </c>
    </row>
    <row r="173">
      <c r="A173" s="5">
        <f>IFERROR(__xludf.DUMMYFUNCTION("""COMPUTED_VALUE"""),44602.0)</f>
        <v>44602</v>
      </c>
      <c r="B173" s="6" t="str">
        <f>IFERROR(__xludf.DUMMYFUNCTION("""COMPUTED_VALUE"""),"dinner")</f>
        <v>dinner</v>
      </c>
      <c r="C173" s="6" t="str">
        <f>IFERROR(__xludf.DUMMYFUNCTION("""COMPUTED_VALUE"""),"employee I")</f>
        <v>employee I</v>
      </c>
      <c r="D173" s="7">
        <f>IFERROR(__xludf.DUMMYFUNCTION("""COMPUTED_VALUE"""),48.0)</f>
        <v>48</v>
      </c>
      <c r="E173" s="6" t="str">
        <f>IFERROR(__xludf.DUMMYFUNCTION("""COMPUTED_VALUE"""),"No")</f>
        <v>No</v>
      </c>
      <c r="F173" s="8" t="str">
        <f>IFERROR(__xludf.DUMMYFUNCTION("""COMPUTED_VALUE"""),"No")</f>
        <v>No</v>
      </c>
    </row>
    <row r="174">
      <c r="A174" s="5">
        <f>IFERROR(__xludf.DUMMYFUNCTION("""COMPUTED_VALUE"""),44603.0)</f>
        <v>44603</v>
      </c>
      <c r="B174" s="6" t="str">
        <f>IFERROR(__xludf.DUMMYFUNCTION("""COMPUTED_VALUE"""),"lunch")</f>
        <v>lunch</v>
      </c>
      <c r="C174" s="6" t="str">
        <f>IFERROR(__xludf.DUMMYFUNCTION("""COMPUTED_VALUE"""),"employee Q")</f>
        <v>employee Q</v>
      </c>
      <c r="D174" s="7">
        <f>IFERROR(__xludf.DUMMYFUNCTION("""COMPUTED_VALUE"""),33.43)</f>
        <v>33.43</v>
      </c>
      <c r="E174" s="6" t="str">
        <f>IFERROR(__xludf.DUMMYFUNCTION("""COMPUTED_VALUE"""),"No")</f>
        <v>No</v>
      </c>
      <c r="F174" s="8" t="str">
        <f>IFERROR(__xludf.DUMMYFUNCTION("""COMPUTED_VALUE"""),"No")</f>
        <v>No</v>
      </c>
    </row>
    <row r="175">
      <c r="A175" s="5">
        <f>IFERROR(__xludf.DUMMYFUNCTION("""COMPUTED_VALUE"""),44603.0)</f>
        <v>44603</v>
      </c>
      <c r="B175" s="6" t="str">
        <f>IFERROR(__xludf.DUMMYFUNCTION("""COMPUTED_VALUE"""),"lunch")</f>
        <v>lunch</v>
      </c>
      <c r="C175" s="6" t="str">
        <f>IFERROR(__xludf.DUMMYFUNCTION("""COMPUTED_VALUE"""),"employee K")</f>
        <v>employee K</v>
      </c>
      <c r="D175" s="7">
        <f>IFERROR(__xludf.DUMMYFUNCTION("""COMPUTED_VALUE"""),30.08)</f>
        <v>30.08</v>
      </c>
      <c r="E175" s="6" t="str">
        <f>IFERROR(__xludf.DUMMYFUNCTION("""COMPUTED_VALUE"""),"No")</f>
        <v>No</v>
      </c>
      <c r="F175" s="8" t="str">
        <f>IFERROR(__xludf.DUMMYFUNCTION("""COMPUTED_VALUE"""),"No")</f>
        <v>No</v>
      </c>
    </row>
    <row r="176">
      <c r="A176" s="5">
        <f>IFERROR(__xludf.DUMMYFUNCTION("""COMPUTED_VALUE"""),44603.0)</f>
        <v>44603</v>
      </c>
      <c r="B176" s="6" t="str">
        <f>IFERROR(__xludf.DUMMYFUNCTION("""COMPUTED_VALUE"""),"dinner")</f>
        <v>dinner</v>
      </c>
      <c r="C176" s="6" t="str">
        <f>IFERROR(__xludf.DUMMYFUNCTION("""COMPUTED_VALUE"""),"employee J")</f>
        <v>employee J</v>
      </c>
      <c r="D176" s="7">
        <f>IFERROR(__xludf.DUMMYFUNCTION("""COMPUTED_VALUE"""),98.6)</f>
        <v>98.6</v>
      </c>
      <c r="E176" s="6" t="str">
        <f>IFERROR(__xludf.DUMMYFUNCTION("""COMPUTED_VALUE"""),"No")</f>
        <v>No</v>
      </c>
      <c r="F176" s="8" t="str">
        <f>IFERROR(__xludf.DUMMYFUNCTION("""COMPUTED_VALUE"""),"No")</f>
        <v>No</v>
      </c>
    </row>
    <row r="177">
      <c r="A177" s="5">
        <f>IFERROR(__xludf.DUMMYFUNCTION("""COMPUTED_VALUE"""),44603.0)</f>
        <v>44603</v>
      </c>
      <c r="B177" s="6" t="str">
        <f>IFERROR(__xludf.DUMMYFUNCTION("""COMPUTED_VALUE"""),"dinner")</f>
        <v>dinner</v>
      </c>
      <c r="C177" s="6" t="str">
        <f>IFERROR(__xludf.DUMMYFUNCTION("""COMPUTED_VALUE"""),"employee K")</f>
        <v>employee K</v>
      </c>
      <c r="D177" s="7">
        <f>IFERROR(__xludf.DUMMYFUNCTION("""COMPUTED_VALUE"""),87.64)</f>
        <v>87.64</v>
      </c>
      <c r="E177" s="6" t="str">
        <f>IFERROR(__xludf.DUMMYFUNCTION("""COMPUTED_VALUE"""),"No")</f>
        <v>No</v>
      </c>
      <c r="F177" s="8" t="str">
        <f>IFERROR(__xludf.DUMMYFUNCTION("""COMPUTED_VALUE"""),"No")</f>
        <v>No</v>
      </c>
    </row>
    <row r="178">
      <c r="A178" s="5">
        <f>IFERROR(__xludf.DUMMYFUNCTION("""COMPUTED_VALUE"""),44603.0)</f>
        <v>44603</v>
      </c>
      <c r="B178" s="6" t="str">
        <f>IFERROR(__xludf.DUMMYFUNCTION("""COMPUTED_VALUE"""),"dinner")</f>
        <v>dinner</v>
      </c>
      <c r="C178" s="6" t="str">
        <f>IFERROR(__xludf.DUMMYFUNCTION("""COMPUTED_VALUE"""),"employee B")</f>
        <v>employee B</v>
      </c>
      <c r="D178" s="7">
        <f>IFERROR(__xludf.DUMMYFUNCTION("""COMPUTED_VALUE"""),98.6)</f>
        <v>98.6</v>
      </c>
      <c r="E178" s="6" t="str">
        <f>IFERROR(__xludf.DUMMYFUNCTION("""COMPUTED_VALUE"""),"No")</f>
        <v>No</v>
      </c>
      <c r="F178" s="8" t="str">
        <f>IFERROR(__xludf.DUMMYFUNCTION("""COMPUTED_VALUE"""),"No")</f>
        <v>No</v>
      </c>
    </row>
    <row r="179">
      <c r="A179" s="5">
        <f>IFERROR(__xludf.DUMMYFUNCTION("""COMPUTED_VALUE"""),44604.0)</f>
        <v>44604</v>
      </c>
      <c r="B179" s="6" t="str">
        <f>IFERROR(__xludf.DUMMYFUNCTION("""COMPUTED_VALUE"""),"lunch")</f>
        <v>lunch</v>
      </c>
      <c r="C179" s="6" t="str">
        <f>IFERROR(__xludf.DUMMYFUNCTION("""COMPUTED_VALUE"""),"employee B")</f>
        <v>employee B</v>
      </c>
      <c r="D179" s="7">
        <f>IFERROR(__xludf.DUMMYFUNCTION("""COMPUTED_VALUE"""),150.92)</f>
        <v>150.92</v>
      </c>
      <c r="E179" s="6" t="str">
        <f>IFERROR(__xludf.DUMMYFUNCTION("""COMPUTED_VALUE"""),"No")</f>
        <v>No</v>
      </c>
      <c r="F179" s="8" t="str">
        <f>IFERROR(__xludf.DUMMYFUNCTION("""COMPUTED_VALUE"""),"No")</f>
        <v>No</v>
      </c>
    </row>
    <row r="180">
      <c r="A180" s="5">
        <f>IFERROR(__xludf.DUMMYFUNCTION("""COMPUTED_VALUE"""),44604.0)</f>
        <v>44604</v>
      </c>
      <c r="B180" s="6" t="str">
        <f>IFERROR(__xludf.DUMMYFUNCTION("""COMPUTED_VALUE"""),"lunch")</f>
        <v>lunch</v>
      </c>
      <c r="C180" s="6" t="str">
        <f>IFERROR(__xludf.DUMMYFUNCTION("""COMPUTED_VALUE"""),"employee K")</f>
        <v>employee K</v>
      </c>
      <c r="D180" s="7">
        <f>IFERROR(__xludf.DUMMYFUNCTION("""COMPUTED_VALUE"""),107.8)</f>
        <v>107.8</v>
      </c>
      <c r="E180" s="6" t="str">
        <f>IFERROR(__xludf.DUMMYFUNCTION("""COMPUTED_VALUE"""),"No")</f>
        <v>No</v>
      </c>
      <c r="F180" s="8" t="str">
        <f>IFERROR(__xludf.DUMMYFUNCTION("""COMPUTED_VALUE"""),"No")</f>
        <v>No</v>
      </c>
    </row>
    <row r="181">
      <c r="A181" s="5">
        <f>IFERROR(__xludf.DUMMYFUNCTION("""COMPUTED_VALUE"""),44604.0)</f>
        <v>44604</v>
      </c>
      <c r="B181" s="6" t="str">
        <f>IFERROR(__xludf.DUMMYFUNCTION("""COMPUTED_VALUE"""),"lunch")</f>
        <v>lunch</v>
      </c>
      <c r="C181" s="6" t="str">
        <f>IFERROR(__xludf.DUMMYFUNCTION("""COMPUTED_VALUE"""),"employee C")</f>
        <v>employee C</v>
      </c>
      <c r="D181" s="7">
        <f>IFERROR(__xludf.DUMMYFUNCTION("""COMPUTED_VALUE"""),53.84)</f>
        <v>53.84</v>
      </c>
      <c r="E181" s="6" t="str">
        <f>IFERROR(__xludf.DUMMYFUNCTION("""COMPUTED_VALUE"""),"No")</f>
        <v>No</v>
      </c>
      <c r="F181" s="8" t="str">
        <f>IFERROR(__xludf.DUMMYFUNCTION("""COMPUTED_VALUE"""),"No")</f>
        <v>No</v>
      </c>
    </row>
    <row r="182">
      <c r="A182" s="5">
        <f>IFERROR(__xludf.DUMMYFUNCTION("""COMPUTED_VALUE"""),44604.0)</f>
        <v>44604</v>
      </c>
      <c r="B182" s="6" t="str">
        <f>IFERROR(__xludf.DUMMYFUNCTION("""COMPUTED_VALUE"""),"dinner")</f>
        <v>dinner</v>
      </c>
      <c r="C182" s="6" t="str">
        <f>IFERROR(__xludf.DUMMYFUNCTION("""COMPUTED_VALUE"""),"employee J")</f>
        <v>employee J</v>
      </c>
      <c r="D182" s="7">
        <f>IFERROR(__xludf.DUMMYFUNCTION("""COMPUTED_VALUE"""),99.81)</f>
        <v>99.81</v>
      </c>
      <c r="E182" s="6" t="str">
        <f>IFERROR(__xludf.DUMMYFUNCTION("""COMPUTED_VALUE"""),"No")</f>
        <v>No</v>
      </c>
      <c r="F182" s="8" t="str">
        <f>IFERROR(__xludf.DUMMYFUNCTION("""COMPUTED_VALUE"""),"No")</f>
        <v>No</v>
      </c>
    </row>
    <row r="183">
      <c r="A183" s="5">
        <f>IFERROR(__xludf.DUMMYFUNCTION("""COMPUTED_VALUE"""),44604.0)</f>
        <v>44604</v>
      </c>
      <c r="B183" s="6" t="str">
        <f>IFERROR(__xludf.DUMMYFUNCTION("""COMPUTED_VALUE"""),"dinner")</f>
        <v>dinner</v>
      </c>
      <c r="C183" s="6" t="str">
        <f>IFERROR(__xludf.DUMMYFUNCTION("""COMPUTED_VALUE"""),"employee K")</f>
        <v>employee K</v>
      </c>
      <c r="D183" s="7">
        <f>IFERROR(__xludf.DUMMYFUNCTION("""COMPUTED_VALUE"""),66.53)</f>
        <v>66.53</v>
      </c>
      <c r="E183" s="6" t="str">
        <f>IFERROR(__xludf.DUMMYFUNCTION("""COMPUTED_VALUE"""),"No")</f>
        <v>No</v>
      </c>
      <c r="F183" s="8" t="str">
        <f>IFERROR(__xludf.DUMMYFUNCTION("""COMPUTED_VALUE"""),"No")</f>
        <v>No</v>
      </c>
    </row>
    <row r="184">
      <c r="A184" s="5">
        <f>IFERROR(__xludf.DUMMYFUNCTION("""COMPUTED_VALUE"""),44604.0)</f>
        <v>44604</v>
      </c>
      <c r="B184" s="6" t="str">
        <f>IFERROR(__xludf.DUMMYFUNCTION("""COMPUTED_VALUE"""),"dinner")</f>
        <v>dinner</v>
      </c>
      <c r="C184" s="6" t="str">
        <f>IFERROR(__xludf.DUMMYFUNCTION("""COMPUTED_VALUE"""),"employee E")</f>
        <v>employee E</v>
      </c>
      <c r="D184" s="7">
        <f>IFERROR(__xludf.DUMMYFUNCTION("""COMPUTED_VALUE"""),99.81)</f>
        <v>99.81</v>
      </c>
      <c r="E184" s="6" t="str">
        <f>IFERROR(__xludf.DUMMYFUNCTION("""COMPUTED_VALUE"""),"No")</f>
        <v>No</v>
      </c>
      <c r="F184" s="8" t="str">
        <f>IFERROR(__xludf.DUMMYFUNCTION("""COMPUTED_VALUE"""),"No")</f>
        <v>No</v>
      </c>
    </row>
    <row r="185">
      <c r="A185" s="5">
        <f>IFERROR(__xludf.DUMMYFUNCTION("""COMPUTED_VALUE"""),44605.0)</f>
        <v>44605</v>
      </c>
      <c r="B185" s="6" t="str">
        <f>IFERROR(__xludf.DUMMYFUNCTION("""COMPUTED_VALUE"""),"lunch")</f>
        <v>lunch</v>
      </c>
      <c r="C185" s="6" t="str">
        <f>IFERROR(__xludf.DUMMYFUNCTION("""COMPUTED_VALUE"""),"employee Q")</f>
        <v>employee Q</v>
      </c>
      <c r="D185" s="7">
        <f>IFERROR(__xludf.DUMMYFUNCTION("""COMPUTED_VALUE"""),81.6)</f>
        <v>81.6</v>
      </c>
      <c r="E185" s="6" t="str">
        <f>IFERROR(__xludf.DUMMYFUNCTION("""COMPUTED_VALUE"""),"No")</f>
        <v>No</v>
      </c>
      <c r="F185" s="8" t="str">
        <f>IFERROR(__xludf.DUMMYFUNCTION("""COMPUTED_VALUE"""),"No")</f>
        <v>No</v>
      </c>
    </row>
    <row r="186">
      <c r="A186" s="5">
        <f>IFERROR(__xludf.DUMMYFUNCTION("""COMPUTED_VALUE"""),44605.0)</f>
        <v>44605</v>
      </c>
      <c r="B186" s="6" t="str">
        <f>IFERROR(__xludf.DUMMYFUNCTION("""COMPUTED_VALUE"""),"lunch")</f>
        <v>lunch</v>
      </c>
      <c r="C186" s="6" t="str">
        <f>IFERROR(__xludf.DUMMYFUNCTION("""COMPUTED_VALUE"""),"employee K")</f>
        <v>employee K</v>
      </c>
      <c r="D186" s="7">
        <f>IFERROR(__xludf.DUMMYFUNCTION("""COMPUTED_VALUE"""),76.5)</f>
        <v>76.5</v>
      </c>
      <c r="E186" s="6" t="str">
        <f>IFERROR(__xludf.DUMMYFUNCTION("""COMPUTED_VALUE"""),"No")</f>
        <v>No</v>
      </c>
      <c r="F186" s="8" t="str">
        <f>IFERROR(__xludf.DUMMYFUNCTION("""COMPUTED_VALUE"""),"No")</f>
        <v>No</v>
      </c>
    </row>
    <row r="187">
      <c r="A187" s="5">
        <f>IFERROR(__xludf.DUMMYFUNCTION("""COMPUTED_VALUE"""),44605.0)</f>
        <v>44605</v>
      </c>
      <c r="B187" s="6" t="str">
        <f>IFERROR(__xludf.DUMMYFUNCTION("""COMPUTED_VALUE"""),"lunch")</f>
        <v>lunch</v>
      </c>
      <c r="C187" s="6" t="str">
        <f>IFERROR(__xludf.DUMMYFUNCTION("""COMPUTED_VALUE"""),"employee B")</f>
        <v>employee B</v>
      </c>
      <c r="D187" s="7">
        <f>IFERROR(__xludf.DUMMYFUNCTION("""COMPUTED_VALUE"""),102.0)</f>
        <v>102</v>
      </c>
      <c r="E187" s="6" t="str">
        <f>IFERROR(__xludf.DUMMYFUNCTION("""COMPUTED_VALUE"""),"No")</f>
        <v>No</v>
      </c>
      <c r="F187" s="8" t="str">
        <f>IFERROR(__xludf.DUMMYFUNCTION("""COMPUTED_VALUE"""),"No")</f>
        <v>No</v>
      </c>
    </row>
    <row r="188">
      <c r="A188" s="5">
        <f>IFERROR(__xludf.DUMMYFUNCTION("""COMPUTED_VALUE"""),44605.0)</f>
        <v>44605</v>
      </c>
      <c r="B188" s="6" t="str">
        <f>IFERROR(__xludf.DUMMYFUNCTION("""COMPUTED_VALUE"""),"dinner")</f>
        <v>dinner</v>
      </c>
      <c r="C188" s="6" t="str">
        <f>IFERROR(__xludf.DUMMYFUNCTION("""COMPUTED_VALUE"""),"employee J")</f>
        <v>employee J</v>
      </c>
      <c r="D188" s="7">
        <f>IFERROR(__xludf.DUMMYFUNCTION("""COMPUTED_VALUE"""),11.04)</f>
        <v>11.04</v>
      </c>
      <c r="E188" s="6" t="str">
        <f>IFERROR(__xludf.DUMMYFUNCTION("""COMPUTED_VALUE"""),"No")</f>
        <v>No</v>
      </c>
      <c r="F188" s="8" t="str">
        <f>IFERROR(__xludf.DUMMYFUNCTION("""COMPUTED_VALUE"""),"No")</f>
        <v>No</v>
      </c>
    </row>
    <row r="189">
      <c r="A189" s="5">
        <f>IFERROR(__xludf.DUMMYFUNCTION("""COMPUTED_VALUE"""),44605.0)</f>
        <v>44605</v>
      </c>
      <c r="B189" s="6" t="str">
        <f>IFERROR(__xludf.DUMMYFUNCTION("""COMPUTED_VALUE"""),"dinner")</f>
        <v>dinner</v>
      </c>
      <c r="C189" s="6" t="str">
        <f>IFERROR(__xludf.DUMMYFUNCTION("""COMPUTED_VALUE"""),"employee B")</f>
        <v>employee B</v>
      </c>
      <c r="D189" s="7">
        <f>IFERROR(__xludf.DUMMYFUNCTION("""COMPUTED_VALUE"""),3.68)</f>
        <v>3.68</v>
      </c>
      <c r="E189" s="6" t="str">
        <f>IFERROR(__xludf.DUMMYFUNCTION("""COMPUTED_VALUE"""),"No")</f>
        <v>No</v>
      </c>
      <c r="F189" s="8" t="str">
        <f>IFERROR(__xludf.DUMMYFUNCTION("""COMPUTED_VALUE"""),"No")</f>
        <v>No</v>
      </c>
    </row>
    <row r="190">
      <c r="A190" s="5">
        <f>IFERROR(__xludf.DUMMYFUNCTION("""COMPUTED_VALUE"""),44605.0)</f>
        <v>44605</v>
      </c>
      <c r="B190" s="6" t="str">
        <f>IFERROR(__xludf.DUMMYFUNCTION("""COMPUTED_VALUE"""),"dinner")</f>
        <v>dinner</v>
      </c>
      <c r="C190" s="6" t="str">
        <f>IFERROR(__xludf.DUMMYFUNCTION("""COMPUTED_VALUE"""),"employee E")</f>
        <v>employee E</v>
      </c>
      <c r="D190" s="7">
        <f>IFERROR(__xludf.DUMMYFUNCTION("""COMPUTED_VALUE"""),7.36)</f>
        <v>7.36</v>
      </c>
      <c r="E190" s="6" t="str">
        <f>IFERROR(__xludf.DUMMYFUNCTION("""COMPUTED_VALUE"""),"No")</f>
        <v>No</v>
      </c>
      <c r="F190" s="8" t="str">
        <f>IFERROR(__xludf.DUMMYFUNCTION("""COMPUTED_VALUE"""),"No")</f>
        <v>No</v>
      </c>
    </row>
    <row r="191">
      <c r="A191" s="5">
        <f>IFERROR(__xludf.DUMMYFUNCTION("""COMPUTED_VALUE"""),44606.0)</f>
        <v>44606</v>
      </c>
      <c r="B191" s="6" t="str">
        <f>IFERROR(__xludf.DUMMYFUNCTION("""COMPUTED_VALUE"""),"lunch")</f>
        <v>lunch</v>
      </c>
      <c r="C191" s="6" t="str">
        <f>IFERROR(__xludf.DUMMYFUNCTION("""COMPUTED_VALUE"""),"employee Q")</f>
        <v>employee Q</v>
      </c>
      <c r="D191" s="7">
        <f>IFERROR(__xludf.DUMMYFUNCTION("""COMPUTED_VALUE"""),83.95)</f>
        <v>83.95</v>
      </c>
      <c r="E191" s="6" t="str">
        <f>IFERROR(__xludf.DUMMYFUNCTION("""COMPUTED_VALUE"""),"No")</f>
        <v>No</v>
      </c>
      <c r="F191" s="8" t="str">
        <f>IFERROR(__xludf.DUMMYFUNCTION("""COMPUTED_VALUE"""),"No")</f>
        <v>No</v>
      </c>
    </row>
    <row r="192">
      <c r="A192" s="5">
        <f>IFERROR(__xludf.DUMMYFUNCTION("""COMPUTED_VALUE"""),44606.0)</f>
        <v>44606</v>
      </c>
      <c r="B192" s="6" t="str">
        <f>IFERROR(__xludf.DUMMYFUNCTION("""COMPUTED_VALUE"""),"lunch")</f>
        <v>lunch</v>
      </c>
      <c r="C192" s="6" t="str">
        <f>IFERROR(__xludf.DUMMYFUNCTION("""COMPUTED_VALUE"""),"employee B")</f>
        <v>employee B</v>
      </c>
      <c r="D192" s="7">
        <f>IFERROR(__xludf.DUMMYFUNCTION("""COMPUTED_VALUE"""),8.4)</f>
        <v>8.4</v>
      </c>
      <c r="E192" s="6" t="str">
        <f>IFERROR(__xludf.DUMMYFUNCTION("""COMPUTED_VALUE"""),"No")</f>
        <v>No</v>
      </c>
      <c r="F192" s="8" t="str">
        <f>IFERROR(__xludf.DUMMYFUNCTION("""COMPUTED_VALUE"""),"No")</f>
        <v>No</v>
      </c>
    </row>
    <row r="193">
      <c r="A193" s="5">
        <f>IFERROR(__xludf.DUMMYFUNCTION("""COMPUTED_VALUE"""),44606.0)</f>
        <v>44606</v>
      </c>
      <c r="B193" s="6" t="str">
        <f>IFERROR(__xludf.DUMMYFUNCTION("""COMPUTED_VALUE"""),"dinner")</f>
        <v>dinner</v>
      </c>
      <c r="C193" s="6" t="str">
        <f>IFERROR(__xludf.DUMMYFUNCTION("""COMPUTED_VALUE"""),"employee Q")</f>
        <v>employee Q</v>
      </c>
      <c r="D193" s="7">
        <f>IFERROR(__xludf.DUMMYFUNCTION("""COMPUTED_VALUE"""),84.97)</f>
        <v>84.97</v>
      </c>
      <c r="E193" s="6" t="str">
        <f>IFERROR(__xludf.DUMMYFUNCTION("""COMPUTED_VALUE"""),"No")</f>
        <v>No</v>
      </c>
      <c r="F193" s="8" t="str">
        <f>IFERROR(__xludf.DUMMYFUNCTION("""COMPUTED_VALUE"""),"No")</f>
        <v>No</v>
      </c>
    </row>
    <row r="194">
      <c r="A194" s="5">
        <f>IFERROR(__xludf.DUMMYFUNCTION("""COMPUTED_VALUE"""),44606.0)</f>
        <v>44606</v>
      </c>
      <c r="B194" s="6" t="str">
        <f>IFERROR(__xludf.DUMMYFUNCTION("""COMPUTED_VALUE"""),"dinner")</f>
        <v>dinner</v>
      </c>
      <c r="C194" s="6" t="str">
        <f>IFERROR(__xludf.DUMMYFUNCTION("""COMPUTED_VALUE"""),"employee K")</f>
        <v>employee K</v>
      </c>
      <c r="D194" s="7">
        <f>IFERROR(__xludf.DUMMYFUNCTION("""COMPUTED_VALUE"""),66.1)</f>
        <v>66.1</v>
      </c>
      <c r="E194" s="6" t="str">
        <f>IFERROR(__xludf.DUMMYFUNCTION("""COMPUTED_VALUE"""),"No")</f>
        <v>No</v>
      </c>
      <c r="F194" s="8" t="str">
        <f>IFERROR(__xludf.DUMMYFUNCTION("""COMPUTED_VALUE"""),"No")</f>
        <v>No</v>
      </c>
    </row>
    <row r="195">
      <c r="A195" s="5">
        <f>IFERROR(__xludf.DUMMYFUNCTION("""COMPUTED_VALUE"""),44606.0)</f>
        <v>44606</v>
      </c>
      <c r="B195" s="6" t="str">
        <f>IFERROR(__xludf.DUMMYFUNCTION("""COMPUTED_VALUE"""),"dinner")</f>
        <v>dinner</v>
      </c>
      <c r="C195" s="6" t="str">
        <f>IFERROR(__xludf.DUMMYFUNCTION("""COMPUTED_VALUE"""),"employee I")</f>
        <v>employee I</v>
      </c>
      <c r="D195" s="7">
        <f>IFERROR(__xludf.DUMMYFUNCTION("""COMPUTED_VALUE"""),66.1)</f>
        <v>66.1</v>
      </c>
      <c r="E195" s="6" t="str">
        <f>IFERROR(__xludf.DUMMYFUNCTION("""COMPUTED_VALUE"""),"No")</f>
        <v>No</v>
      </c>
      <c r="F195" s="8" t="str">
        <f>IFERROR(__xludf.DUMMYFUNCTION("""COMPUTED_VALUE"""),"No")</f>
        <v>No</v>
      </c>
    </row>
    <row r="196">
      <c r="A196" s="5">
        <f>IFERROR(__xludf.DUMMYFUNCTION("""COMPUTED_VALUE"""),44607.0)</f>
        <v>44607</v>
      </c>
      <c r="B196" s="6" t="str">
        <f>IFERROR(__xludf.DUMMYFUNCTION("""COMPUTED_VALUE"""),"lunch")</f>
        <v>lunch</v>
      </c>
      <c r="C196" s="6" t="str">
        <f>IFERROR(__xludf.DUMMYFUNCTION("""COMPUTED_VALUE"""),"employee J")</f>
        <v>employee J</v>
      </c>
      <c r="D196" s="7">
        <f>IFERROR(__xludf.DUMMYFUNCTION("""COMPUTED_VALUE"""),58.25)</f>
        <v>58.25</v>
      </c>
      <c r="E196" s="6" t="str">
        <f>IFERROR(__xludf.DUMMYFUNCTION("""COMPUTED_VALUE"""),"No")</f>
        <v>No</v>
      </c>
      <c r="F196" s="8" t="str">
        <f>IFERROR(__xludf.DUMMYFUNCTION("""COMPUTED_VALUE"""),"No")</f>
        <v>No</v>
      </c>
    </row>
    <row r="197">
      <c r="A197" s="5">
        <f>IFERROR(__xludf.DUMMYFUNCTION("""COMPUTED_VALUE"""),44607.0)</f>
        <v>44607</v>
      </c>
      <c r="B197" s="6" t="str">
        <f>IFERROR(__xludf.DUMMYFUNCTION("""COMPUTED_VALUE"""),"dinner")</f>
        <v>dinner</v>
      </c>
      <c r="C197" s="6" t="str">
        <f>IFERROR(__xludf.DUMMYFUNCTION("""COMPUTED_VALUE"""),"employee J")</f>
        <v>employee J</v>
      </c>
      <c r="D197" s="7">
        <f>IFERROR(__xludf.DUMMYFUNCTION("""COMPUTED_VALUE"""),55.89)</f>
        <v>55.89</v>
      </c>
      <c r="E197" s="6" t="str">
        <f>IFERROR(__xludf.DUMMYFUNCTION("""COMPUTED_VALUE"""),"No")</f>
        <v>No</v>
      </c>
      <c r="F197" s="8" t="str">
        <f>IFERROR(__xludf.DUMMYFUNCTION("""COMPUTED_VALUE"""),"No")</f>
        <v>No</v>
      </c>
    </row>
    <row r="198">
      <c r="A198" s="5">
        <f>IFERROR(__xludf.DUMMYFUNCTION("""COMPUTED_VALUE"""),44607.0)</f>
        <v>44607</v>
      </c>
      <c r="B198" s="6" t="str">
        <f>IFERROR(__xludf.DUMMYFUNCTION("""COMPUTED_VALUE"""),"dinner")</f>
        <v>dinner</v>
      </c>
      <c r="C198" s="6" t="str">
        <f>IFERROR(__xludf.DUMMYFUNCTION("""COMPUTED_VALUE"""),"employee C")</f>
        <v>employee C</v>
      </c>
      <c r="D198" s="7">
        <f>IFERROR(__xludf.DUMMYFUNCTION("""COMPUTED_VALUE"""),55.89)</f>
        <v>55.89</v>
      </c>
      <c r="E198" s="6" t="str">
        <f>IFERROR(__xludf.DUMMYFUNCTION("""COMPUTED_VALUE"""),"No")</f>
        <v>No</v>
      </c>
      <c r="F198" s="8" t="str">
        <f>IFERROR(__xludf.DUMMYFUNCTION("""COMPUTED_VALUE"""),"No")</f>
        <v>No</v>
      </c>
    </row>
    <row r="199">
      <c r="A199" s="5">
        <f>IFERROR(__xludf.DUMMYFUNCTION("""COMPUTED_VALUE"""),44607.0)</f>
        <v>44607</v>
      </c>
      <c r="B199" s="6" t="str">
        <f>IFERROR(__xludf.DUMMYFUNCTION("""COMPUTED_VALUE"""),"dinner")</f>
        <v>dinner</v>
      </c>
      <c r="C199" s="6" t="str">
        <f>IFERROR(__xludf.DUMMYFUNCTION("""COMPUTED_VALUE"""),"employee I")</f>
        <v>employee I</v>
      </c>
      <c r="D199" s="7">
        <f>IFERROR(__xludf.DUMMYFUNCTION("""COMPUTED_VALUE"""),37.25)</f>
        <v>37.25</v>
      </c>
      <c r="E199" s="6" t="str">
        <f>IFERROR(__xludf.DUMMYFUNCTION("""COMPUTED_VALUE"""),"No")</f>
        <v>No</v>
      </c>
      <c r="F199" s="8" t="str">
        <f>IFERROR(__xludf.DUMMYFUNCTION("""COMPUTED_VALUE"""),"No")</f>
        <v>No</v>
      </c>
    </row>
    <row r="200">
      <c r="A200" s="5">
        <f>IFERROR(__xludf.DUMMYFUNCTION("""COMPUTED_VALUE"""),44608.0)</f>
        <v>44608</v>
      </c>
      <c r="B200" s="6" t="str">
        <f>IFERROR(__xludf.DUMMYFUNCTION("""COMPUTED_VALUE"""),"lunch")</f>
        <v>lunch</v>
      </c>
      <c r="C200" s="6" t="str">
        <f>IFERROR(__xludf.DUMMYFUNCTION("""COMPUTED_VALUE"""),"employee Q")</f>
        <v>employee Q</v>
      </c>
      <c r="D200" s="7">
        <f>IFERROR(__xludf.DUMMYFUNCTION("""COMPUTED_VALUE"""),61.29)</f>
        <v>61.29</v>
      </c>
      <c r="E200" s="6" t="str">
        <f>IFERROR(__xludf.DUMMYFUNCTION("""COMPUTED_VALUE"""),"No")</f>
        <v>No</v>
      </c>
      <c r="F200" s="8" t="str">
        <f>IFERROR(__xludf.DUMMYFUNCTION("""COMPUTED_VALUE"""),"No")</f>
        <v>No</v>
      </c>
    </row>
    <row r="201">
      <c r="A201" s="5">
        <f>IFERROR(__xludf.DUMMYFUNCTION("""COMPUTED_VALUE"""),44608.0)</f>
        <v>44608</v>
      </c>
      <c r="B201" s="6" t="str">
        <f>IFERROR(__xludf.DUMMYFUNCTION("""COMPUTED_VALUE"""),"dinner")</f>
        <v>dinner</v>
      </c>
      <c r="C201" s="6" t="str">
        <f>IFERROR(__xludf.DUMMYFUNCTION("""COMPUTED_VALUE"""),"employee Q")</f>
        <v>employee Q</v>
      </c>
      <c r="D201" s="7">
        <f>IFERROR(__xludf.DUMMYFUNCTION("""COMPUTED_VALUE"""),65.66)</f>
        <v>65.66</v>
      </c>
      <c r="E201" s="6" t="str">
        <f>IFERROR(__xludf.DUMMYFUNCTION("""COMPUTED_VALUE"""),"No")</f>
        <v>No</v>
      </c>
      <c r="F201" s="8" t="str">
        <f>IFERROR(__xludf.DUMMYFUNCTION("""COMPUTED_VALUE"""),"No")</f>
        <v>No</v>
      </c>
    </row>
    <row r="202">
      <c r="A202" s="5">
        <f>IFERROR(__xludf.DUMMYFUNCTION("""COMPUTED_VALUE"""),44608.0)</f>
        <v>44608</v>
      </c>
      <c r="B202" s="6" t="str">
        <f>IFERROR(__xludf.DUMMYFUNCTION("""COMPUTED_VALUE"""),"dinner")</f>
        <v>dinner</v>
      </c>
      <c r="C202" s="6" t="str">
        <f>IFERROR(__xludf.DUMMYFUNCTION("""COMPUTED_VALUE"""),"employee C")</f>
        <v>employee C</v>
      </c>
      <c r="D202" s="7">
        <f>IFERROR(__xludf.DUMMYFUNCTION("""COMPUTED_VALUE"""),54.72)</f>
        <v>54.72</v>
      </c>
      <c r="E202" s="6" t="str">
        <f>IFERROR(__xludf.DUMMYFUNCTION("""COMPUTED_VALUE"""),"No")</f>
        <v>No</v>
      </c>
      <c r="F202" s="8" t="str">
        <f>IFERROR(__xludf.DUMMYFUNCTION("""COMPUTED_VALUE"""),"No")</f>
        <v>No</v>
      </c>
    </row>
    <row r="203">
      <c r="A203" s="5">
        <f>IFERROR(__xludf.DUMMYFUNCTION("""COMPUTED_VALUE"""),44608.0)</f>
        <v>44608</v>
      </c>
      <c r="B203" s="6" t="str">
        <f>IFERROR(__xludf.DUMMYFUNCTION("""COMPUTED_VALUE"""),"dinner")</f>
        <v>dinner</v>
      </c>
      <c r="C203" s="6" t="str">
        <f>IFERROR(__xludf.DUMMYFUNCTION("""COMPUTED_VALUE"""),"employee I")</f>
        <v>employee I</v>
      </c>
      <c r="D203" s="7">
        <f>IFERROR(__xludf.DUMMYFUNCTION("""COMPUTED_VALUE"""),43.78)</f>
        <v>43.78</v>
      </c>
      <c r="E203" s="6" t="str">
        <f>IFERROR(__xludf.DUMMYFUNCTION("""COMPUTED_VALUE"""),"No")</f>
        <v>No</v>
      </c>
      <c r="F203" s="8" t="str">
        <f>IFERROR(__xludf.DUMMYFUNCTION("""COMPUTED_VALUE"""),"No")</f>
        <v>No</v>
      </c>
    </row>
    <row r="204">
      <c r="A204" s="5">
        <f>IFERROR(__xludf.DUMMYFUNCTION("""COMPUTED_VALUE"""),44609.0)</f>
        <v>44609</v>
      </c>
      <c r="B204" s="6" t="str">
        <f>IFERROR(__xludf.DUMMYFUNCTION("""COMPUTED_VALUE"""),"lunch")</f>
        <v>lunch</v>
      </c>
      <c r="C204" s="6" t="str">
        <f>IFERROR(__xludf.DUMMYFUNCTION("""COMPUTED_VALUE"""),"employee C")</f>
        <v>employee C</v>
      </c>
      <c r="D204" s="7">
        <f>IFERROR(__xludf.DUMMYFUNCTION("""COMPUTED_VALUE"""),65.97)</f>
        <v>65.97</v>
      </c>
      <c r="E204" s="6" t="str">
        <f>IFERROR(__xludf.DUMMYFUNCTION("""COMPUTED_VALUE"""),"No")</f>
        <v>No</v>
      </c>
      <c r="F204" s="8" t="str">
        <f>IFERROR(__xludf.DUMMYFUNCTION("""COMPUTED_VALUE"""),"No")</f>
        <v>No</v>
      </c>
    </row>
    <row r="205">
      <c r="A205" s="5">
        <f>IFERROR(__xludf.DUMMYFUNCTION("""COMPUTED_VALUE"""),44609.0)</f>
        <v>44609</v>
      </c>
      <c r="B205" s="6" t="str">
        <f>IFERROR(__xludf.DUMMYFUNCTION("""COMPUTED_VALUE"""),"dinner")</f>
        <v>dinner</v>
      </c>
      <c r="C205" s="6" t="str">
        <f>IFERROR(__xludf.DUMMYFUNCTION("""COMPUTED_VALUE"""),"employee C")</f>
        <v>employee C</v>
      </c>
      <c r="D205" s="7">
        <f>IFERROR(__xludf.DUMMYFUNCTION("""COMPUTED_VALUE"""),30.01)</f>
        <v>30.01</v>
      </c>
      <c r="E205" s="6" t="str">
        <f>IFERROR(__xludf.DUMMYFUNCTION("""COMPUTED_VALUE"""),"No")</f>
        <v>No</v>
      </c>
      <c r="F205" s="8" t="str">
        <f>IFERROR(__xludf.DUMMYFUNCTION("""COMPUTED_VALUE"""),"No")</f>
        <v>No</v>
      </c>
    </row>
    <row r="206">
      <c r="A206" s="5">
        <f>IFERROR(__xludf.DUMMYFUNCTION("""COMPUTED_VALUE"""),44609.0)</f>
        <v>44609</v>
      </c>
      <c r="B206" s="6" t="str">
        <f>IFERROR(__xludf.DUMMYFUNCTION("""COMPUTED_VALUE"""),"dinner")</f>
        <v>dinner</v>
      </c>
      <c r="C206" s="6" t="str">
        <f>IFERROR(__xludf.DUMMYFUNCTION("""COMPUTED_VALUE"""),"employee J")</f>
        <v>employee J</v>
      </c>
      <c r="D206" s="7">
        <f>IFERROR(__xludf.DUMMYFUNCTION("""COMPUTED_VALUE"""),54.01)</f>
        <v>54.01</v>
      </c>
      <c r="E206" s="6" t="str">
        <f>IFERROR(__xludf.DUMMYFUNCTION("""COMPUTED_VALUE"""),"No")</f>
        <v>No</v>
      </c>
      <c r="F206" s="8" t="str">
        <f>IFERROR(__xludf.DUMMYFUNCTION("""COMPUTED_VALUE"""),"No")</f>
        <v>No</v>
      </c>
    </row>
    <row r="207">
      <c r="A207" s="5">
        <f>IFERROR(__xludf.DUMMYFUNCTION("""COMPUTED_VALUE"""),44609.0)</f>
        <v>44609</v>
      </c>
      <c r="B207" s="6" t="str">
        <f>IFERROR(__xludf.DUMMYFUNCTION("""COMPUTED_VALUE"""),"dinner")</f>
        <v>dinner</v>
      </c>
      <c r="C207" s="6" t="str">
        <f>IFERROR(__xludf.DUMMYFUNCTION("""COMPUTED_VALUE"""),"employee I")</f>
        <v>employee I</v>
      </c>
      <c r="D207" s="7">
        <f>IFERROR(__xludf.DUMMYFUNCTION("""COMPUTED_VALUE"""),42.01)</f>
        <v>42.01</v>
      </c>
      <c r="E207" s="6" t="str">
        <f>IFERROR(__xludf.DUMMYFUNCTION("""COMPUTED_VALUE"""),"No")</f>
        <v>No</v>
      </c>
      <c r="F207" s="8" t="str">
        <f>IFERROR(__xludf.DUMMYFUNCTION("""COMPUTED_VALUE"""),"No")</f>
        <v>No</v>
      </c>
    </row>
    <row r="208">
      <c r="A208" s="5">
        <f>IFERROR(__xludf.DUMMYFUNCTION("""COMPUTED_VALUE"""),44610.0)</f>
        <v>44610</v>
      </c>
      <c r="B208" s="6" t="str">
        <f>IFERROR(__xludf.DUMMYFUNCTION("""COMPUTED_VALUE"""),"lunch")</f>
        <v>lunch</v>
      </c>
      <c r="C208" s="6" t="str">
        <f>IFERROR(__xludf.DUMMYFUNCTION("""COMPUTED_VALUE"""),"employee J")</f>
        <v>employee J</v>
      </c>
      <c r="D208" s="7">
        <f>IFERROR(__xludf.DUMMYFUNCTION("""COMPUTED_VALUE"""),121.64)</f>
        <v>121.64</v>
      </c>
      <c r="E208" s="6" t="str">
        <f>IFERROR(__xludf.DUMMYFUNCTION("""COMPUTED_VALUE"""),"No")</f>
        <v>No</v>
      </c>
      <c r="F208" s="8" t="str">
        <f>IFERROR(__xludf.DUMMYFUNCTION("""COMPUTED_VALUE"""),"No")</f>
        <v>No</v>
      </c>
    </row>
    <row r="209">
      <c r="A209" s="5">
        <f>IFERROR(__xludf.DUMMYFUNCTION("""COMPUTED_VALUE"""),44610.0)</f>
        <v>44610</v>
      </c>
      <c r="B209" s="6" t="str">
        <f>IFERROR(__xludf.DUMMYFUNCTION("""COMPUTED_VALUE"""),"dinner")</f>
        <v>dinner</v>
      </c>
      <c r="C209" s="6" t="str">
        <f>IFERROR(__xludf.DUMMYFUNCTION("""COMPUTED_VALUE"""),"employee Q")</f>
        <v>employee Q</v>
      </c>
      <c r="D209" s="7">
        <f>IFERROR(__xludf.DUMMYFUNCTION("""COMPUTED_VALUE"""),76.14)</f>
        <v>76.14</v>
      </c>
      <c r="E209" s="6" t="str">
        <f>IFERROR(__xludf.DUMMYFUNCTION("""COMPUTED_VALUE"""),"No")</f>
        <v>No</v>
      </c>
      <c r="F209" s="8" t="str">
        <f>IFERROR(__xludf.DUMMYFUNCTION("""COMPUTED_VALUE"""),"No")</f>
        <v>No</v>
      </c>
    </row>
    <row r="210">
      <c r="A210" s="5">
        <f>IFERROR(__xludf.DUMMYFUNCTION("""COMPUTED_VALUE"""),44610.0)</f>
        <v>44610</v>
      </c>
      <c r="B210" s="6" t="str">
        <f>IFERROR(__xludf.DUMMYFUNCTION("""COMPUTED_VALUE"""),"dinner")</f>
        <v>dinner</v>
      </c>
      <c r="C210" s="6" t="str">
        <f>IFERROR(__xludf.DUMMYFUNCTION("""COMPUTED_VALUE"""),"employee B")</f>
        <v>employee B</v>
      </c>
      <c r="D210" s="7">
        <f>IFERROR(__xludf.DUMMYFUNCTION("""COMPUTED_VALUE"""),67.67)</f>
        <v>67.67</v>
      </c>
      <c r="E210" s="6" t="str">
        <f>IFERROR(__xludf.DUMMYFUNCTION("""COMPUTED_VALUE"""),"No")</f>
        <v>No</v>
      </c>
      <c r="F210" s="8" t="str">
        <f>IFERROR(__xludf.DUMMYFUNCTION("""COMPUTED_VALUE"""),"No")</f>
        <v>No</v>
      </c>
    </row>
    <row r="211">
      <c r="A211" s="5">
        <f>IFERROR(__xludf.DUMMYFUNCTION("""COMPUTED_VALUE"""),44610.0)</f>
        <v>44610</v>
      </c>
      <c r="B211" s="6" t="str">
        <f>IFERROR(__xludf.DUMMYFUNCTION("""COMPUTED_VALUE"""),"dinner")</f>
        <v>dinner</v>
      </c>
      <c r="C211" s="6" t="str">
        <f>IFERROR(__xludf.DUMMYFUNCTION("""COMPUTED_VALUE"""),"employee I")</f>
        <v>employee I</v>
      </c>
      <c r="D211" s="7">
        <f>IFERROR(__xludf.DUMMYFUNCTION("""COMPUTED_VALUE"""),33.84)</f>
        <v>33.84</v>
      </c>
      <c r="E211" s="6" t="str">
        <f>IFERROR(__xludf.DUMMYFUNCTION("""COMPUTED_VALUE"""),"No")</f>
        <v>No</v>
      </c>
      <c r="F211" s="8" t="str">
        <f>IFERROR(__xludf.DUMMYFUNCTION("""COMPUTED_VALUE"""),"No")</f>
        <v>No</v>
      </c>
    </row>
    <row r="212">
      <c r="A212" s="5">
        <f>IFERROR(__xludf.DUMMYFUNCTION("""COMPUTED_VALUE"""),44611.0)</f>
        <v>44611</v>
      </c>
      <c r="B212" s="6" t="str">
        <f>IFERROR(__xludf.DUMMYFUNCTION("""COMPUTED_VALUE"""),"lunch")</f>
        <v>lunch</v>
      </c>
      <c r="C212" s="6" t="str">
        <f>IFERROR(__xludf.DUMMYFUNCTION("""COMPUTED_VALUE"""),"employee Q")</f>
        <v>employee Q</v>
      </c>
      <c r="D212" s="7">
        <f>IFERROR(__xludf.DUMMYFUNCTION("""COMPUTED_VALUE"""),95.85)</f>
        <v>95.85</v>
      </c>
      <c r="E212" s="6" t="str">
        <f>IFERROR(__xludf.DUMMYFUNCTION("""COMPUTED_VALUE"""),"No")</f>
        <v>No</v>
      </c>
      <c r="F212" s="8" t="str">
        <f>IFERROR(__xludf.DUMMYFUNCTION("""COMPUTED_VALUE"""),"No")</f>
        <v>No</v>
      </c>
    </row>
    <row r="213">
      <c r="A213" s="5">
        <f>IFERROR(__xludf.DUMMYFUNCTION("""COMPUTED_VALUE"""),44611.0)</f>
        <v>44611</v>
      </c>
      <c r="B213" s="6" t="str">
        <f>IFERROR(__xludf.DUMMYFUNCTION("""COMPUTED_VALUE"""),"lunch")</f>
        <v>lunch</v>
      </c>
      <c r="C213" s="6" t="str">
        <f>IFERROR(__xludf.DUMMYFUNCTION("""COMPUTED_VALUE"""),"employee B")</f>
        <v>employee B</v>
      </c>
      <c r="D213" s="7">
        <f>IFERROR(__xludf.DUMMYFUNCTION("""COMPUTED_VALUE"""),73.7)</f>
        <v>73.7</v>
      </c>
      <c r="E213" s="6" t="str">
        <f>IFERROR(__xludf.DUMMYFUNCTION("""COMPUTED_VALUE"""),"No")</f>
        <v>No</v>
      </c>
      <c r="F213" s="8" t="str">
        <f>IFERROR(__xludf.DUMMYFUNCTION("""COMPUTED_VALUE"""),"No")</f>
        <v>No</v>
      </c>
    </row>
    <row r="214">
      <c r="A214" s="5">
        <f>IFERROR(__xludf.DUMMYFUNCTION("""COMPUTED_VALUE"""),44611.0)</f>
        <v>44611</v>
      </c>
      <c r="B214" s="6" t="str">
        <f>IFERROR(__xludf.DUMMYFUNCTION("""COMPUTED_VALUE"""),"lunch")</f>
        <v>lunch</v>
      </c>
      <c r="C214" s="6" t="str">
        <f>IFERROR(__xludf.DUMMYFUNCTION("""COMPUTED_VALUE"""),"employee C")</f>
        <v>employee C</v>
      </c>
      <c r="D214" s="7">
        <f>IFERROR(__xludf.DUMMYFUNCTION("""COMPUTED_VALUE"""),73.7)</f>
        <v>73.7</v>
      </c>
      <c r="E214" s="6" t="str">
        <f>IFERROR(__xludf.DUMMYFUNCTION("""COMPUTED_VALUE"""),"No")</f>
        <v>No</v>
      </c>
      <c r="F214" s="8" t="str">
        <f>IFERROR(__xludf.DUMMYFUNCTION("""COMPUTED_VALUE"""),"No")</f>
        <v>No</v>
      </c>
    </row>
    <row r="215">
      <c r="A215" s="5">
        <f>IFERROR(__xludf.DUMMYFUNCTION("""COMPUTED_VALUE"""),44611.0)</f>
        <v>44611</v>
      </c>
      <c r="B215" s="6" t="str">
        <f>IFERROR(__xludf.DUMMYFUNCTION("""COMPUTED_VALUE"""),"dinner")</f>
        <v>dinner</v>
      </c>
      <c r="C215" s="6" t="str">
        <f>IFERROR(__xludf.DUMMYFUNCTION("""COMPUTED_VALUE"""),"employee J")</f>
        <v>employee J</v>
      </c>
      <c r="D215" s="7">
        <f>IFERROR(__xludf.DUMMYFUNCTION("""COMPUTED_VALUE"""),63.12)</f>
        <v>63.12</v>
      </c>
      <c r="E215" s="6" t="str">
        <f>IFERROR(__xludf.DUMMYFUNCTION("""COMPUTED_VALUE"""),"No")</f>
        <v>No</v>
      </c>
      <c r="F215" s="8" t="str">
        <f>IFERROR(__xludf.DUMMYFUNCTION("""COMPUTED_VALUE"""),"No")</f>
        <v>No</v>
      </c>
    </row>
    <row r="216">
      <c r="A216" s="5">
        <f>IFERROR(__xludf.DUMMYFUNCTION("""COMPUTED_VALUE"""),44611.0)</f>
        <v>44611</v>
      </c>
      <c r="B216" s="6" t="str">
        <f>IFERROR(__xludf.DUMMYFUNCTION("""COMPUTED_VALUE"""),"dinner")</f>
        <v>dinner</v>
      </c>
      <c r="C216" s="6" t="str">
        <f>IFERROR(__xludf.DUMMYFUNCTION("""COMPUTED_VALUE"""),"employee B")</f>
        <v>employee B</v>
      </c>
      <c r="D216" s="7">
        <f>IFERROR(__xludf.DUMMYFUNCTION("""COMPUTED_VALUE"""),49.09)</f>
        <v>49.09</v>
      </c>
      <c r="E216" s="6" t="str">
        <f>IFERROR(__xludf.DUMMYFUNCTION("""COMPUTED_VALUE"""),"No")</f>
        <v>No</v>
      </c>
      <c r="F216" s="8" t="str">
        <f>IFERROR(__xludf.DUMMYFUNCTION("""COMPUTED_VALUE"""),"No")</f>
        <v>No</v>
      </c>
    </row>
    <row r="217">
      <c r="A217" s="5">
        <f>IFERROR(__xludf.DUMMYFUNCTION("""COMPUTED_VALUE"""),44611.0)</f>
        <v>44611</v>
      </c>
      <c r="B217" s="6" t="str">
        <f>IFERROR(__xludf.DUMMYFUNCTION("""COMPUTED_VALUE"""),"dinner")</f>
        <v>dinner</v>
      </c>
      <c r="C217" s="6" t="str">
        <f>IFERROR(__xludf.DUMMYFUNCTION("""COMPUTED_VALUE"""),"employee C")</f>
        <v>employee C</v>
      </c>
      <c r="D217" s="7">
        <f>IFERROR(__xludf.DUMMYFUNCTION("""COMPUTED_VALUE"""),63.12)</f>
        <v>63.12</v>
      </c>
      <c r="E217" s="6" t="str">
        <f>IFERROR(__xludf.DUMMYFUNCTION("""COMPUTED_VALUE"""),"No")</f>
        <v>No</v>
      </c>
      <c r="F217" s="8" t="str">
        <f>IFERROR(__xludf.DUMMYFUNCTION("""COMPUTED_VALUE"""),"No")</f>
        <v>No</v>
      </c>
    </row>
    <row r="218">
      <c r="A218" s="5">
        <f>IFERROR(__xludf.DUMMYFUNCTION("""COMPUTED_VALUE"""),44612.0)</f>
        <v>44612</v>
      </c>
      <c r="B218" s="6" t="str">
        <f>IFERROR(__xludf.DUMMYFUNCTION("""COMPUTED_VALUE"""),"lunch")</f>
        <v>lunch</v>
      </c>
      <c r="C218" s="6" t="str">
        <f>IFERROR(__xludf.DUMMYFUNCTION("""COMPUTED_VALUE"""),"employee Q")</f>
        <v>employee Q</v>
      </c>
      <c r="D218" s="7">
        <f>IFERROR(__xludf.DUMMYFUNCTION("""COMPUTED_VALUE"""),28.01)</f>
        <v>28.01</v>
      </c>
      <c r="E218" s="6" t="str">
        <f>IFERROR(__xludf.DUMMYFUNCTION("""COMPUTED_VALUE"""),"No")</f>
        <v>No</v>
      </c>
      <c r="F218" s="8" t="str">
        <f>IFERROR(__xludf.DUMMYFUNCTION("""COMPUTED_VALUE"""),"No")</f>
        <v>No</v>
      </c>
    </row>
    <row r="219">
      <c r="A219" s="5">
        <f>IFERROR(__xludf.DUMMYFUNCTION("""COMPUTED_VALUE"""),44612.0)</f>
        <v>44612</v>
      </c>
      <c r="B219" s="6" t="str">
        <f>IFERROR(__xludf.DUMMYFUNCTION("""COMPUTED_VALUE"""),"lunch")</f>
        <v>lunch</v>
      </c>
      <c r="C219" s="6" t="str">
        <f>IFERROR(__xludf.DUMMYFUNCTION("""COMPUTED_VALUE"""),"employee B")</f>
        <v>employee B</v>
      </c>
      <c r="D219" s="7">
        <f>IFERROR(__xludf.DUMMYFUNCTION("""COMPUTED_VALUE"""),70.05)</f>
        <v>70.05</v>
      </c>
      <c r="E219" s="6" t="str">
        <f>IFERROR(__xludf.DUMMYFUNCTION("""COMPUTED_VALUE"""),"No")</f>
        <v>No</v>
      </c>
      <c r="F219" s="8" t="str">
        <f>IFERROR(__xludf.DUMMYFUNCTION("""COMPUTED_VALUE"""),"No")</f>
        <v>No</v>
      </c>
    </row>
    <row r="220">
      <c r="A220" s="5">
        <f>IFERROR(__xludf.DUMMYFUNCTION("""COMPUTED_VALUE"""),44612.0)</f>
        <v>44612</v>
      </c>
      <c r="B220" s="6" t="str">
        <f>IFERROR(__xludf.DUMMYFUNCTION("""COMPUTED_VALUE"""),"lunch")</f>
        <v>lunch</v>
      </c>
      <c r="C220" s="6" t="str">
        <f>IFERROR(__xludf.DUMMYFUNCTION("""COMPUTED_VALUE"""),"employee C")</f>
        <v>employee C</v>
      </c>
      <c r="D220" s="7">
        <f>IFERROR(__xludf.DUMMYFUNCTION("""COMPUTED_VALUE"""),70.05)</f>
        <v>70.05</v>
      </c>
      <c r="E220" s="6" t="str">
        <f>IFERROR(__xludf.DUMMYFUNCTION("""COMPUTED_VALUE"""),"No")</f>
        <v>No</v>
      </c>
      <c r="F220" s="8" t="str">
        <f>IFERROR(__xludf.DUMMYFUNCTION("""COMPUTED_VALUE"""),"No")</f>
        <v>No</v>
      </c>
    </row>
    <row r="221">
      <c r="A221" s="5">
        <f>IFERROR(__xludf.DUMMYFUNCTION("""COMPUTED_VALUE"""),44612.0)</f>
        <v>44612</v>
      </c>
      <c r="B221" s="6" t="str">
        <f>IFERROR(__xludf.DUMMYFUNCTION("""COMPUTED_VALUE"""),"lunch")</f>
        <v>lunch</v>
      </c>
      <c r="C221" s="6" t="str">
        <f>IFERROR(__xludf.DUMMYFUNCTION("""COMPUTED_VALUE"""),"employee I")</f>
        <v>employee I</v>
      </c>
      <c r="D221" s="7">
        <f>IFERROR(__xludf.DUMMYFUNCTION("""COMPUTED_VALUE"""),70.05)</f>
        <v>70.05</v>
      </c>
      <c r="E221" s="6" t="str">
        <f>IFERROR(__xludf.DUMMYFUNCTION("""COMPUTED_VALUE"""),"No")</f>
        <v>No</v>
      </c>
      <c r="F221" s="8" t="str">
        <f>IFERROR(__xludf.DUMMYFUNCTION("""COMPUTED_VALUE"""),"No")</f>
        <v>No</v>
      </c>
    </row>
    <row r="222">
      <c r="A222" s="5">
        <f>IFERROR(__xludf.DUMMYFUNCTION("""COMPUTED_VALUE"""),44612.0)</f>
        <v>44612</v>
      </c>
      <c r="B222" s="6" t="str">
        <f>IFERROR(__xludf.DUMMYFUNCTION("""COMPUTED_VALUE"""),"dinner")</f>
        <v>dinner</v>
      </c>
      <c r="C222" s="6" t="str">
        <f>IFERROR(__xludf.DUMMYFUNCTION("""COMPUTED_VALUE"""),"employee I")</f>
        <v>employee I</v>
      </c>
      <c r="D222" s="7">
        <f>IFERROR(__xludf.DUMMYFUNCTION("""COMPUTED_VALUE"""),34.37)</f>
        <v>34.37</v>
      </c>
      <c r="E222" s="6" t="str">
        <f>IFERROR(__xludf.DUMMYFUNCTION("""COMPUTED_VALUE"""),"No")</f>
        <v>No</v>
      </c>
      <c r="F222" s="8" t="str">
        <f>IFERROR(__xludf.DUMMYFUNCTION("""COMPUTED_VALUE"""),"No")</f>
        <v>No</v>
      </c>
    </row>
    <row r="223">
      <c r="A223" s="5">
        <f>IFERROR(__xludf.DUMMYFUNCTION("""COMPUTED_VALUE"""),44612.0)</f>
        <v>44612</v>
      </c>
      <c r="B223" s="6" t="str">
        <f>IFERROR(__xludf.DUMMYFUNCTION("""COMPUTED_VALUE"""),"dinner")</f>
        <v>dinner</v>
      </c>
      <c r="C223" s="6" t="str">
        <f>IFERROR(__xludf.DUMMYFUNCTION("""COMPUTED_VALUE"""),"employee B")</f>
        <v>employee B</v>
      </c>
      <c r="D223" s="7">
        <f>IFERROR(__xludf.DUMMYFUNCTION("""COMPUTED_VALUE"""),44.19)</f>
        <v>44.19</v>
      </c>
      <c r="E223" s="6" t="str">
        <f>IFERROR(__xludf.DUMMYFUNCTION("""COMPUTED_VALUE"""),"No")</f>
        <v>No</v>
      </c>
      <c r="F223" s="8" t="str">
        <f>IFERROR(__xludf.DUMMYFUNCTION("""COMPUTED_VALUE"""),"No")</f>
        <v>No</v>
      </c>
    </row>
    <row r="224">
      <c r="A224" s="5">
        <f>IFERROR(__xludf.DUMMYFUNCTION("""COMPUTED_VALUE"""),44612.0)</f>
        <v>44612</v>
      </c>
      <c r="B224" s="6" t="str">
        <f>IFERROR(__xludf.DUMMYFUNCTION("""COMPUTED_VALUE"""),"dinner")</f>
        <v>dinner</v>
      </c>
      <c r="C224" s="6" t="str">
        <f>IFERROR(__xludf.DUMMYFUNCTION("""COMPUTED_VALUE"""),"employee C")</f>
        <v>employee C</v>
      </c>
      <c r="D224" s="7">
        <f>IFERROR(__xludf.DUMMYFUNCTION("""COMPUTED_VALUE"""),19.64)</f>
        <v>19.64</v>
      </c>
      <c r="E224" s="6" t="str">
        <f>IFERROR(__xludf.DUMMYFUNCTION("""COMPUTED_VALUE"""),"No")</f>
        <v>No</v>
      </c>
      <c r="F224" s="8" t="str">
        <f>IFERROR(__xludf.DUMMYFUNCTION("""COMPUTED_VALUE"""),"No")</f>
        <v>No</v>
      </c>
    </row>
    <row r="225">
      <c r="A225" s="5">
        <f>IFERROR(__xludf.DUMMYFUNCTION("""COMPUTED_VALUE"""),44613.0)</f>
        <v>44613</v>
      </c>
      <c r="B225" s="6" t="str">
        <f>IFERROR(__xludf.DUMMYFUNCTION("""COMPUTED_VALUE"""),"lunch")</f>
        <v>lunch</v>
      </c>
      <c r="C225" s="6" t="str">
        <f>IFERROR(__xludf.DUMMYFUNCTION("""COMPUTED_VALUE"""),"employee Q")</f>
        <v>employee Q</v>
      </c>
      <c r="D225" s="7">
        <f>IFERROR(__xludf.DUMMYFUNCTION("""COMPUTED_VALUE"""),138.95)</f>
        <v>138.95</v>
      </c>
      <c r="E225" s="6" t="str">
        <f>IFERROR(__xludf.DUMMYFUNCTION("""COMPUTED_VALUE"""),"No")</f>
        <v>No</v>
      </c>
      <c r="F225" s="8" t="str">
        <f>IFERROR(__xludf.DUMMYFUNCTION("""COMPUTED_VALUE"""),"No")</f>
        <v>No</v>
      </c>
    </row>
    <row r="226">
      <c r="A226" s="5">
        <f>IFERROR(__xludf.DUMMYFUNCTION("""COMPUTED_VALUE"""),44613.0)</f>
        <v>44613</v>
      </c>
      <c r="B226" s="6" t="str">
        <f>IFERROR(__xludf.DUMMYFUNCTION("""COMPUTED_VALUE"""),"lunch")</f>
        <v>lunch</v>
      </c>
      <c r="C226" s="6" t="str">
        <f>IFERROR(__xludf.DUMMYFUNCTION("""COMPUTED_VALUE"""),"employee I")</f>
        <v>employee I</v>
      </c>
      <c r="D226" s="7">
        <f>IFERROR(__xludf.DUMMYFUNCTION("""COMPUTED_VALUE"""),48.63)</f>
        <v>48.63</v>
      </c>
      <c r="E226" s="6" t="str">
        <f>IFERROR(__xludf.DUMMYFUNCTION("""COMPUTED_VALUE"""),"No")</f>
        <v>No</v>
      </c>
      <c r="F226" s="8" t="str">
        <f>IFERROR(__xludf.DUMMYFUNCTION("""COMPUTED_VALUE"""),"No")</f>
        <v>No</v>
      </c>
    </row>
    <row r="227">
      <c r="A227" s="5">
        <f>IFERROR(__xludf.DUMMYFUNCTION("""COMPUTED_VALUE"""),44613.0)</f>
        <v>44613</v>
      </c>
      <c r="B227" s="6" t="str">
        <f>IFERROR(__xludf.DUMMYFUNCTION("""COMPUTED_VALUE"""),"dinner")</f>
        <v>dinner</v>
      </c>
      <c r="C227" s="6" t="str">
        <f>IFERROR(__xludf.DUMMYFUNCTION("""COMPUTED_VALUE"""),"employee Q")</f>
        <v>employee Q</v>
      </c>
      <c r="D227" s="7">
        <f>IFERROR(__xludf.DUMMYFUNCTION("""COMPUTED_VALUE"""),85.96)</f>
        <v>85.96</v>
      </c>
      <c r="E227" s="6" t="str">
        <f>IFERROR(__xludf.DUMMYFUNCTION("""COMPUTED_VALUE"""),"No")</f>
        <v>No</v>
      </c>
      <c r="F227" s="8" t="str">
        <f>IFERROR(__xludf.DUMMYFUNCTION("""COMPUTED_VALUE"""),"No")</f>
        <v>No</v>
      </c>
    </row>
    <row r="228">
      <c r="A228" s="5">
        <f>IFERROR(__xludf.DUMMYFUNCTION("""COMPUTED_VALUE"""),44613.0)</f>
        <v>44613</v>
      </c>
      <c r="B228" s="6" t="str">
        <f>IFERROR(__xludf.DUMMYFUNCTION("""COMPUTED_VALUE"""),"dinner")</f>
        <v>dinner</v>
      </c>
      <c r="C228" s="6" t="str">
        <f>IFERROR(__xludf.DUMMYFUNCTION("""COMPUTED_VALUE"""),"employee I")</f>
        <v>employee I</v>
      </c>
      <c r="D228" s="7">
        <f>IFERROR(__xludf.DUMMYFUNCTION("""COMPUTED_VALUE"""),76.41)</f>
        <v>76.41</v>
      </c>
      <c r="E228" s="6" t="str">
        <f>IFERROR(__xludf.DUMMYFUNCTION("""COMPUTED_VALUE"""),"No")</f>
        <v>No</v>
      </c>
      <c r="F228" s="8" t="str">
        <f>IFERROR(__xludf.DUMMYFUNCTION("""COMPUTED_VALUE"""),"No")</f>
        <v>No</v>
      </c>
    </row>
    <row r="229">
      <c r="A229" s="5">
        <f>IFERROR(__xludf.DUMMYFUNCTION("""COMPUTED_VALUE"""),44613.0)</f>
        <v>44613</v>
      </c>
      <c r="B229" s="6" t="str">
        <f>IFERROR(__xludf.DUMMYFUNCTION("""COMPUTED_VALUE"""),"dinner")</f>
        <v>dinner</v>
      </c>
      <c r="C229" s="6" t="str">
        <f>IFERROR(__xludf.DUMMYFUNCTION("""COMPUTED_VALUE"""),"employee C")</f>
        <v>employee C</v>
      </c>
      <c r="D229" s="7">
        <f>IFERROR(__xludf.DUMMYFUNCTION("""COMPUTED_VALUE"""),38.57)</f>
        <v>38.57</v>
      </c>
      <c r="E229" s="6" t="str">
        <f>IFERROR(__xludf.DUMMYFUNCTION("""COMPUTED_VALUE"""),"No")</f>
        <v>No</v>
      </c>
      <c r="F229" s="8" t="str">
        <f>IFERROR(__xludf.DUMMYFUNCTION("""COMPUTED_VALUE"""),"No")</f>
        <v>No</v>
      </c>
    </row>
    <row r="230">
      <c r="A230" s="5">
        <f>IFERROR(__xludf.DUMMYFUNCTION("""COMPUTED_VALUE"""),44614.0)</f>
        <v>44614</v>
      </c>
      <c r="B230" s="6" t="str">
        <f>IFERROR(__xludf.DUMMYFUNCTION("""COMPUTED_VALUE"""),"lunch")</f>
        <v>lunch</v>
      </c>
      <c r="C230" s="6" t="str">
        <f>IFERROR(__xludf.DUMMYFUNCTION("""COMPUTED_VALUE"""),"employee J")</f>
        <v>employee J</v>
      </c>
      <c r="D230" s="7">
        <f>IFERROR(__xludf.DUMMYFUNCTION("""COMPUTED_VALUE"""),41.94)</f>
        <v>41.94</v>
      </c>
      <c r="E230" s="6" t="str">
        <f>IFERROR(__xludf.DUMMYFUNCTION("""COMPUTED_VALUE"""),"No")</f>
        <v>No</v>
      </c>
      <c r="F230" s="8" t="str">
        <f>IFERROR(__xludf.DUMMYFUNCTION("""COMPUTED_VALUE"""),"No")</f>
        <v>No</v>
      </c>
    </row>
    <row r="231">
      <c r="A231" s="5">
        <f>IFERROR(__xludf.DUMMYFUNCTION("""COMPUTED_VALUE"""),44614.0)</f>
        <v>44614</v>
      </c>
      <c r="B231" s="6" t="str">
        <f>IFERROR(__xludf.DUMMYFUNCTION("""COMPUTED_VALUE"""),"dinner")</f>
        <v>dinner</v>
      </c>
      <c r="C231" s="6" t="str">
        <f>IFERROR(__xludf.DUMMYFUNCTION("""COMPUTED_VALUE"""),"employee Q")</f>
        <v>employee Q</v>
      </c>
      <c r="D231" s="7">
        <f>IFERROR(__xludf.DUMMYFUNCTION("""COMPUTED_VALUE"""),44.04)</f>
        <v>44.04</v>
      </c>
      <c r="E231" s="6" t="str">
        <f>IFERROR(__xludf.DUMMYFUNCTION("""COMPUTED_VALUE"""),"No")</f>
        <v>No</v>
      </c>
      <c r="F231" s="8" t="str">
        <f>IFERROR(__xludf.DUMMYFUNCTION("""COMPUTED_VALUE"""),"No")</f>
        <v>No</v>
      </c>
    </row>
    <row r="232">
      <c r="A232" s="5">
        <f>IFERROR(__xludf.DUMMYFUNCTION("""COMPUTED_VALUE"""),44614.0)</f>
        <v>44614</v>
      </c>
      <c r="B232" s="6" t="str">
        <f>IFERROR(__xludf.DUMMYFUNCTION("""COMPUTED_VALUE"""),"dinner")</f>
        <v>dinner</v>
      </c>
      <c r="C232" s="6" t="str">
        <f>IFERROR(__xludf.DUMMYFUNCTION("""COMPUTED_VALUE"""),"employee C")</f>
        <v>employee C</v>
      </c>
      <c r="D232" s="7">
        <f>IFERROR(__xludf.DUMMYFUNCTION("""COMPUTED_VALUE"""),19.57)</f>
        <v>19.57</v>
      </c>
      <c r="E232" s="6" t="str">
        <f>IFERROR(__xludf.DUMMYFUNCTION("""COMPUTED_VALUE"""),"No")</f>
        <v>No</v>
      </c>
      <c r="F232" s="8" t="str">
        <f>IFERROR(__xludf.DUMMYFUNCTION("""COMPUTED_VALUE"""),"No")</f>
        <v>No</v>
      </c>
    </row>
    <row r="233">
      <c r="A233" s="5">
        <f>IFERROR(__xludf.DUMMYFUNCTION("""COMPUTED_VALUE"""),44614.0)</f>
        <v>44614</v>
      </c>
      <c r="B233" s="6" t="str">
        <f>IFERROR(__xludf.DUMMYFUNCTION("""COMPUTED_VALUE"""),"dinner")</f>
        <v>dinner</v>
      </c>
      <c r="C233" s="6" t="str">
        <f>IFERROR(__xludf.DUMMYFUNCTION("""COMPUTED_VALUE"""),"employee I")</f>
        <v>employee I</v>
      </c>
      <c r="D233" s="7">
        <f>IFERROR(__xludf.DUMMYFUNCTION("""COMPUTED_VALUE"""),29.36)</f>
        <v>29.36</v>
      </c>
      <c r="E233" s="6" t="str">
        <f>IFERROR(__xludf.DUMMYFUNCTION("""COMPUTED_VALUE"""),"No")</f>
        <v>No</v>
      </c>
      <c r="F233" s="8" t="str">
        <f>IFERROR(__xludf.DUMMYFUNCTION("""COMPUTED_VALUE"""),"No")</f>
        <v>No</v>
      </c>
    </row>
    <row r="234">
      <c r="A234" s="5">
        <f>IFERROR(__xludf.DUMMYFUNCTION("""COMPUTED_VALUE"""),44615.0)</f>
        <v>44615</v>
      </c>
      <c r="B234" s="6" t="str">
        <f>IFERROR(__xludf.DUMMYFUNCTION("""COMPUTED_VALUE"""),"lunch")</f>
        <v>lunch</v>
      </c>
      <c r="C234" s="6" t="str">
        <f>IFERROR(__xludf.DUMMYFUNCTION("""COMPUTED_VALUE"""),"employee Q")</f>
        <v>employee Q</v>
      </c>
      <c r="D234" s="7">
        <f>IFERROR(__xludf.DUMMYFUNCTION("""COMPUTED_VALUE"""),96.45)</f>
        <v>96.45</v>
      </c>
      <c r="E234" s="6" t="str">
        <f>IFERROR(__xludf.DUMMYFUNCTION("""COMPUTED_VALUE"""),"No")</f>
        <v>No</v>
      </c>
      <c r="F234" s="8" t="str">
        <f>IFERROR(__xludf.DUMMYFUNCTION("""COMPUTED_VALUE"""),"No")</f>
        <v>No</v>
      </c>
    </row>
    <row r="235">
      <c r="A235" s="5">
        <f>IFERROR(__xludf.DUMMYFUNCTION("""COMPUTED_VALUE"""),44615.0)</f>
        <v>44615</v>
      </c>
      <c r="B235" s="6" t="str">
        <f>IFERROR(__xludf.DUMMYFUNCTION("""COMPUTED_VALUE"""),"lunch")</f>
        <v>lunch</v>
      </c>
      <c r="C235" s="6" t="str">
        <f>IFERROR(__xludf.DUMMYFUNCTION("""COMPUTED_VALUE"""),"employee B")</f>
        <v>employee B</v>
      </c>
      <c r="D235" s="7">
        <f>IFERROR(__xludf.DUMMYFUNCTION("""COMPUTED_VALUE"""),19.29)</f>
        <v>19.29</v>
      </c>
      <c r="E235" s="6" t="str">
        <f>IFERROR(__xludf.DUMMYFUNCTION("""COMPUTED_VALUE"""),"No")</f>
        <v>No</v>
      </c>
      <c r="F235" s="8" t="str">
        <f>IFERROR(__xludf.DUMMYFUNCTION("""COMPUTED_VALUE"""),"No")</f>
        <v>No</v>
      </c>
    </row>
    <row r="236">
      <c r="A236" s="5">
        <f>IFERROR(__xludf.DUMMYFUNCTION("""COMPUTED_VALUE"""),44615.0)</f>
        <v>44615</v>
      </c>
      <c r="B236" s="6" t="str">
        <f>IFERROR(__xludf.DUMMYFUNCTION("""COMPUTED_VALUE"""),"dinner")</f>
        <v>dinner</v>
      </c>
      <c r="C236" s="6" t="str">
        <f>IFERROR(__xludf.DUMMYFUNCTION("""COMPUTED_VALUE"""),"employee Q")</f>
        <v>employee Q</v>
      </c>
      <c r="D236" s="7">
        <f>IFERROR(__xludf.DUMMYFUNCTION("""COMPUTED_VALUE"""),37.88)</f>
        <v>37.88</v>
      </c>
      <c r="E236" s="6" t="str">
        <f>IFERROR(__xludf.DUMMYFUNCTION("""COMPUTED_VALUE"""),"No")</f>
        <v>No</v>
      </c>
      <c r="F236" s="8" t="str">
        <f>IFERROR(__xludf.DUMMYFUNCTION("""COMPUTED_VALUE"""),"No")</f>
        <v>No</v>
      </c>
    </row>
    <row r="237">
      <c r="A237" s="5">
        <f>IFERROR(__xludf.DUMMYFUNCTION("""COMPUTED_VALUE"""),44615.0)</f>
        <v>44615</v>
      </c>
      <c r="B237" s="6" t="str">
        <f>IFERROR(__xludf.DUMMYFUNCTION("""COMPUTED_VALUE"""),"dinner")</f>
        <v>dinner</v>
      </c>
      <c r="C237" s="6" t="str">
        <f>IFERROR(__xludf.DUMMYFUNCTION("""COMPUTED_VALUE"""),"employee C")</f>
        <v>employee C</v>
      </c>
      <c r="D237" s="7">
        <f>IFERROR(__xludf.DUMMYFUNCTION("""COMPUTED_VALUE"""),27.36)</f>
        <v>27.36</v>
      </c>
      <c r="E237" s="6" t="str">
        <f>IFERROR(__xludf.DUMMYFUNCTION("""COMPUTED_VALUE"""),"No")</f>
        <v>No</v>
      </c>
      <c r="F237" s="8" t="str">
        <f>IFERROR(__xludf.DUMMYFUNCTION("""COMPUTED_VALUE"""),"No")</f>
        <v>No</v>
      </c>
    </row>
    <row r="238">
      <c r="A238" s="5">
        <f>IFERROR(__xludf.DUMMYFUNCTION("""COMPUTED_VALUE"""),44615.0)</f>
        <v>44615</v>
      </c>
      <c r="B238" s="6" t="str">
        <f>IFERROR(__xludf.DUMMYFUNCTION("""COMPUTED_VALUE"""),"dinner")</f>
        <v>dinner</v>
      </c>
      <c r="C238" s="6" t="str">
        <f>IFERROR(__xludf.DUMMYFUNCTION("""COMPUTED_VALUE"""),"employee I")</f>
        <v>employee I</v>
      </c>
      <c r="D238" s="7">
        <f>IFERROR(__xludf.DUMMYFUNCTION("""COMPUTED_VALUE"""),31.57)</f>
        <v>31.57</v>
      </c>
      <c r="E238" s="6" t="str">
        <f>IFERROR(__xludf.DUMMYFUNCTION("""COMPUTED_VALUE"""),"No")</f>
        <v>No</v>
      </c>
      <c r="F238" s="8" t="str">
        <f>IFERROR(__xludf.DUMMYFUNCTION("""COMPUTED_VALUE"""),"No")</f>
        <v>No</v>
      </c>
    </row>
    <row r="239">
      <c r="A239" s="5">
        <f>IFERROR(__xludf.DUMMYFUNCTION("""COMPUTED_VALUE"""),44616.0)</f>
        <v>44616</v>
      </c>
      <c r="B239" s="6" t="str">
        <f>IFERROR(__xludf.DUMMYFUNCTION("""COMPUTED_VALUE"""),"lunch")</f>
        <v>lunch</v>
      </c>
      <c r="C239" s="6" t="str">
        <f>IFERROR(__xludf.DUMMYFUNCTION("""COMPUTED_VALUE"""),"employee J")</f>
        <v>employee J</v>
      </c>
      <c r="D239" s="7">
        <f>IFERROR(__xludf.DUMMYFUNCTION("""COMPUTED_VALUE"""),100.24)</f>
        <v>100.24</v>
      </c>
      <c r="E239" s="6" t="str">
        <f>IFERROR(__xludf.DUMMYFUNCTION("""COMPUTED_VALUE"""),"No")</f>
        <v>No</v>
      </c>
      <c r="F239" s="8" t="str">
        <f>IFERROR(__xludf.DUMMYFUNCTION("""COMPUTED_VALUE"""),"No")</f>
        <v>No</v>
      </c>
    </row>
    <row r="240">
      <c r="A240" s="5">
        <f>IFERROR(__xludf.DUMMYFUNCTION("""COMPUTED_VALUE"""),44616.0)</f>
        <v>44616</v>
      </c>
      <c r="B240" s="6" t="str">
        <f>IFERROR(__xludf.DUMMYFUNCTION("""COMPUTED_VALUE"""),"dinner")</f>
        <v>dinner</v>
      </c>
      <c r="C240" s="6" t="str">
        <f>IFERROR(__xludf.DUMMYFUNCTION("""COMPUTED_VALUE"""),"employee J")</f>
        <v>employee J</v>
      </c>
      <c r="D240" s="7">
        <f>IFERROR(__xludf.DUMMYFUNCTION("""COMPUTED_VALUE"""),59.12)</f>
        <v>59.12</v>
      </c>
      <c r="E240" s="6" t="str">
        <f>IFERROR(__xludf.DUMMYFUNCTION("""COMPUTED_VALUE"""),"No")</f>
        <v>No</v>
      </c>
      <c r="F240" s="8" t="str">
        <f>IFERROR(__xludf.DUMMYFUNCTION("""COMPUTED_VALUE"""),"No")</f>
        <v>No</v>
      </c>
    </row>
    <row r="241">
      <c r="A241" s="5">
        <f>IFERROR(__xludf.DUMMYFUNCTION("""COMPUTED_VALUE"""),44616.0)</f>
        <v>44616</v>
      </c>
      <c r="B241" s="6" t="str">
        <f>IFERROR(__xludf.DUMMYFUNCTION("""COMPUTED_VALUE"""),"dinner")</f>
        <v>dinner</v>
      </c>
      <c r="C241" s="6" t="str">
        <f>IFERROR(__xludf.DUMMYFUNCTION("""COMPUTED_VALUE"""),"employee C")</f>
        <v>employee C</v>
      </c>
      <c r="D241" s="7">
        <f>IFERROR(__xludf.DUMMYFUNCTION("""COMPUTED_VALUE"""),39.41)</f>
        <v>39.41</v>
      </c>
      <c r="E241" s="6" t="str">
        <f>IFERROR(__xludf.DUMMYFUNCTION("""COMPUTED_VALUE"""),"No")</f>
        <v>No</v>
      </c>
      <c r="F241" s="8" t="str">
        <f>IFERROR(__xludf.DUMMYFUNCTION("""COMPUTED_VALUE"""),"No")</f>
        <v>No</v>
      </c>
    </row>
    <row r="242">
      <c r="A242" s="5">
        <f>IFERROR(__xludf.DUMMYFUNCTION("""COMPUTED_VALUE"""),44616.0)</f>
        <v>44616</v>
      </c>
      <c r="B242" s="6" t="str">
        <f>IFERROR(__xludf.DUMMYFUNCTION("""COMPUTED_VALUE"""),"dinner")</f>
        <v>dinner</v>
      </c>
      <c r="C242" s="6" t="str">
        <f>IFERROR(__xludf.DUMMYFUNCTION("""COMPUTED_VALUE"""),"employee I")</f>
        <v>employee I</v>
      </c>
      <c r="D242" s="7">
        <f>IFERROR(__xludf.DUMMYFUNCTION("""COMPUTED_VALUE"""),32.84)</f>
        <v>32.84</v>
      </c>
      <c r="E242" s="6" t="str">
        <f>IFERROR(__xludf.DUMMYFUNCTION("""COMPUTED_VALUE"""),"No")</f>
        <v>No</v>
      </c>
      <c r="F242" s="8" t="str">
        <f>IFERROR(__xludf.DUMMYFUNCTION("""COMPUTED_VALUE"""),"No")</f>
        <v>No</v>
      </c>
    </row>
    <row r="243">
      <c r="A243" s="5">
        <f>IFERROR(__xludf.DUMMYFUNCTION("""COMPUTED_VALUE"""),44617.0)</f>
        <v>44617</v>
      </c>
      <c r="B243" s="6" t="str">
        <f>IFERROR(__xludf.DUMMYFUNCTION("""COMPUTED_VALUE"""),"lunch")</f>
        <v>lunch</v>
      </c>
      <c r="C243" s="6" t="str">
        <f>IFERROR(__xludf.DUMMYFUNCTION("""COMPUTED_VALUE"""),"employee J")</f>
        <v>employee J</v>
      </c>
      <c r="D243" s="7">
        <f>IFERROR(__xludf.DUMMYFUNCTION("""COMPUTED_VALUE"""),58.54)</f>
        <v>58.54</v>
      </c>
      <c r="E243" s="6" t="str">
        <f>IFERROR(__xludf.DUMMYFUNCTION("""COMPUTED_VALUE"""),"No")</f>
        <v>No</v>
      </c>
      <c r="F243" s="8" t="str">
        <f>IFERROR(__xludf.DUMMYFUNCTION("""COMPUTED_VALUE"""),"No")</f>
        <v>No</v>
      </c>
    </row>
    <row r="244">
      <c r="A244" s="5">
        <f>IFERROR(__xludf.DUMMYFUNCTION("""COMPUTED_VALUE"""),44617.0)</f>
        <v>44617</v>
      </c>
      <c r="B244" s="6" t="str">
        <f>IFERROR(__xludf.DUMMYFUNCTION("""COMPUTED_VALUE"""),"lunch")</f>
        <v>lunch</v>
      </c>
      <c r="C244" s="6" t="str">
        <f>IFERROR(__xludf.DUMMYFUNCTION("""COMPUTED_VALUE"""),"employee B")</f>
        <v>employee B</v>
      </c>
      <c r="D244" s="7">
        <f>IFERROR(__xludf.DUMMYFUNCTION("""COMPUTED_VALUE"""),25.1)</f>
        <v>25.1</v>
      </c>
      <c r="E244" s="6" t="str">
        <f>IFERROR(__xludf.DUMMYFUNCTION("""COMPUTED_VALUE"""),"No")</f>
        <v>No</v>
      </c>
      <c r="F244" s="8" t="str">
        <f>IFERROR(__xludf.DUMMYFUNCTION("""COMPUTED_VALUE"""),"No")</f>
        <v>No</v>
      </c>
    </row>
    <row r="245">
      <c r="A245" s="5">
        <f>IFERROR(__xludf.DUMMYFUNCTION("""COMPUTED_VALUE"""),44617.0)</f>
        <v>44617</v>
      </c>
      <c r="B245" s="6" t="str">
        <f>IFERROR(__xludf.DUMMYFUNCTION("""COMPUTED_VALUE"""),"dinner")</f>
        <v>dinner</v>
      </c>
      <c r="C245" s="6" t="str">
        <f>IFERROR(__xludf.DUMMYFUNCTION("""COMPUTED_VALUE"""),"employee J")</f>
        <v>employee J</v>
      </c>
      <c r="D245" s="7">
        <f>IFERROR(__xludf.DUMMYFUNCTION("""COMPUTED_VALUE"""),47.95)</f>
        <v>47.95</v>
      </c>
      <c r="E245" s="6" t="str">
        <f>IFERROR(__xludf.DUMMYFUNCTION("""COMPUTED_VALUE"""),"No")</f>
        <v>No</v>
      </c>
      <c r="F245" s="8" t="str">
        <f>IFERROR(__xludf.DUMMYFUNCTION("""COMPUTED_VALUE"""),"No")</f>
        <v>No</v>
      </c>
    </row>
    <row r="246">
      <c r="A246" s="5">
        <f>IFERROR(__xludf.DUMMYFUNCTION("""COMPUTED_VALUE"""),44617.0)</f>
        <v>44617</v>
      </c>
      <c r="B246" s="6" t="str">
        <f>IFERROR(__xludf.DUMMYFUNCTION("""COMPUTED_VALUE"""),"dinner")</f>
        <v>dinner</v>
      </c>
      <c r="C246" s="6" t="str">
        <f>IFERROR(__xludf.DUMMYFUNCTION("""COMPUTED_VALUE"""),"employee B")</f>
        <v>employee B</v>
      </c>
      <c r="D246" s="7">
        <f>IFERROR(__xludf.DUMMYFUNCTION("""COMPUTED_VALUE"""),55.94)</f>
        <v>55.94</v>
      </c>
      <c r="E246" s="6" t="str">
        <f>IFERROR(__xludf.DUMMYFUNCTION("""COMPUTED_VALUE"""),"No")</f>
        <v>No</v>
      </c>
      <c r="F246" s="8" t="str">
        <f>IFERROR(__xludf.DUMMYFUNCTION("""COMPUTED_VALUE"""),"No")</f>
        <v>No</v>
      </c>
    </row>
    <row r="247">
      <c r="A247" s="5">
        <f>IFERROR(__xludf.DUMMYFUNCTION("""COMPUTED_VALUE"""),44617.0)</f>
        <v>44617</v>
      </c>
      <c r="B247" s="6" t="str">
        <f>IFERROR(__xludf.DUMMYFUNCTION("""COMPUTED_VALUE"""),"dinner")</f>
        <v>dinner</v>
      </c>
      <c r="C247" s="6" t="str">
        <f>IFERROR(__xludf.DUMMYFUNCTION("""COMPUTED_VALUE"""),"employee I")</f>
        <v>employee I</v>
      </c>
      <c r="D247" s="7">
        <f>IFERROR(__xludf.DUMMYFUNCTION("""COMPUTED_VALUE"""),63.93)</f>
        <v>63.93</v>
      </c>
      <c r="E247" s="6" t="str">
        <f>IFERROR(__xludf.DUMMYFUNCTION("""COMPUTED_VALUE"""),"No")</f>
        <v>No</v>
      </c>
      <c r="F247" s="8" t="str">
        <f>IFERROR(__xludf.DUMMYFUNCTION("""COMPUTED_VALUE"""),"No")</f>
        <v>No</v>
      </c>
    </row>
    <row r="248">
      <c r="A248" s="5">
        <f>IFERROR(__xludf.DUMMYFUNCTION("""COMPUTED_VALUE"""),44618.0)</f>
        <v>44618</v>
      </c>
      <c r="B248" s="6" t="str">
        <f>IFERROR(__xludf.DUMMYFUNCTION("""COMPUTED_VALUE"""),"lunch")</f>
        <v>lunch</v>
      </c>
      <c r="C248" s="6" t="str">
        <f>IFERROR(__xludf.DUMMYFUNCTION("""COMPUTED_VALUE"""),"employee B")</f>
        <v>employee B</v>
      </c>
      <c r="D248" s="7">
        <f>IFERROR(__xludf.DUMMYFUNCTION("""COMPUTED_VALUE"""),90.93)</f>
        <v>90.93</v>
      </c>
      <c r="E248" s="6" t="str">
        <f>IFERROR(__xludf.DUMMYFUNCTION("""COMPUTED_VALUE"""),"No")</f>
        <v>No</v>
      </c>
      <c r="F248" s="8" t="str">
        <f>IFERROR(__xludf.DUMMYFUNCTION("""COMPUTED_VALUE"""),"No")</f>
        <v>No</v>
      </c>
    </row>
    <row r="249">
      <c r="A249" s="5">
        <f>IFERROR(__xludf.DUMMYFUNCTION("""COMPUTED_VALUE"""),44618.0)</f>
        <v>44618</v>
      </c>
      <c r="B249" s="6" t="str">
        <f>IFERROR(__xludf.DUMMYFUNCTION("""COMPUTED_VALUE"""),"lunch")</f>
        <v>lunch</v>
      </c>
      <c r="C249" s="6" t="str">
        <f>IFERROR(__xludf.DUMMYFUNCTION("""COMPUTED_VALUE"""),"employee C")</f>
        <v>employee C</v>
      </c>
      <c r="D249" s="7">
        <f>IFERROR(__xludf.DUMMYFUNCTION("""COMPUTED_VALUE"""),77.94)</f>
        <v>77.94</v>
      </c>
      <c r="E249" s="6" t="str">
        <f>IFERROR(__xludf.DUMMYFUNCTION("""COMPUTED_VALUE"""),"No")</f>
        <v>No</v>
      </c>
      <c r="F249" s="8" t="str">
        <f>IFERROR(__xludf.DUMMYFUNCTION("""COMPUTED_VALUE"""),"No")</f>
        <v>No</v>
      </c>
    </row>
    <row r="250">
      <c r="A250" s="5">
        <f>IFERROR(__xludf.DUMMYFUNCTION("""COMPUTED_VALUE"""),44618.0)</f>
        <v>44618</v>
      </c>
      <c r="B250" s="6" t="str">
        <f>IFERROR(__xludf.DUMMYFUNCTION("""COMPUTED_VALUE"""),"lunch")</f>
        <v>lunch</v>
      </c>
      <c r="C250" s="6" t="str">
        <f>IFERROR(__xludf.DUMMYFUNCTION("""COMPUTED_VALUE"""),"employee K")</f>
        <v>employee K</v>
      </c>
      <c r="D250" s="7">
        <f>IFERROR(__xludf.DUMMYFUNCTION("""COMPUTED_VALUE"""),65.02)</f>
        <v>65.02</v>
      </c>
      <c r="E250" s="6" t="str">
        <f>IFERROR(__xludf.DUMMYFUNCTION("""COMPUTED_VALUE"""),"No")</f>
        <v>No</v>
      </c>
      <c r="F250" s="8" t="str">
        <f>IFERROR(__xludf.DUMMYFUNCTION("""COMPUTED_VALUE"""),"No")</f>
        <v>No</v>
      </c>
    </row>
    <row r="251">
      <c r="A251" s="5">
        <f>IFERROR(__xludf.DUMMYFUNCTION("""COMPUTED_VALUE"""),44618.0)</f>
        <v>44618</v>
      </c>
      <c r="B251" s="6" t="str">
        <f>IFERROR(__xludf.DUMMYFUNCTION("""COMPUTED_VALUE"""),"dinner")</f>
        <v>dinner</v>
      </c>
      <c r="C251" s="6" t="str">
        <f>IFERROR(__xludf.DUMMYFUNCTION("""COMPUTED_VALUE"""),"employee J")</f>
        <v>employee J</v>
      </c>
      <c r="D251" s="7">
        <f>IFERROR(__xludf.DUMMYFUNCTION("""COMPUTED_VALUE"""),77.16)</f>
        <v>77.16</v>
      </c>
      <c r="E251" s="6" t="str">
        <f>IFERROR(__xludf.DUMMYFUNCTION("""COMPUTED_VALUE"""),"No")</f>
        <v>No</v>
      </c>
      <c r="F251" s="8" t="str">
        <f>IFERROR(__xludf.DUMMYFUNCTION("""COMPUTED_VALUE"""),"No")</f>
        <v>No</v>
      </c>
    </row>
    <row r="252">
      <c r="A252" s="5">
        <f>IFERROR(__xludf.DUMMYFUNCTION("""COMPUTED_VALUE"""),44618.0)</f>
        <v>44618</v>
      </c>
      <c r="B252" s="6" t="str">
        <f>IFERROR(__xludf.DUMMYFUNCTION("""COMPUTED_VALUE"""),"dinner")</f>
        <v>dinner</v>
      </c>
      <c r="C252" s="6" t="str">
        <f>IFERROR(__xludf.DUMMYFUNCTION("""COMPUTED_VALUE"""),"employee E")</f>
        <v>employee E</v>
      </c>
      <c r="D252" s="7">
        <f>IFERROR(__xludf.DUMMYFUNCTION("""COMPUTED_VALUE"""),77.16)</f>
        <v>77.16</v>
      </c>
      <c r="E252" s="6" t="str">
        <f>IFERROR(__xludf.DUMMYFUNCTION("""COMPUTED_VALUE"""),"No")</f>
        <v>No</v>
      </c>
      <c r="F252" s="8" t="str">
        <f>IFERROR(__xludf.DUMMYFUNCTION("""COMPUTED_VALUE"""),"No")</f>
        <v>No</v>
      </c>
    </row>
    <row r="253">
      <c r="A253" s="5">
        <f>IFERROR(__xludf.DUMMYFUNCTION("""COMPUTED_VALUE"""),44618.0)</f>
        <v>44618</v>
      </c>
      <c r="B253" s="6" t="str">
        <f>IFERROR(__xludf.DUMMYFUNCTION("""COMPUTED_VALUE"""),"dinner")</f>
        <v>dinner</v>
      </c>
      <c r="C253" s="6" t="str">
        <f>IFERROR(__xludf.DUMMYFUNCTION("""COMPUTED_VALUE"""),"employee K")</f>
        <v>employee K</v>
      </c>
      <c r="D253" s="7">
        <f>IFERROR(__xludf.DUMMYFUNCTION("""COMPUTED_VALUE"""),77.16)</f>
        <v>77.16</v>
      </c>
      <c r="E253" s="6" t="str">
        <f>IFERROR(__xludf.DUMMYFUNCTION("""COMPUTED_VALUE"""),"No")</f>
        <v>No</v>
      </c>
      <c r="F253" s="8" t="str">
        <f>IFERROR(__xludf.DUMMYFUNCTION("""COMPUTED_VALUE"""),"No")</f>
        <v>No</v>
      </c>
    </row>
    <row r="254">
      <c r="A254" s="5">
        <f>IFERROR(__xludf.DUMMYFUNCTION("""COMPUTED_VALUE"""),44619.0)</f>
        <v>44619</v>
      </c>
      <c r="B254" s="6" t="str">
        <f>IFERROR(__xludf.DUMMYFUNCTION("""COMPUTED_VALUE"""),"lunch")</f>
        <v>lunch</v>
      </c>
      <c r="C254" s="6" t="str">
        <f>IFERROR(__xludf.DUMMYFUNCTION("""COMPUTED_VALUE"""),"employee J")</f>
        <v>employee J</v>
      </c>
      <c r="D254" s="7">
        <f>IFERROR(__xludf.DUMMYFUNCTION("""COMPUTED_VALUE"""),106.76)</f>
        <v>106.76</v>
      </c>
      <c r="E254" s="6" t="str">
        <f>IFERROR(__xludf.DUMMYFUNCTION("""COMPUTED_VALUE"""),"No")</f>
        <v>No</v>
      </c>
      <c r="F254" s="8" t="str">
        <f>IFERROR(__xludf.DUMMYFUNCTION("""COMPUTED_VALUE"""),"No")</f>
        <v>No</v>
      </c>
    </row>
    <row r="255">
      <c r="A255" s="5">
        <f>IFERROR(__xludf.DUMMYFUNCTION("""COMPUTED_VALUE"""),44619.0)</f>
        <v>44619</v>
      </c>
      <c r="B255" s="6" t="str">
        <f>IFERROR(__xludf.DUMMYFUNCTION("""COMPUTED_VALUE"""),"lunch")</f>
        <v>lunch</v>
      </c>
      <c r="C255" s="6" t="str">
        <f>IFERROR(__xludf.DUMMYFUNCTION("""COMPUTED_VALUE"""),"employee K")</f>
        <v>employee K</v>
      </c>
      <c r="D255" s="7">
        <f>IFERROR(__xludf.DUMMYFUNCTION("""COMPUTED_VALUE"""),68.63)</f>
        <v>68.63</v>
      </c>
      <c r="E255" s="6" t="str">
        <f>IFERROR(__xludf.DUMMYFUNCTION("""COMPUTED_VALUE"""),"No")</f>
        <v>No</v>
      </c>
      <c r="F255" s="8" t="str">
        <f>IFERROR(__xludf.DUMMYFUNCTION("""COMPUTED_VALUE"""),"No")</f>
        <v>No</v>
      </c>
    </row>
    <row r="256">
      <c r="A256" s="5">
        <f>IFERROR(__xludf.DUMMYFUNCTION("""COMPUTED_VALUE"""),44619.0)</f>
        <v>44619</v>
      </c>
      <c r="B256" s="6" t="str">
        <f>IFERROR(__xludf.DUMMYFUNCTION("""COMPUTED_VALUE"""),"lunch")</f>
        <v>lunch</v>
      </c>
      <c r="C256" s="6" t="str">
        <f>IFERROR(__xludf.DUMMYFUNCTION("""COMPUTED_VALUE"""),"employee B")</f>
        <v>employee B</v>
      </c>
      <c r="D256" s="7">
        <f>IFERROR(__xludf.DUMMYFUNCTION("""COMPUTED_VALUE"""),38.12)</f>
        <v>38.12</v>
      </c>
      <c r="E256" s="6" t="str">
        <f>IFERROR(__xludf.DUMMYFUNCTION("""COMPUTED_VALUE"""),"No")</f>
        <v>No</v>
      </c>
      <c r="F256" s="8" t="str">
        <f>IFERROR(__xludf.DUMMYFUNCTION("""COMPUTED_VALUE"""),"No")</f>
        <v>No</v>
      </c>
    </row>
    <row r="257">
      <c r="A257" s="5">
        <f>IFERROR(__xludf.DUMMYFUNCTION("""COMPUTED_VALUE"""),44619.0)</f>
        <v>44619</v>
      </c>
      <c r="B257" s="6" t="str">
        <f>IFERROR(__xludf.DUMMYFUNCTION("""COMPUTED_VALUE"""),"dinner")</f>
        <v>dinner</v>
      </c>
      <c r="C257" s="6" t="str">
        <f>IFERROR(__xludf.DUMMYFUNCTION("""COMPUTED_VALUE"""),"employee B")</f>
        <v>employee B</v>
      </c>
      <c r="D257" s="7">
        <f>IFERROR(__xludf.DUMMYFUNCTION("""COMPUTED_VALUE"""),36.17)</f>
        <v>36.17</v>
      </c>
      <c r="E257" s="6" t="str">
        <f>IFERROR(__xludf.DUMMYFUNCTION("""COMPUTED_VALUE"""),"No")</f>
        <v>No</v>
      </c>
      <c r="F257" s="8" t="str">
        <f>IFERROR(__xludf.DUMMYFUNCTION("""COMPUTED_VALUE"""),"No")</f>
        <v>No</v>
      </c>
    </row>
    <row r="258">
      <c r="A258" s="5">
        <f>IFERROR(__xludf.DUMMYFUNCTION("""COMPUTED_VALUE"""),44619.0)</f>
        <v>44619</v>
      </c>
      <c r="B258" s="6" t="str">
        <f>IFERROR(__xludf.DUMMYFUNCTION("""COMPUTED_VALUE"""),"dinner")</f>
        <v>dinner</v>
      </c>
      <c r="C258" s="6" t="str">
        <f>IFERROR(__xludf.DUMMYFUNCTION("""COMPUTED_VALUE"""),"employee E")</f>
        <v>employee E</v>
      </c>
      <c r="D258" s="7">
        <f>IFERROR(__xludf.DUMMYFUNCTION("""COMPUTED_VALUE"""),54.26)</f>
        <v>54.26</v>
      </c>
      <c r="E258" s="6" t="str">
        <f>IFERROR(__xludf.DUMMYFUNCTION("""COMPUTED_VALUE"""),"No")</f>
        <v>No</v>
      </c>
      <c r="F258" s="8" t="str">
        <f>IFERROR(__xludf.DUMMYFUNCTION("""COMPUTED_VALUE"""),"No")</f>
        <v>No</v>
      </c>
    </row>
    <row r="259">
      <c r="A259" s="5">
        <f>IFERROR(__xludf.DUMMYFUNCTION("""COMPUTED_VALUE"""),44619.0)</f>
        <v>44619</v>
      </c>
      <c r="B259" s="6" t="str">
        <f>IFERROR(__xludf.DUMMYFUNCTION("""COMPUTED_VALUE"""),"dinner")</f>
        <v>dinner</v>
      </c>
      <c r="C259" s="6" t="str">
        <f>IFERROR(__xludf.DUMMYFUNCTION("""COMPUTED_VALUE"""),"employee C")</f>
        <v>employee C</v>
      </c>
      <c r="D259" s="7">
        <f>IFERROR(__xludf.DUMMYFUNCTION("""COMPUTED_VALUE"""),54.26)</f>
        <v>54.26</v>
      </c>
      <c r="E259" s="6" t="str">
        <f>IFERROR(__xludf.DUMMYFUNCTION("""COMPUTED_VALUE"""),"No")</f>
        <v>No</v>
      </c>
      <c r="F259" s="8" t="str">
        <f>IFERROR(__xludf.DUMMYFUNCTION("""COMPUTED_VALUE"""),"No")</f>
        <v>No</v>
      </c>
    </row>
    <row r="260">
      <c r="A260" s="5">
        <f>IFERROR(__xludf.DUMMYFUNCTION("""COMPUTED_VALUE"""),44620.0)</f>
        <v>44620</v>
      </c>
      <c r="B260" s="6" t="str">
        <f>IFERROR(__xludf.DUMMYFUNCTION("""COMPUTED_VALUE"""),"lunch")</f>
        <v>lunch</v>
      </c>
      <c r="C260" s="6" t="str">
        <f>IFERROR(__xludf.DUMMYFUNCTION("""COMPUTED_VALUE"""),"employee J")</f>
        <v>employee J</v>
      </c>
      <c r="D260" s="7">
        <f>IFERROR(__xludf.DUMMYFUNCTION("""COMPUTED_VALUE"""),107.55)</f>
        <v>107.55</v>
      </c>
      <c r="E260" s="6" t="str">
        <f>IFERROR(__xludf.DUMMYFUNCTION("""COMPUTED_VALUE"""),"No")</f>
        <v>No</v>
      </c>
      <c r="F260" s="8" t="str">
        <f>IFERROR(__xludf.DUMMYFUNCTION("""COMPUTED_VALUE"""),"No")</f>
        <v>No</v>
      </c>
    </row>
    <row r="261">
      <c r="A261" s="5">
        <f>IFERROR(__xludf.DUMMYFUNCTION("""COMPUTED_VALUE"""),44620.0)</f>
        <v>44620</v>
      </c>
      <c r="B261" s="6" t="str">
        <f>IFERROR(__xludf.DUMMYFUNCTION("""COMPUTED_VALUE"""),"dinner")</f>
        <v>dinner</v>
      </c>
      <c r="C261" s="6" t="str">
        <f>IFERROR(__xludf.DUMMYFUNCTION("""COMPUTED_VALUE"""),"employee J")</f>
        <v>employee J</v>
      </c>
      <c r="D261" s="7">
        <f>IFERROR(__xludf.DUMMYFUNCTION("""COMPUTED_VALUE"""),70.05)</f>
        <v>70.05</v>
      </c>
      <c r="E261" s="6" t="str">
        <f>IFERROR(__xludf.DUMMYFUNCTION("""COMPUTED_VALUE"""),"No")</f>
        <v>No</v>
      </c>
      <c r="F261" s="8" t="str">
        <f>IFERROR(__xludf.DUMMYFUNCTION("""COMPUTED_VALUE"""),"No")</f>
        <v>No</v>
      </c>
    </row>
    <row r="262">
      <c r="A262" s="5">
        <f>IFERROR(__xludf.DUMMYFUNCTION("""COMPUTED_VALUE"""),44620.0)</f>
        <v>44620</v>
      </c>
      <c r="B262" s="6" t="str">
        <f>IFERROR(__xludf.DUMMYFUNCTION("""COMPUTED_VALUE"""),"dinner")</f>
        <v>dinner</v>
      </c>
      <c r="C262" s="6" t="str">
        <f>IFERROR(__xludf.DUMMYFUNCTION("""COMPUTED_VALUE"""),"employee K")</f>
        <v>employee K</v>
      </c>
      <c r="D262" s="7">
        <f>IFERROR(__xludf.DUMMYFUNCTION("""COMPUTED_VALUE"""),70.05)</f>
        <v>70.05</v>
      </c>
      <c r="E262" s="6" t="str">
        <f>IFERROR(__xludf.DUMMYFUNCTION("""COMPUTED_VALUE"""),"No")</f>
        <v>No</v>
      </c>
      <c r="F262" s="8" t="str">
        <f>IFERROR(__xludf.DUMMYFUNCTION("""COMPUTED_VALUE"""),"No")</f>
        <v>No</v>
      </c>
    </row>
    <row r="263">
      <c r="A263" s="5">
        <f>IFERROR(__xludf.DUMMYFUNCTION("""COMPUTED_VALUE"""),44620.0)</f>
        <v>44620</v>
      </c>
      <c r="B263" s="6" t="str">
        <f>IFERROR(__xludf.DUMMYFUNCTION("""COMPUTED_VALUE"""),"dinner")</f>
        <v>dinner</v>
      </c>
      <c r="C263" s="6" t="str">
        <f>IFERROR(__xludf.DUMMYFUNCTION("""COMPUTED_VALUE"""),"employee I")</f>
        <v>employee I</v>
      </c>
      <c r="D263" s="7">
        <f>IFERROR(__xludf.DUMMYFUNCTION("""COMPUTED_VALUE"""),54.47)</f>
        <v>54.47</v>
      </c>
      <c r="E263" s="6" t="str">
        <f>IFERROR(__xludf.DUMMYFUNCTION("""COMPUTED_VALUE"""),"No")</f>
        <v>No</v>
      </c>
      <c r="F263" s="8" t="str">
        <f>IFERROR(__xludf.DUMMYFUNCTION("""COMPUTED_VALUE"""),"No")</f>
        <v>No</v>
      </c>
    </row>
    <row r="264">
      <c r="A264" s="5">
        <f>IFERROR(__xludf.DUMMYFUNCTION("""COMPUTED_VALUE"""),44621.0)</f>
        <v>44621</v>
      </c>
      <c r="B264" s="6" t="str">
        <f>IFERROR(__xludf.DUMMYFUNCTION("""COMPUTED_VALUE"""),"lunch")</f>
        <v>lunch</v>
      </c>
      <c r="C264" s="6" t="str">
        <f>IFERROR(__xludf.DUMMYFUNCTION("""COMPUTED_VALUE"""),"employee J")</f>
        <v>employee J</v>
      </c>
      <c r="D264" s="7">
        <f>IFERROR(__xludf.DUMMYFUNCTION("""COMPUTED_VALUE"""),42.92)</f>
        <v>42.92</v>
      </c>
      <c r="E264" s="6" t="str">
        <f>IFERROR(__xludf.DUMMYFUNCTION("""COMPUTED_VALUE"""),"No")</f>
        <v>No</v>
      </c>
      <c r="F264" s="8" t="str">
        <f>IFERROR(__xludf.DUMMYFUNCTION("""COMPUTED_VALUE"""),"No")</f>
        <v>No</v>
      </c>
    </row>
    <row r="265">
      <c r="A265" s="5">
        <f>IFERROR(__xludf.DUMMYFUNCTION("""COMPUTED_VALUE"""),44621.0)</f>
        <v>44621</v>
      </c>
      <c r="B265" s="6" t="str">
        <f>IFERROR(__xludf.DUMMYFUNCTION("""COMPUTED_VALUE"""),"dinner")</f>
        <v>dinner</v>
      </c>
      <c r="C265" s="6" t="str">
        <f>IFERROR(__xludf.DUMMYFUNCTION("""COMPUTED_VALUE"""),"employee Q")</f>
        <v>employee Q</v>
      </c>
      <c r="D265" s="7">
        <f>IFERROR(__xludf.DUMMYFUNCTION("""COMPUTED_VALUE"""),67.11)</f>
        <v>67.11</v>
      </c>
      <c r="E265" s="6" t="str">
        <f>IFERROR(__xludf.DUMMYFUNCTION("""COMPUTED_VALUE"""),"No")</f>
        <v>No</v>
      </c>
      <c r="F265" s="8" t="str">
        <f>IFERROR(__xludf.DUMMYFUNCTION("""COMPUTED_VALUE"""),"No")</f>
        <v>No</v>
      </c>
    </row>
    <row r="266">
      <c r="A266" s="5">
        <f>IFERROR(__xludf.DUMMYFUNCTION("""COMPUTED_VALUE"""),44621.0)</f>
        <v>44621</v>
      </c>
      <c r="B266" s="6" t="str">
        <f>IFERROR(__xludf.DUMMYFUNCTION("""COMPUTED_VALUE"""),"dinner")</f>
        <v>dinner</v>
      </c>
      <c r="C266" s="6" t="str">
        <f>IFERROR(__xludf.DUMMYFUNCTION("""COMPUTED_VALUE"""),"employee C")</f>
        <v>employee C</v>
      </c>
      <c r="D266" s="7">
        <f>IFERROR(__xludf.DUMMYFUNCTION("""COMPUTED_VALUE"""),67.11)</f>
        <v>67.11</v>
      </c>
      <c r="E266" s="6" t="str">
        <f>IFERROR(__xludf.DUMMYFUNCTION("""COMPUTED_VALUE"""),"No")</f>
        <v>No</v>
      </c>
      <c r="F266" s="8" t="str">
        <f>IFERROR(__xludf.DUMMYFUNCTION("""COMPUTED_VALUE"""),"No")</f>
        <v>No</v>
      </c>
    </row>
    <row r="267">
      <c r="A267" s="5">
        <f>IFERROR(__xludf.DUMMYFUNCTION("""COMPUTED_VALUE"""),44621.0)</f>
        <v>44621</v>
      </c>
      <c r="B267" s="6" t="str">
        <f>IFERROR(__xludf.DUMMYFUNCTION("""COMPUTED_VALUE"""),"dinner")</f>
        <v>dinner</v>
      </c>
      <c r="C267" s="6" t="str">
        <f>IFERROR(__xludf.DUMMYFUNCTION("""COMPUTED_VALUE"""),"employee K")</f>
        <v>employee K</v>
      </c>
      <c r="D267" s="7">
        <f>IFERROR(__xludf.DUMMYFUNCTION("""COMPUTED_VALUE"""),0.0)</f>
        <v>0</v>
      </c>
      <c r="E267" s="6" t="str">
        <f>IFERROR(__xludf.DUMMYFUNCTION("""COMPUTED_VALUE"""),"No")</f>
        <v>No</v>
      </c>
      <c r="F267" s="8" t="str">
        <f>IFERROR(__xludf.DUMMYFUNCTION("""COMPUTED_VALUE"""),"No")</f>
        <v>No</v>
      </c>
    </row>
    <row r="268">
      <c r="A268" s="5">
        <f>IFERROR(__xludf.DUMMYFUNCTION("""COMPUTED_VALUE"""),44622.0)</f>
        <v>44622</v>
      </c>
      <c r="B268" s="6" t="str">
        <f>IFERROR(__xludf.DUMMYFUNCTION("""COMPUTED_VALUE"""),"lunch")</f>
        <v>lunch</v>
      </c>
      <c r="C268" s="6" t="str">
        <f>IFERROR(__xludf.DUMMYFUNCTION("""COMPUTED_VALUE"""),"employee J")</f>
        <v>employee J</v>
      </c>
      <c r="D268" s="7">
        <f>IFERROR(__xludf.DUMMYFUNCTION("""COMPUTED_VALUE"""),93.11)</f>
        <v>93.11</v>
      </c>
      <c r="E268" s="6" t="str">
        <f>IFERROR(__xludf.DUMMYFUNCTION("""COMPUTED_VALUE"""),"No")</f>
        <v>No</v>
      </c>
      <c r="F268" s="8" t="str">
        <f>IFERROR(__xludf.DUMMYFUNCTION("""COMPUTED_VALUE"""),"No")</f>
        <v>No</v>
      </c>
    </row>
    <row r="269">
      <c r="A269" s="5">
        <f>IFERROR(__xludf.DUMMYFUNCTION("""COMPUTED_VALUE"""),44622.0)</f>
        <v>44622</v>
      </c>
      <c r="B269" s="6" t="str">
        <f>IFERROR(__xludf.DUMMYFUNCTION("""COMPUTED_VALUE"""),"dinner")</f>
        <v>dinner</v>
      </c>
      <c r="C269" s="6" t="str">
        <f>IFERROR(__xludf.DUMMYFUNCTION("""COMPUTED_VALUE"""),"employee Q")</f>
        <v>employee Q</v>
      </c>
      <c r="D269" s="7">
        <f>IFERROR(__xludf.DUMMYFUNCTION("""COMPUTED_VALUE"""),44.52)</f>
        <v>44.52</v>
      </c>
      <c r="E269" s="6" t="str">
        <f>IFERROR(__xludf.DUMMYFUNCTION("""COMPUTED_VALUE"""),"No")</f>
        <v>No</v>
      </c>
      <c r="F269" s="8" t="str">
        <f>IFERROR(__xludf.DUMMYFUNCTION("""COMPUTED_VALUE"""),"No")</f>
        <v>No</v>
      </c>
    </row>
    <row r="270">
      <c r="A270" s="5">
        <f>IFERROR(__xludf.DUMMYFUNCTION("""COMPUTED_VALUE"""),44622.0)</f>
        <v>44622</v>
      </c>
      <c r="B270" s="6" t="str">
        <f>IFERROR(__xludf.DUMMYFUNCTION("""COMPUTED_VALUE"""),"dinner")</f>
        <v>dinner</v>
      </c>
      <c r="C270" s="6" t="str">
        <f>IFERROR(__xludf.DUMMYFUNCTION("""COMPUTED_VALUE"""),"employee C")</f>
        <v>employee C</v>
      </c>
      <c r="D270" s="7">
        <f>IFERROR(__xludf.DUMMYFUNCTION("""COMPUTED_VALUE"""),34.63)</f>
        <v>34.63</v>
      </c>
      <c r="E270" s="6" t="str">
        <f>IFERROR(__xludf.DUMMYFUNCTION("""COMPUTED_VALUE"""),"No")</f>
        <v>No</v>
      </c>
      <c r="F270" s="8" t="str">
        <f>IFERROR(__xludf.DUMMYFUNCTION("""COMPUTED_VALUE"""),"No")</f>
        <v>No</v>
      </c>
    </row>
    <row r="271">
      <c r="A271" s="5">
        <f>IFERROR(__xludf.DUMMYFUNCTION("""COMPUTED_VALUE"""),44622.0)</f>
        <v>44622</v>
      </c>
      <c r="B271" s="6" t="str">
        <f>IFERROR(__xludf.DUMMYFUNCTION("""COMPUTED_VALUE"""),"dinner")</f>
        <v>dinner</v>
      </c>
      <c r="C271" s="6" t="str">
        <f>IFERROR(__xludf.DUMMYFUNCTION("""COMPUTED_VALUE"""),"employee I")</f>
        <v>employee I</v>
      </c>
      <c r="D271" s="7">
        <f>IFERROR(__xludf.DUMMYFUNCTION("""COMPUTED_VALUE"""),32.16)</f>
        <v>32.16</v>
      </c>
      <c r="E271" s="6" t="str">
        <f>IFERROR(__xludf.DUMMYFUNCTION("""COMPUTED_VALUE"""),"No")</f>
        <v>No</v>
      </c>
      <c r="F271" s="8" t="str">
        <f>IFERROR(__xludf.DUMMYFUNCTION("""COMPUTED_VALUE"""),"No")</f>
        <v>No</v>
      </c>
    </row>
    <row r="272">
      <c r="A272" s="5">
        <f>IFERROR(__xludf.DUMMYFUNCTION("""COMPUTED_VALUE"""),44623.0)</f>
        <v>44623</v>
      </c>
      <c r="B272" s="6" t="str">
        <f>IFERROR(__xludf.DUMMYFUNCTION("""COMPUTED_VALUE"""),"lunch")</f>
        <v>lunch</v>
      </c>
      <c r="C272" s="6" t="str">
        <f>IFERROR(__xludf.DUMMYFUNCTION("""COMPUTED_VALUE"""),"employee Q")</f>
        <v>employee Q</v>
      </c>
      <c r="D272" s="7">
        <f>IFERROR(__xludf.DUMMYFUNCTION("""COMPUTED_VALUE"""),94.9)</f>
        <v>94.9</v>
      </c>
      <c r="E272" s="6" t="str">
        <f>IFERROR(__xludf.DUMMYFUNCTION("""COMPUTED_VALUE"""),"No")</f>
        <v>No</v>
      </c>
      <c r="F272" s="8" t="str">
        <f>IFERROR(__xludf.DUMMYFUNCTION("""COMPUTED_VALUE"""),"No")</f>
        <v>No</v>
      </c>
    </row>
    <row r="273">
      <c r="A273" s="5">
        <f>IFERROR(__xludf.DUMMYFUNCTION("""COMPUTED_VALUE"""),44623.0)</f>
        <v>44623</v>
      </c>
      <c r="B273" s="6" t="str">
        <f>IFERROR(__xludf.DUMMYFUNCTION("""COMPUTED_VALUE"""),"dinner")</f>
        <v>dinner</v>
      </c>
      <c r="C273" s="6" t="str">
        <f>IFERROR(__xludf.DUMMYFUNCTION("""COMPUTED_VALUE"""),"employee B")</f>
        <v>employee B</v>
      </c>
      <c r="D273" s="7">
        <f>IFERROR(__xludf.DUMMYFUNCTION("""COMPUTED_VALUE"""),86.9)</f>
        <v>86.9</v>
      </c>
      <c r="E273" s="6" t="str">
        <f>IFERROR(__xludf.DUMMYFUNCTION("""COMPUTED_VALUE"""),"No")</f>
        <v>No</v>
      </c>
      <c r="F273" s="8" t="str">
        <f>IFERROR(__xludf.DUMMYFUNCTION("""COMPUTED_VALUE"""),"No")</f>
        <v>No</v>
      </c>
    </row>
    <row r="274">
      <c r="A274" s="5">
        <f>IFERROR(__xludf.DUMMYFUNCTION("""COMPUTED_VALUE"""),44623.0)</f>
        <v>44623</v>
      </c>
      <c r="B274" s="6" t="str">
        <f>IFERROR(__xludf.DUMMYFUNCTION("""COMPUTED_VALUE"""),"dinner")</f>
        <v>dinner</v>
      </c>
      <c r="C274" s="6" t="str">
        <f>IFERROR(__xludf.DUMMYFUNCTION("""COMPUTED_VALUE"""),"employee C")</f>
        <v>employee C</v>
      </c>
      <c r="D274" s="7">
        <f>IFERROR(__xludf.DUMMYFUNCTION("""COMPUTED_VALUE"""),82.09)</f>
        <v>82.09</v>
      </c>
      <c r="E274" s="6" t="str">
        <f>IFERROR(__xludf.DUMMYFUNCTION("""COMPUTED_VALUE"""),"No")</f>
        <v>No</v>
      </c>
      <c r="F274" s="8" t="str">
        <f>IFERROR(__xludf.DUMMYFUNCTION("""COMPUTED_VALUE"""),"No")</f>
        <v>No</v>
      </c>
    </row>
    <row r="275">
      <c r="A275" s="5">
        <f>IFERROR(__xludf.DUMMYFUNCTION("""COMPUTED_VALUE"""),44623.0)</f>
        <v>44623</v>
      </c>
      <c r="B275" s="6" t="str">
        <f>IFERROR(__xludf.DUMMYFUNCTION("""COMPUTED_VALUE"""),"dinner")</f>
        <v>dinner</v>
      </c>
      <c r="C275" s="6" t="str">
        <f>IFERROR(__xludf.DUMMYFUNCTION("""COMPUTED_VALUE"""),"employee I")</f>
        <v>employee I</v>
      </c>
      <c r="D275" s="7">
        <f>IFERROR(__xludf.DUMMYFUNCTION("""COMPUTED_VALUE"""),67.59)</f>
        <v>67.59</v>
      </c>
      <c r="E275" s="6" t="str">
        <f>IFERROR(__xludf.DUMMYFUNCTION("""COMPUTED_VALUE"""),"No")</f>
        <v>No</v>
      </c>
      <c r="F275" s="8" t="str">
        <f>IFERROR(__xludf.DUMMYFUNCTION("""COMPUTED_VALUE"""),"No")</f>
        <v>No</v>
      </c>
    </row>
    <row r="276">
      <c r="A276" s="5">
        <f>IFERROR(__xludf.DUMMYFUNCTION("""COMPUTED_VALUE"""),44624.0)</f>
        <v>44624</v>
      </c>
      <c r="B276" s="6" t="str">
        <f>IFERROR(__xludf.DUMMYFUNCTION("""COMPUTED_VALUE"""),"lunch")</f>
        <v>lunch</v>
      </c>
      <c r="C276" s="6" t="str">
        <f>IFERROR(__xludf.DUMMYFUNCTION("""COMPUTED_VALUE"""),"employee Q")</f>
        <v>employee Q</v>
      </c>
      <c r="D276" s="7">
        <f>IFERROR(__xludf.DUMMYFUNCTION("""COMPUTED_VALUE"""),65.95)</f>
        <v>65.95</v>
      </c>
      <c r="E276" s="6" t="str">
        <f>IFERROR(__xludf.DUMMYFUNCTION("""COMPUTED_VALUE"""),"No")</f>
        <v>No</v>
      </c>
      <c r="F276" s="8" t="str">
        <f>IFERROR(__xludf.DUMMYFUNCTION("""COMPUTED_VALUE"""),"No")</f>
        <v>No</v>
      </c>
    </row>
    <row r="277">
      <c r="A277" s="5">
        <f>IFERROR(__xludf.DUMMYFUNCTION("""COMPUTED_VALUE"""),44624.0)</f>
        <v>44624</v>
      </c>
      <c r="B277" s="6" t="str">
        <f>IFERROR(__xludf.DUMMYFUNCTION("""COMPUTED_VALUE"""),"lunch")</f>
        <v>lunch</v>
      </c>
      <c r="C277" s="6" t="str">
        <f>IFERROR(__xludf.DUMMYFUNCTION("""COMPUTED_VALUE"""),"employee K")</f>
        <v>employee K</v>
      </c>
      <c r="D277" s="7">
        <f>IFERROR(__xludf.DUMMYFUNCTION("""COMPUTED_VALUE"""),65.95)</f>
        <v>65.95</v>
      </c>
      <c r="E277" s="6" t="str">
        <f>IFERROR(__xludf.DUMMYFUNCTION("""COMPUTED_VALUE"""),"No")</f>
        <v>No</v>
      </c>
      <c r="F277" s="8" t="str">
        <f>IFERROR(__xludf.DUMMYFUNCTION("""COMPUTED_VALUE"""),"No")</f>
        <v>No</v>
      </c>
    </row>
    <row r="278">
      <c r="A278" s="5">
        <f>IFERROR(__xludf.DUMMYFUNCTION("""COMPUTED_VALUE"""),44624.0)</f>
        <v>44624</v>
      </c>
      <c r="B278" s="6" t="str">
        <f>IFERROR(__xludf.DUMMYFUNCTION("""COMPUTED_VALUE"""),"dinner")</f>
        <v>dinner</v>
      </c>
      <c r="C278" s="6" t="str">
        <f>IFERROR(__xludf.DUMMYFUNCTION("""COMPUTED_VALUE"""),"employee Q")</f>
        <v>employee Q</v>
      </c>
      <c r="D278" s="7">
        <f>IFERROR(__xludf.DUMMYFUNCTION("""COMPUTED_VALUE"""),115.09)</f>
        <v>115.09</v>
      </c>
      <c r="E278" s="6" t="str">
        <f>IFERROR(__xludf.DUMMYFUNCTION("""COMPUTED_VALUE"""),"No")</f>
        <v>No</v>
      </c>
      <c r="F278" s="8" t="str">
        <f>IFERROR(__xludf.DUMMYFUNCTION("""COMPUTED_VALUE"""),"No")</f>
        <v>No</v>
      </c>
    </row>
    <row r="279">
      <c r="A279" s="5">
        <f>IFERROR(__xludf.DUMMYFUNCTION("""COMPUTED_VALUE"""),44624.0)</f>
        <v>44624</v>
      </c>
      <c r="B279" s="6" t="str">
        <f>IFERROR(__xludf.DUMMYFUNCTION("""COMPUTED_VALUE"""),"dinner")</f>
        <v>dinner</v>
      </c>
      <c r="C279" s="6" t="str">
        <f>IFERROR(__xludf.DUMMYFUNCTION("""COMPUTED_VALUE"""),"employee K")</f>
        <v>employee K</v>
      </c>
      <c r="D279" s="7">
        <f>IFERROR(__xludf.DUMMYFUNCTION("""COMPUTED_VALUE"""),115.09)</f>
        <v>115.09</v>
      </c>
      <c r="E279" s="6" t="str">
        <f>IFERROR(__xludf.DUMMYFUNCTION("""COMPUTED_VALUE"""),"No")</f>
        <v>No</v>
      </c>
      <c r="F279" s="8" t="str">
        <f>IFERROR(__xludf.DUMMYFUNCTION("""COMPUTED_VALUE"""),"No")</f>
        <v>No</v>
      </c>
    </row>
    <row r="280">
      <c r="A280" s="5">
        <f>IFERROR(__xludf.DUMMYFUNCTION("""COMPUTED_VALUE"""),44624.0)</f>
        <v>44624</v>
      </c>
      <c r="B280" s="6" t="str">
        <f>IFERROR(__xludf.DUMMYFUNCTION("""COMPUTED_VALUE"""),"dinner")</f>
        <v>dinner</v>
      </c>
      <c r="C280" s="6" t="str">
        <f>IFERROR(__xludf.DUMMYFUNCTION("""COMPUTED_VALUE"""),"employee B")</f>
        <v>employee B</v>
      </c>
      <c r="D280" s="7">
        <f>IFERROR(__xludf.DUMMYFUNCTION("""COMPUTED_VALUE"""),115.09)</f>
        <v>115.09</v>
      </c>
      <c r="E280" s="6" t="str">
        <f>IFERROR(__xludf.DUMMYFUNCTION("""COMPUTED_VALUE"""),"No")</f>
        <v>No</v>
      </c>
      <c r="F280" s="8" t="str">
        <f>IFERROR(__xludf.DUMMYFUNCTION("""COMPUTED_VALUE"""),"No")</f>
        <v>No</v>
      </c>
    </row>
    <row r="281">
      <c r="A281" s="5">
        <f>IFERROR(__xludf.DUMMYFUNCTION("""COMPUTED_VALUE"""),44625.0)</f>
        <v>44625</v>
      </c>
      <c r="B281" s="6" t="str">
        <f>IFERROR(__xludf.DUMMYFUNCTION("""COMPUTED_VALUE"""),"lunch")</f>
        <v>lunch</v>
      </c>
      <c r="C281" s="6" t="str">
        <f>IFERROR(__xludf.DUMMYFUNCTION("""COMPUTED_VALUE"""),"employee Q")</f>
        <v>employee Q</v>
      </c>
      <c r="D281" s="7">
        <f>IFERROR(__xludf.DUMMYFUNCTION("""COMPUTED_VALUE"""),18.39)</f>
        <v>18.39</v>
      </c>
      <c r="E281" s="6" t="str">
        <f>IFERROR(__xludf.DUMMYFUNCTION("""COMPUTED_VALUE"""),"No")</f>
        <v>No</v>
      </c>
      <c r="F281" s="8" t="str">
        <f>IFERROR(__xludf.DUMMYFUNCTION("""COMPUTED_VALUE"""),"No")</f>
        <v>No</v>
      </c>
    </row>
    <row r="282">
      <c r="A282" s="5">
        <f>IFERROR(__xludf.DUMMYFUNCTION("""COMPUTED_VALUE"""),44625.0)</f>
        <v>44625</v>
      </c>
      <c r="B282" s="6" t="str">
        <f>IFERROR(__xludf.DUMMYFUNCTION("""COMPUTED_VALUE"""),"lunch")</f>
        <v>lunch</v>
      </c>
      <c r="C282" s="6" t="str">
        <f>IFERROR(__xludf.DUMMYFUNCTION("""COMPUTED_VALUE"""),"employee J")</f>
        <v>employee J</v>
      </c>
      <c r="D282" s="7">
        <f>IFERROR(__xludf.DUMMYFUNCTION("""COMPUTED_VALUE"""),41.37)</f>
        <v>41.37</v>
      </c>
      <c r="E282" s="6" t="str">
        <f>IFERROR(__xludf.DUMMYFUNCTION("""COMPUTED_VALUE"""),"No")</f>
        <v>No</v>
      </c>
      <c r="F282" s="8" t="str">
        <f>IFERROR(__xludf.DUMMYFUNCTION("""COMPUTED_VALUE"""),"No")</f>
        <v>No</v>
      </c>
    </row>
    <row r="283">
      <c r="A283" s="5">
        <f>IFERROR(__xludf.DUMMYFUNCTION("""COMPUTED_VALUE"""),44625.0)</f>
        <v>44625</v>
      </c>
      <c r="B283" s="6" t="str">
        <f>IFERROR(__xludf.DUMMYFUNCTION("""COMPUTED_VALUE"""),"lunch")</f>
        <v>lunch</v>
      </c>
      <c r="C283" s="6" t="str">
        <f>IFERROR(__xludf.DUMMYFUNCTION("""COMPUTED_VALUE"""),"employee B")</f>
        <v>employee B</v>
      </c>
      <c r="D283" s="7">
        <f>IFERROR(__xludf.DUMMYFUNCTION("""COMPUTED_VALUE"""),45.97)</f>
        <v>45.97</v>
      </c>
      <c r="E283" s="6" t="str">
        <f>IFERROR(__xludf.DUMMYFUNCTION("""COMPUTED_VALUE"""),"No")</f>
        <v>No</v>
      </c>
      <c r="F283" s="8" t="str">
        <f>IFERROR(__xludf.DUMMYFUNCTION("""COMPUTED_VALUE"""),"No")</f>
        <v>No</v>
      </c>
    </row>
    <row r="284">
      <c r="A284" s="5">
        <f>IFERROR(__xludf.DUMMYFUNCTION("""COMPUTED_VALUE"""),44625.0)</f>
        <v>44625</v>
      </c>
      <c r="B284" s="6" t="str">
        <f>IFERROR(__xludf.DUMMYFUNCTION("""COMPUTED_VALUE"""),"lunch")</f>
        <v>lunch</v>
      </c>
      <c r="C284" s="6" t="str">
        <f>IFERROR(__xludf.DUMMYFUNCTION("""COMPUTED_VALUE"""),"employee K")</f>
        <v>employee K</v>
      </c>
      <c r="D284" s="7">
        <f>IFERROR(__xludf.DUMMYFUNCTION("""COMPUTED_VALUE"""),45.97)</f>
        <v>45.97</v>
      </c>
      <c r="E284" s="6" t="str">
        <f>IFERROR(__xludf.DUMMYFUNCTION("""COMPUTED_VALUE"""),"No")</f>
        <v>No</v>
      </c>
      <c r="F284" s="8" t="str">
        <f>IFERROR(__xludf.DUMMYFUNCTION("""COMPUTED_VALUE"""),"No")</f>
        <v>No</v>
      </c>
    </row>
    <row r="285">
      <c r="A285" s="5">
        <f>IFERROR(__xludf.DUMMYFUNCTION("""COMPUTED_VALUE"""),44625.0)</f>
        <v>44625</v>
      </c>
      <c r="B285" s="6" t="str">
        <f>IFERROR(__xludf.DUMMYFUNCTION("""COMPUTED_VALUE"""),"dinner")</f>
        <v>dinner</v>
      </c>
      <c r="C285" s="6" t="str">
        <f>IFERROR(__xludf.DUMMYFUNCTION("""COMPUTED_VALUE"""),"employee J")</f>
        <v>employee J</v>
      </c>
      <c r="D285" s="7">
        <f>IFERROR(__xludf.DUMMYFUNCTION("""COMPUTED_VALUE"""),93.35)</f>
        <v>93.35</v>
      </c>
      <c r="E285" s="6" t="str">
        <f>IFERROR(__xludf.DUMMYFUNCTION("""COMPUTED_VALUE"""),"No")</f>
        <v>No</v>
      </c>
      <c r="F285" s="8" t="str">
        <f>IFERROR(__xludf.DUMMYFUNCTION("""COMPUTED_VALUE"""),"No")</f>
        <v>No</v>
      </c>
    </row>
    <row r="286">
      <c r="A286" s="5">
        <f>IFERROR(__xludf.DUMMYFUNCTION("""COMPUTED_VALUE"""),44625.0)</f>
        <v>44625</v>
      </c>
      <c r="B286" s="6" t="str">
        <f>IFERROR(__xludf.DUMMYFUNCTION("""COMPUTED_VALUE"""),"dinner")</f>
        <v>dinner</v>
      </c>
      <c r="C286" s="6" t="str">
        <f>IFERROR(__xludf.DUMMYFUNCTION("""COMPUTED_VALUE"""),"employee B")</f>
        <v>employee B</v>
      </c>
      <c r="D286" s="7">
        <f>IFERROR(__xludf.DUMMYFUNCTION("""COMPUTED_VALUE"""),93.35)</f>
        <v>93.35</v>
      </c>
      <c r="E286" s="6" t="str">
        <f>IFERROR(__xludf.DUMMYFUNCTION("""COMPUTED_VALUE"""),"No")</f>
        <v>No</v>
      </c>
      <c r="F286" s="8" t="str">
        <f>IFERROR(__xludf.DUMMYFUNCTION("""COMPUTED_VALUE"""),"No")</f>
        <v>No</v>
      </c>
    </row>
    <row r="287">
      <c r="A287" s="5">
        <f>IFERROR(__xludf.DUMMYFUNCTION("""COMPUTED_VALUE"""),44625.0)</f>
        <v>44625</v>
      </c>
      <c r="B287" s="6" t="str">
        <f>IFERROR(__xludf.DUMMYFUNCTION("""COMPUTED_VALUE"""),"dinner")</f>
        <v>dinner</v>
      </c>
      <c r="C287" s="6" t="str">
        <f>IFERROR(__xludf.DUMMYFUNCTION("""COMPUTED_VALUE"""),"employee E")</f>
        <v>employee E</v>
      </c>
      <c r="D287" s="7">
        <f>IFERROR(__xludf.DUMMYFUNCTION("""COMPUTED_VALUE"""),93.35)</f>
        <v>93.35</v>
      </c>
      <c r="E287" s="6" t="str">
        <f>IFERROR(__xludf.DUMMYFUNCTION("""COMPUTED_VALUE"""),"No")</f>
        <v>No</v>
      </c>
      <c r="F287" s="8" t="str">
        <f>IFERROR(__xludf.DUMMYFUNCTION("""COMPUTED_VALUE"""),"No")</f>
        <v>No</v>
      </c>
    </row>
    <row r="288">
      <c r="A288" s="5">
        <f>IFERROR(__xludf.DUMMYFUNCTION("""COMPUTED_VALUE"""),44626.0)</f>
        <v>44626</v>
      </c>
      <c r="B288" s="6" t="str">
        <f>IFERROR(__xludf.DUMMYFUNCTION("""COMPUTED_VALUE"""),"lunch")</f>
        <v>lunch</v>
      </c>
      <c r="C288" s="6" t="str">
        <f>IFERROR(__xludf.DUMMYFUNCTION("""COMPUTED_VALUE"""),"employee Q")</f>
        <v>employee Q</v>
      </c>
      <c r="D288" s="7">
        <f>IFERROR(__xludf.DUMMYFUNCTION("""COMPUTED_VALUE"""),18.25)</f>
        <v>18.25</v>
      </c>
      <c r="E288" s="6" t="str">
        <f>IFERROR(__xludf.DUMMYFUNCTION("""COMPUTED_VALUE"""),"No")</f>
        <v>No</v>
      </c>
      <c r="F288" s="8" t="str">
        <f>IFERROR(__xludf.DUMMYFUNCTION("""COMPUTED_VALUE"""),"No")</f>
        <v>No</v>
      </c>
    </row>
    <row r="289">
      <c r="A289" s="5">
        <f>IFERROR(__xludf.DUMMYFUNCTION("""COMPUTED_VALUE"""),44626.0)</f>
        <v>44626</v>
      </c>
      <c r="B289" s="6" t="str">
        <f>IFERROR(__xludf.DUMMYFUNCTION("""COMPUTED_VALUE"""),"lunch")</f>
        <v>lunch</v>
      </c>
      <c r="C289" s="6" t="str">
        <f>IFERROR(__xludf.DUMMYFUNCTION("""COMPUTED_VALUE"""),"employee J")</f>
        <v>employee J</v>
      </c>
      <c r="D289" s="7">
        <f>IFERROR(__xludf.DUMMYFUNCTION("""COMPUTED_VALUE"""),52.14)</f>
        <v>52.14</v>
      </c>
      <c r="E289" s="6" t="str">
        <f>IFERROR(__xludf.DUMMYFUNCTION("""COMPUTED_VALUE"""),"No")</f>
        <v>No</v>
      </c>
      <c r="F289" s="8" t="str">
        <f>IFERROR(__xludf.DUMMYFUNCTION("""COMPUTED_VALUE"""),"No")</f>
        <v>No</v>
      </c>
    </row>
    <row r="290">
      <c r="A290" s="5">
        <f>IFERROR(__xludf.DUMMYFUNCTION("""COMPUTED_VALUE"""),44626.0)</f>
        <v>44626</v>
      </c>
      <c r="B290" s="6" t="str">
        <f>IFERROR(__xludf.DUMMYFUNCTION("""COMPUTED_VALUE"""),"lunch")</f>
        <v>lunch</v>
      </c>
      <c r="C290" s="6" t="str">
        <f>IFERROR(__xludf.DUMMYFUNCTION("""COMPUTED_VALUE"""),"employee B")</f>
        <v>employee B</v>
      </c>
      <c r="D290" s="7">
        <f>IFERROR(__xludf.DUMMYFUNCTION("""COMPUTED_VALUE"""),57.35)</f>
        <v>57.35</v>
      </c>
      <c r="E290" s="6" t="str">
        <f>IFERROR(__xludf.DUMMYFUNCTION("""COMPUTED_VALUE"""),"No")</f>
        <v>No</v>
      </c>
      <c r="F290" s="8" t="str">
        <f>IFERROR(__xludf.DUMMYFUNCTION("""COMPUTED_VALUE"""),"No")</f>
        <v>No</v>
      </c>
    </row>
    <row r="291">
      <c r="A291" s="5">
        <f>IFERROR(__xludf.DUMMYFUNCTION("""COMPUTED_VALUE"""),44626.0)</f>
        <v>44626</v>
      </c>
      <c r="B291" s="6" t="str">
        <f>IFERROR(__xludf.DUMMYFUNCTION("""COMPUTED_VALUE"""),"lunch")</f>
        <v>lunch</v>
      </c>
      <c r="C291" s="6" t="str">
        <f>IFERROR(__xludf.DUMMYFUNCTION("""COMPUTED_VALUE"""),"employee K")</f>
        <v>employee K</v>
      </c>
      <c r="D291" s="7">
        <f>IFERROR(__xludf.DUMMYFUNCTION("""COMPUTED_VALUE"""),41.71)</f>
        <v>41.71</v>
      </c>
      <c r="E291" s="6" t="str">
        <f>IFERROR(__xludf.DUMMYFUNCTION("""COMPUTED_VALUE"""),"No")</f>
        <v>No</v>
      </c>
      <c r="F291" s="8" t="str">
        <f>IFERROR(__xludf.DUMMYFUNCTION("""COMPUTED_VALUE"""),"No")</f>
        <v>No</v>
      </c>
    </row>
    <row r="292">
      <c r="A292" s="5">
        <f>IFERROR(__xludf.DUMMYFUNCTION("""COMPUTED_VALUE"""),44626.0)</f>
        <v>44626</v>
      </c>
      <c r="B292" s="6" t="str">
        <f>IFERROR(__xludf.DUMMYFUNCTION("""COMPUTED_VALUE"""),"dinner")</f>
        <v>dinner</v>
      </c>
      <c r="C292" s="6" t="str">
        <f>IFERROR(__xludf.DUMMYFUNCTION("""COMPUTED_VALUE"""),"employee B")</f>
        <v>employee B</v>
      </c>
      <c r="D292" s="7">
        <f>IFERROR(__xludf.DUMMYFUNCTION("""COMPUTED_VALUE"""),62.51)</f>
        <v>62.51</v>
      </c>
      <c r="E292" s="6" t="str">
        <f>IFERROR(__xludf.DUMMYFUNCTION("""COMPUTED_VALUE"""),"No")</f>
        <v>No</v>
      </c>
      <c r="F292" s="8" t="str">
        <f>IFERROR(__xludf.DUMMYFUNCTION("""COMPUTED_VALUE"""),"No")</f>
        <v>No</v>
      </c>
    </row>
    <row r="293">
      <c r="A293" s="5">
        <f>IFERROR(__xludf.DUMMYFUNCTION("""COMPUTED_VALUE"""),44626.0)</f>
        <v>44626</v>
      </c>
      <c r="B293" s="6" t="str">
        <f>IFERROR(__xludf.DUMMYFUNCTION("""COMPUTED_VALUE"""),"dinner")</f>
        <v>dinner</v>
      </c>
      <c r="C293" s="6" t="str">
        <f>IFERROR(__xludf.DUMMYFUNCTION("""COMPUTED_VALUE"""),"employee E")</f>
        <v>employee E</v>
      </c>
      <c r="D293" s="7">
        <f>IFERROR(__xludf.DUMMYFUNCTION("""COMPUTED_VALUE"""),48.61)</f>
        <v>48.61</v>
      </c>
      <c r="E293" s="6" t="str">
        <f>IFERROR(__xludf.DUMMYFUNCTION("""COMPUTED_VALUE"""),"No")</f>
        <v>No</v>
      </c>
      <c r="F293" s="8" t="str">
        <f>IFERROR(__xludf.DUMMYFUNCTION("""COMPUTED_VALUE"""),"No")</f>
        <v>No</v>
      </c>
    </row>
    <row r="294">
      <c r="A294" s="5">
        <f>IFERROR(__xludf.DUMMYFUNCTION("""COMPUTED_VALUE"""),44626.0)</f>
        <v>44626</v>
      </c>
      <c r="B294" s="6" t="str">
        <f>IFERROR(__xludf.DUMMYFUNCTION("""COMPUTED_VALUE"""),"dinner")</f>
        <v>dinner</v>
      </c>
      <c r="C294" s="6" t="str">
        <f>IFERROR(__xludf.DUMMYFUNCTION("""COMPUTED_VALUE"""),"employee I")</f>
        <v>employee I</v>
      </c>
      <c r="D294" s="7">
        <f>IFERROR(__xludf.DUMMYFUNCTION("""COMPUTED_VALUE"""),55.56)</f>
        <v>55.56</v>
      </c>
      <c r="E294" s="6" t="str">
        <f>IFERROR(__xludf.DUMMYFUNCTION("""COMPUTED_VALUE"""),"No")</f>
        <v>No</v>
      </c>
      <c r="F294" s="8" t="str">
        <f>IFERROR(__xludf.DUMMYFUNCTION("""COMPUTED_VALUE"""),"No")</f>
        <v>No</v>
      </c>
    </row>
    <row r="295">
      <c r="A295" s="5">
        <f>IFERROR(__xludf.DUMMYFUNCTION("""COMPUTED_VALUE"""),44627.0)</f>
        <v>44627</v>
      </c>
      <c r="B295" s="6" t="str">
        <f>IFERROR(__xludf.DUMMYFUNCTION("""COMPUTED_VALUE"""),"lunch")</f>
        <v>lunch</v>
      </c>
      <c r="C295" s="6" t="str">
        <f>IFERROR(__xludf.DUMMYFUNCTION("""COMPUTED_VALUE"""),"employee Q")</f>
        <v>employee Q</v>
      </c>
      <c r="D295" s="7">
        <f>IFERROR(__xludf.DUMMYFUNCTION("""COMPUTED_VALUE"""),142.08)</f>
        <v>142.08</v>
      </c>
      <c r="E295" s="6" t="str">
        <f>IFERROR(__xludf.DUMMYFUNCTION("""COMPUTED_VALUE"""),"No")</f>
        <v>No</v>
      </c>
      <c r="F295" s="8" t="str">
        <f>IFERROR(__xludf.DUMMYFUNCTION("""COMPUTED_VALUE"""),"No")</f>
        <v>No</v>
      </c>
    </row>
    <row r="296">
      <c r="A296" s="5">
        <f>IFERROR(__xludf.DUMMYFUNCTION("""COMPUTED_VALUE"""),44627.0)</f>
        <v>44627</v>
      </c>
      <c r="B296" s="6" t="str">
        <f>IFERROR(__xludf.DUMMYFUNCTION("""COMPUTED_VALUE"""),"dinner")</f>
        <v>dinner</v>
      </c>
      <c r="C296" s="6" t="str">
        <f>IFERROR(__xludf.DUMMYFUNCTION("""COMPUTED_VALUE"""),"employee Q")</f>
        <v>employee Q</v>
      </c>
      <c r="D296" s="7">
        <f>IFERROR(__xludf.DUMMYFUNCTION("""COMPUTED_VALUE"""),111.2)</f>
        <v>111.2</v>
      </c>
      <c r="E296" s="6" t="str">
        <f>IFERROR(__xludf.DUMMYFUNCTION("""COMPUTED_VALUE"""),"No")</f>
        <v>No</v>
      </c>
      <c r="F296" s="8" t="str">
        <f>IFERROR(__xludf.DUMMYFUNCTION("""COMPUTED_VALUE"""),"No")</f>
        <v>No</v>
      </c>
    </row>
    <row r="297">
      <c r="A297" s="5">
        <f>IFERROR(__xludf.DUMMYFUNCTION("""COMPUTED_VALUE"""),44627.0)</f>
        <v>44627</v>
      </c>
      <c r="B297" s="6" t="str">
        <f>IFERROR(__xludf.DUMMYFUNCTION("""COMPUTED_VALUE"""),"dinner")</f>
        <v>dinner</v>
      </c>
      <c r="C297" s="6" t="str">
        <f>IFERROR(__xludf.DUMMYFUNCTION("""COMPUTED_VALUE"""),"employee I")</f>
        <v>employee I</v>
      </c>
      <c r="D297" s="7">
        <f>IFERROR(__xludf.DUMMYFUNCTION("""COMPUTED_VALUE"""),98.84)</f>
        <v>98.84</v>
      </c>
      <c r="E297" s="6" t="str">
        <f>IFERROR(__xludf.DUMMYFUNCTION("""COMPUTED_VALUE"""),"No")</f>
        <v>No</v>
      </c>
      <c r="F297" s="8" t="str">
        <f>IFERROR(__xludf.DUMMYFUNCTION("""COMPUTED_VALUE"""),"No")</f>
        <v>No</v>
      </c>
    </row>
    <row r="298">
      <c r="A298" s="5">
        <f>IFERROR(__xludf.DUMMYFUNCTION("""COMPUTED_VALUE"""),44628.0)</f>
        <v>44628</v>
      </c>
      <c r="B298" s="6" t="str">
        <f>IFERROR(__xludf.DUMMYFUNCTION("""COMPUTED_VALUE"""),"lunch")</f>
        <v>lunch</v>
      </c>
      <c r="C298" s="6" t="str">
        <f>IFERROR(__xludf.DUMMYFUNCTION("""COMPUTED_VALUE"""),"employee J")</f>
        <v>employee J</v>
      </c>
      <c r="D298" s="7">
        <f>IFERROR(__xludf.DUMMYFUNCTION("""COMPUTED_VALUE"""),82.45)</f>
        <v>82.45</v>
      </c>
      <c r="E298" s="6" t="str">
        <f>IFERROR(__xludf.DUMMYFUNCTION("""COMPUTED_VALUE"""),"No")</f>
        <v>No</v>
      </c>
      <c r="F298" s="8" t="str">
        <f>IFERROR(__xludf.DUMMYFUNCTION("""COMPUTED_VALUE"""),"No")</f>
        <v>No</v>
      </c>
    </row>
    <row r="299">
      <c r="A299" s="5">
        <f>IFERROR(__xludf.DUMMYFUNCTION("""COMPUTED_VALUE"""),44628.0)</f>
        <v>44628</v>
      </c>
      <c r="B299" s="6" t="str">
        <f>IFERROR(__xludf.DUMMYFUNCTION("""COMPUTED_VALUE"""),"dinner")</f>
        <v>dinner</v>
      </c>
      <c r="C299" s="6" t="str">
        <f>IFERROR(__xludf.DUMMYFUNCTION("""COMPUTED_VALUE"""),"employee Q")</f>
        <v>employee Q</v>
      </c>
      <c r="D299" s="7">
        <f>IFERROR(__xludf.DUMMYFUNCTION("""COMPUTED_VALUE"""),50.09)</f>
        <v>50.09</v>
      </c>
      <c r="E299" s="6" t="str">
        <f>IFERROR(__xludf.DUMMYFUNCTION("""COMPUTED_VALUE"""),"No")</f>
        <v>No</v>
      </c>
      <c r="F299" s="8" t="str">
        <f>IFERROR(__xludf.DUMMYFUNCTION("""COMPUTED_VALUE"""),"No")</f>
        <v>No</v>
      </c>
    </row>
    <row r="300">
      <c r="A300" s="5">
        <f>IFERROR(__xludf.DUMMYFUNCTION("""COMPUTED_VALUE"""),44628.0)</f>
        <v>44628</v>
      </c>
      <c r="B300" s="6" t="str">
        <f>IFERROR(__xludf.DUMMYFUNCTION("""COMPUTED_VALUE"""),"dinner")</f>
        <v>dinner</v>
      </c>
      <c r="C300" s="6" t="str">
        <f>IFERROR(__xludf.DUMMYFUNCTION("""COMPUTED_VALUE"""),"employee C")</f>
        <v>employee C</v>
      </c>
      <c r="D300" s="7">
        <f>IFERROR(__xludf.DUMMYFUNCTION("""COMPUTED_VALUE"""),50.09)</f>
        <v>50.09</v>
      </c>
      <c r="E300" s="6" t="str">
        <f>IFERROR(__xludf.DUMMYFUNCTION("""COMPUTED_VALUE"""),"No")</f>
        <v>No</v>
      </c>
      <c r="F300" s="8" t="str">
        <f>IFERROR(__xludf.DUMMYFUNCTION("""COMPUTED_VALUE"""),"No")</f>
        <v>No</v>
      </c>
    </row>
    <row r="301">
      <c r="A301" s="5">
        <f>IFERROR(__xludf.DUMMYFUNCTION("""COMPUTED_VALUE"""),44628.0)</f>
        <v>44628</v>
      </c>
      <c r="B301" s="6" t="str">
        <f>IFERROR(__xludf.DUMMYFUNCTION("""COMPUTED_VALUE"""),"dinner")</f>
        <v>dinner</v>
      </c>
      <c r="C301" s="6" t="str">
        <f>IFERROR(__xludf.DUMMYFUNCTION("""COMPUTED_VALUE"""),"employee I")</f>
        <v>employee I</v>
      </c>
      <c r="D301" s="7">
        <f>IFERROR(__xludf.DUMMYFUNCTION("""COMPUTED_VALUE"""),38.97)</f>
        <v>38.97</v>
      </c>
      <c r="E301" s="6" t="str">
        <f>IFERROR(__xludf.DUMMYFUNCTION("""COMPUTED_VALUE"""),"No")</f>
        <v>No</v>
      </c>
      <c r="F301" s="8" t="str">
        <f>IFERROR(__xludf.DUMMYFUNCTION("""COMPUTED_VALUE"""),"No")</f>
        <v>No</v>
      </c>
    </row>
    <row r="302">
      <c r="A302" s="5">
        <f>IFERROR(__xludf.DUMMYFUNCTION("""COMPUTED_VALUE"""),44629.0)</f>
        <v>44629</v>
      </c>
      <c r="B302" s="6" t="str">
        <f>IFERROR(__xludf.DUMMYFUNCTION("""COMPUTED_VALUE"""),"lunch")</f>
        <v>lunch</v>
      </c>
      <c r="C302" s="6" t="str">
        <f>IFERROR(__xludf.DUMMYFUNCTION("""COMPUTED_VALUE"""),"employee J")</f>
        <v>employee J</v>
      </c>
      <c r="D302" s="7">
        <f>IFERROR(__xludf.DUMMYFUNCTION("""COMPUTED_VALUE"""),79.98)</f>
        <v>79.98</v>
      </c>
      <c r="E302" s="6" t="str">
        <f>IFERROR(__xludf.DUMMYFUNCTION("""COMPUTED_VALUE"""),"No")</f>
        <v>No</v>
      </c>
      <c r="F302" s="8" t="str">
        <f>IFERROR(__xludf.DUMMYFUNCTION("""COMPUTED_VALUE"""),"No")</f>
        <v>No</v>
      </c>
    </row>
    <row r="303">
      <c r="A303" s="5">
        <f>IFERROR(__xludf.DUMMYFUNCTION("""COMPUTED_VALUE"""),44629.0)</f>
        <v>44629</v>
      </c>
      <c r="B303" s="6" t="str">
        <f>IFERROR(__xludf.DUMMYFUNCTION("""COMPUTED_VALUE"""),"lunch")</f>
        <v>lunch</v>
      </c>
      <c r="C303" s="6" t="str">
        <f>IFERROR(__xludf.DUMMYFUNCTION("""COMPUTED_VALUE"""),"employee C")</f>
        <v>employee C</v>
      </c>
      <c r="D303" s="7">
        <f>IFERROR(__xludf.DUMMYFUNCTION("""COMPUTED_VALUE"""),6.84)</f>
        <v>6.84</v>
      </c>
      <c r="E303" s="6" t="str">
        <f>IFERROR(__xludf.DUMMYFUNCTION("""COMPUTED_VALUE"""),"No")</f>
        <v>No</v>
      </c>
      <c r="F303" s="8" t="str">
        <f>IFERROR(__xludf.DUMMYFUNCTION("""COMPUTED_VALUE"""),"No")</f>
        <v>No</v>
      </c>
    </row>
    <row r="304">
      <c r="A304" s="5">
        <f>IFERROR(__xludf.DUMMYFUNCTION("""COMPUTED_VALUE"""),44629.0)</f>
        <v>44629</v>
      </c>
      <c r="B304" s="6" t="str">
        <f>IFERROR(__xludf.DUMMYFUNCTION("""COMPUTED_VALUE"""),"dinner")</f>
        <v>dinner</v>
      </c>
      <c r="C304" s="6" t="str">
        <f>IFERROR(__xludf.DUMMYFUNCTION("""COMPUTED_VALUE"""),"employee C")</f>
        <v>employee C</v>
      </c>
      <c r="D304" s="7">
        <f>IFERROR(__xludf.DUMMYFUNCTION("""COMPUTED_VALUE"""),36.17)</f>
        <v>36.17</v>
      </c>
      <c r="E304" s="6" t="str">
        <f>IFERROR(__xludf.DUMMYFUNCTION("""COMPUTED_VALUE"""),"No")</f>
        <v>No</v>
      </c>
      <c r="F304" s="8" t="str">
        <f>IFERROR(__xludf.DUMMYFUNCTION("""COMPUTED_VALUE"""),"No")</f>
        <v>No</v>
      </c>
    </row>
    <row r="305">
      <c r="A305" s="5">
        <f>IFERROR(__xludf.DUMMYFUNCTION("""COMPUTED_VALUE"""),44629.0)</f>
        <v>44629</v>
      </c>
      <c r="B305" s="6" t="str">
        <f>IFERROR(__xludf.DUMMYFUNCTION("""COMPUTED_VALUE"""),"dinner")</f>
        <v>dinner</v>
      </c>
      <c r="C305" s="6" t="str">
        <f>IFERROR(__xludf.DUMMYFUNCTION("""COMPUTED_VALUE"""),"employee Q")</f>
        <v>employee Q</v>
      </c>
      <c r="D305" s="7">
        <f>IFERROR(__xludf.DUMMYFUNCTION("""COMPUTED_VALUE"""),54.25)</f>
        <v>54.25</v>
      </c>
      <c r="E305" s="6" t="str">
        <f>IFERROR(__xludf.DUMMYFUNCTION("""COMPUTED_VALUE"""),"No")</f>
        <v>No</v>
      </c>
      <c r="F305" s="8" t="str">
        <f>IFERROR(__xludf.DUMMYFUNCTION("""COMPUTED_VALUE"""),"No")</f>
        <v>No</v>
      </c>
    </row>
    <row r="306">
      <c r="A306" s="5">
        <f>IFERROR(__xludf.DUMMYFUNCTION("""COMPUTED_VALUE"""),44629.0)</f>
        <v>44629</v>
      </c>
      <c r="B306" s="6" t="str">
        <f>IFERROR(__xludf.DUMMYFUNCTION("""COMPUTED_VALUE"""),"dinner")</f>
        <v>dinner</v>
      </c>
      <c r="C306" s="6" t="str">
        <f>IFERROR(__xludf.DUMMYFUNCTION("""COMPUTED_VALUE"""),"employee I")</f>
        <v>employee I</v>
      </c>
      <c r="D306" s="7">
        <f>IFERROR(__xludf.DUMMYFUNCTION("""COMPUTED_VALUE"""),42.2)</f>
        <v>42.2</v>
      </c>
      <c r="E306" s="6" t="str">
        <f>IFERROR(__xludf.DUMMYFUNCTION("""COMPUTED_VALUE"""),"No")</f>
        <v>No</v>
      </c>
      <c r="F306" s="8" t="str">
        <f>IFERROR(__xludf.DUMMYFUNCTION("""COMPUTED_VALUE"""),"No")</f>
        <v>No</v>
      </c>
    </row>
    <row r="307">
      <c r="A307" s="5">
        <f>IFERROR(__xludf.DUMMYFUNCTION("""COMPUTED_VALUE"""),44630.0)</f>
        <v>44630</v>
      </c>
      <c r="B307" s="6" t="str">
        <f>IFERROR(__xludf.DUMMYFUNCTION("""COMPUTED_VALUE"""),"lunch")</f>
        <v>lunch</v>
      </c>
      <c r="C307" s="6" t="str">
        <f>IFERROR(__xludf.DUMMYFUNCTION("""COMPUTED_VALUE"""),"employee Q")</f>
        <v>employee Q</v>
      </c>
      <c r="D307" s="7">
        <f>IFERROR(__xludf.DUMMYFUNCTION("""COMPUTED_VALUE"""),84.47)</f>
        <v>84.47</v>
      </c>
      <c r="E307" s="6" t="str">
        <f>IFERROR(__xludf.DUMMYFUNCTION("""COMPUTED_VALUE"""),"No")</f>
        <v>No</v>
      </c>
      <c r="F307" s="8" t="str">
        <f>IFERROR(__xludf.DUMMYFUNCTION("""COMPUTED_VALUE"""),"No")</f>
        <v>No</v>
      </c>
    </row>
    <row r="308">
      <c r="A308" s="5">
        <f>IFERROR(__xludf.DUMMYFUNCTION("""COMPUTED_VALUE"""),44630.0)</f>
        <v>44630</v>
      </c>
      <c r="B308" s="6" t="str">
        <f>IFERROR(__xludf.DUMMYFUNCTION("""COMPUTED_VALUE"""),"dinner")</f>
        <v>dinner</v>
      </c>
      <c r="C308" s="6" t="str">
        <f>IFERROR(__xludf.DUMMYFUNCTION("""COMPUTED_VALUE"""),"employee B")</f>
        <v>employee B</v>
      </c>
      <c r="D308" s="7">
        <f>IFERROR(__xludf.DUMMYFUNCTION("""COMPUTED_VALUE"""),67.01)</f>
        <v>67.01</v>
      </c>
      <c r="E308" s="6" t="str">
        <f>IFERROR(__xludf.DUMMYFUNCTION("""COMPUTED_VALUE"""),"No")</f>
        <v>No</v>
      </c>
      <c r="F308" s="8" t="str">
        <f>IFERROR(__xludf.DUMMYFUNCTION("""COMPUTED_VALUE"""),"No")</f>
        <v>No</v>
      </c>
    </row>
    <row r="309">
      <c r="A309" s="5">
        <f>IFERROR(__xludf.DUMMYFUNCTION("""COMPUTED_VALUE"""),44630.0)</f>
        <v>44630</v>
      </c>
      <c r="B309" s="6" t="str">
        <f>IFERROR(__xludf.DUMMYFUNCTION("""COMPUTED_VALUE"""),"dinner")</f>
        <v>dinner</v>
      </c>
      <c r="C309" s="6" t="str">
        <f>IFERROR(__xludf.DUMMYFUNCTION("""COMPUTED_VALUE"""),"employee C")</f>
        <v>employee C</v>
      </c>
      <c r="D309" s="7">
        <f>IFERROR(__xludf.DUMMYFUNCTION("""COMPUTED_VALUE"""),59.54)</f>
        <v>59.54</v>
      </c>
      <c r="E309" s="6" t="str">
        <f>IFERROR(__xludf.DUMMYFUNCTION("""COMPUTED_VALUE"""),"No")</f>
        <v>No</v>
      </c>
      <c r="F309" s="8" t="str">
        <f>IFERROR(__xludf.DUMMYFUNCTION("""COMPUTED_VALUE"""),"No")</f>
        <v>No</v>
      </c>
    </row>
    <row r="310">
      <c r="A310" s="5">
        <f>IFERROR(__xludf.DUMMYFUNCTION("""COMPUTED_VALUE"""),44630.0)</f>
        <v>44630</v>
      </c>
      <c r="B310" s="6" t="str">
        <f>IFERROR(__xludf.DUMMYFUNCTION("""COMPUTED_VALUE"""),"dinner")</f>
        <v>dinner</v>
      </c>
      <c r="C310" s="6" t="str">
        <f>IFERROR(__xludf.DUMMYFUNCTION("""COMPUTED_VALUE"""),"employee I")</f>
        <v>employee I</v>
      </c>
      <c r="D310" s="7">
        <f>IFERROR(__xludf.DUMMYFUNCTION("""COMPUTED_VALUE"""),52.12)</f>
        <v>52.12</v>
      </c>
      <c r="E310" s="6" t="str">
        <f>IFERROR(__xludf.DUMMYFUNCTION("""COMPUTED_VALUE"""),"No")</f>
        <v>No</v>
      </c>
      <c r="F310" s="8" t="str">
        <f>IFERROR(__xludf.DUMMYFUNCTION("""COMPUTED_VALUE"""),"No")</f>
        <v>No</v>
      </c>
    </row>
    <row r="311">
      <c r="A311" s="5">
        <f>IFERROR(__xludf.DUMMYFUNCTION("""COMPUTED_VALUE"""),44631.0)</f>
        <v>44631</v>
      </c>
      <c r="B311" s="6" t="str">
        <f>IFERROR(__xludf.DUMMYFUNCTION("""COMPUTED_VALUE"""),"lunch")</f>
        <v>lunch</v>
      </c>
      <c r="C311" s="6" t="str">
        <f>IFERROR(__xludf.DUMMYFUNCTION("""COMPUTED_VALUE"""),"employee J")</f>
        <v>employee J</v>
      </c>
      <c r="D311" s="7">
        <f>IFERROR(__xludf.DUMMYFUNCTION("""COMPUTED_VALUE"""),140.78)</f>
        <v>140.78</v>
      </c>
      <c r="E311" s="6" t="str">
        <f>IFERROR(__xludf.DUMMYFUNCTION("""COMPUTED_VALUE"""),"No")</f>
        <v>No</v>
      </c>
      <c r="F311" s="8" t="str">
        <f>IFERROR(__xludf.DUMMYFUNCTION("""COMPUTED_VALUE"""),"No")</f>
        <v>No</v>
      </c>
    </row>
    <row r="312">
      <c r="A312" s="5">
        <f>IFERROR(__xludf.DUMMYFUNCTION("""COMPUTED_VALUE"""),44631.0)</f>
        <v>44631</v>
      </c>
      <c r="B312" s="6" t="str">
        <f>IFERROR(__xludf.DUMMYFUNCTION("""COMPUTED_VALUE"""),"dinner")</f>
        <v>dinner</v>
      </c>
      <c r="C312" s="6" t="str">
        <f>IFERROR(__xludf.DUMMYFUNCTION("""COMPUTED_VALUE"""),"employee J")</f>
        <v>employee J</v>
      </c>
      <c r="D312" s="7">
        <f>IFERROR(__xludf.DUMMYFUNCTION("""COMPUTED_VALUE"""),56.61)</f>
        <v>56.61</v>
      </c>
      <c r="E312" s="6" t="str">
        <f>IFERROR(__xludf.DUMMYFUNCTION("""COMPUTED_VALUE"""),"No")</f>
        <v>No</v>
      </c>
      <c r="F312" s="8" t="str">
        <f>IFERROR(__xludf.DUMMYFUNCTION("""COMPUTED_VALUE"""),"No")</f>
        <v>No</v>
      </c>
    </row>
    <row r="313">
      <c r="A313" s="5">
        <f>IFERROR(__xludf.DUMMYFUNCTION("""COMPUTED_VALUE"""),44631.0)</f>
        <v>44631</v>
      </c>
      <c r="B313" s="6" t="str">
        <f>IFERROR(__xludf.DUMMYFUNCTION("""COMPUTED_VALUE"""),"dinner")</f>
        <v>dinner</v>
      </c>
      <c r="C313" s="6" t="str">
        <f>IFERROR(__xludf.DUMMYFUNCTION("""COMPUTED_VALUE"""),"employee B")</f>
        <v>employee B</v>
      </c>
      <c r="D313" s="7">
        <f>IFERROR(__xludf.DUMMYFUNCTION("""COMPUTED_VALUE"""),56.61)</f>
        <v>56.61</v>
      </c>
      <c r="E313" s="6" t="str">
        <f>IFERROR(__xludf.DUMMYFUNCTION("""COMPUTED_VALUE"""),"No")</f>
        <v>No</v>
      </c>
      <c r="F313" s="8" t="str">
        <f>IFERROR(__xludf.DUMMYFUNCTION("""COMPUTED_VALUE"""),"No")</f>
        <v>No</v>
      </c>
    </row>
    <row r="314">
      <c r="A314" s="5">
        <f>IFERROR(__xludf.DUMMYFUNCTION("""COMPUTED_VALUE"""),44631.0)</f>
        <v>44631</v>
      </c>
      <c r="B314" s="6" t="str">
        <f>IFERROR(__xludf.DUMMYFUNCTION("""COMPUTED_VALUE"""),"dinner")</f>
        <v>dinner</v>
      </c>
      <c r="C314" s="6" t="str">
        <f>IFERROR(__xludf.DUMMYFUNCTION("""COMPUTED_VALUE"""),"employee C")</f>
        <v>employee C</v>
      </c>
      <c r="D314" s="7">
        <f>IFERROR(__xludf.DUMMYFUNCTION("""COMPUTED_VALUE"""),37.74)</f>
        <v>37.74</v>
      </c>
      <c r="E314" s="6" t="str">
        <f>IFERROR(__xludf.DUMMYFUNCTION("""COMPUTED_VALUE"""),"No")</f>
        <v>No</v>
      </c>
      <c r="F314" s="8" t="str">
        <f>IFERROR(__xludf.DUMMYFUNCTION("""COMPUTED_VALUE"""),"No")</f>
        <v>No</v>
      </c>
    </row>
    <row r="315">
      <c r="A315" s="5">
        <f>IFERROR(__xludf.DUMMYFUNCTION("""COMPUTED_VALUE"""),44632.0)</f>
        <v>44632</v>
      </c>
      <c r="B315" s="6" t="str">
        <f>IFERROR(__xludf.DUMMYFUNCTION("""COMPUTED_VALUE"""),"lunch")</f>
        <v>lunch</v>
      </c>
      <c r="C315" s="6" t="str">
        <f>IFERROR(__xludf.DUMMYFUNCTION("""COMPUTED_VALUE"""),"employee Q")</f>
        <v>employee Q</v>
      </c>
      <c r="D315" s="7">
        <f>IFERROR(__xludf.DUMMYFUNCTION("""COMPUTED_VALUE"""),88.88)</f>
        <v>88.88</v>
      </c>
      <c r="E315" s="6" t="str">
        <f>IFERROR(__xludf.DUMMYFUNCTION("""COMPUTED_VALUE"""),"No")</f>
        <v>No</v>
      </c>
      <c r="F315" s="8" t="str">
        <f>IFERROR(__xludf.DUMMYFUNCTION("""COMPUTED_VALUE"""),"No")</f>
        <v>No</v>
      </c>
    </row>
    <row r="316">
      <c r="A316" s="5">
        <f>IFERROR(__xludf.DUMMYFUNCTION("""COMPUTED_VALUE"""),44632.0)</f>
        <v>44632</v>
      </c>
      <c r="B316" s="6" t="str">
        <f>IFERROR(__xludf.DUMMYFUNCTION("""COMPUTED_VALUE"""),"lunch")</f>
        <v>lunch</v>
      </c>
      <c r="C316" s="6" t="str">
        <f>IFERROR(__xludf.DUMMYFUNCTION("""COMPUTED_VALUE"""),"employee B")</f>
        <v>employee B</v>
      </c>
      <c r="D316" s="7">
        <f>IFERROR(__xludf.DUMMYFUNCTION("""COMPUTED_VALUE"""),98.75)</f>
        <v>98.75</v>
      </c>
      <c r="E316" s="6" t="str">
        <f>IFERROR(__xludf.DUMMYFUNCTION("""COMPUTED_VALUE"""),"No")</f>
        <v>No</v>
      </c>
      <c r="F316" s="8" t="str">
        <f>IFERROR(__xludf.DUMMYFUNCTION("""COMPUTED_VALUE"""),"No")</f>
        <v>No</v>
      </c>
    </row>
    <row r="317">
      <c r="A317" s="5">
        <f>IFERROR(__xludf.DUMMYFUNCTION("""COMPUTED_VALUE"""),44632.0)</f>
        <v>44632</v>
      </c>
      <c r="B317" s="6" t="str">
        <f>IFERROR(__xludf.DUMMYFUNCTION("""COMPUTED_VALUE"""),"lunch")</f>
        <v>lunch</v>
      </c>
      <c r="C317" s="6" t="str">
        <f>IFERROR(__xludf.DUMMYFUNCTION("""COMPUTED_VALUE"""),"employee C")</f>
        <v>employee C</v>
      </c>
      <c r="D317" s="7">
        <f>IFERROR(__xludf.DUMMYFUNCTION("""COMPUTED_VALUE"""),88.89)</f>
        <v>88.89</v>
      </c>
      <c r="E317" s="6" t="str">
        <f>IFERROR(__xludf.DUMMYFUNCTION("""COMPUTED_VALUE"""),"No")</f>
        <v>No</v>
      </c>
      <c r="F317" s="8" t="str">
        <f>IFERROR(__xludf.DUMMYFUNCTION("""COMPUTED_VALUE"""),"No")</f>
        <v>No</v>
      </c>
    </row>
    <row r="318">
      <c r="A318" s="5">
        <f>IFERROR(__xludf.DUMMYFUNCTION("""COMPUTED_VALUE"""),44632.0)</f>
        <v>44632</v>
      </c>
      <c r="B318" s="6" t="str">
        <f>IFERROR(__xludf.DUMMYFUNCTION("""COMPUTED_VALUE"""),"lunch")</f>
        <v>lunch</v>
      </c>
      <c r="C318" s="6" t="str">
        <f>IFERROR(__xludf.DUMMYFUNCTION("""COMPUTED_VALUE"""),"employee L")</f>
        <v>employee L</v>
      </c>
      <c r="D318" s="7">
        <f>IFERROR(__xludf.DUMMYFUNCTION("""COMPUTED_VALUE"""),0.0)</f>
        <v>0</v>
      </c>
      <c r="E318" s="9" t="str">
        <f>IFERROR(__xludf.DUMMYFUNCTION("""COMPUTED_VALUE"""),"Yes")</f>
        <v>Yes</v>
      </c>
      <c r="F318" s="8" t="str">
        <f>IFERROR(__xludf.DUMMYFUNCTION("""COMPUTED_VALUE"""),"No")</f>
        <v>No</v>
      </c>
    </row>
    <row r="319">
      <c r="A319" s="5">
        <f>IFERROR(__xludf.DUMMYFUNCTION("""COMPUTED_VALUE"""),44632.0)</f>
        <v>44632</v>
      </c>
      <c r="B319" s="6" t="str">
        <f>IFERROR(__xludf.DUMMYFUNCTION("""COMPUTED_VALUE"""),"dinner")</f>
        <v>dinner</v>
      </c>
      <c r="C319" s="6" t="str">
        <f>IFERROR(__xludf.DUMMYFUNCTION("""COMPUTED_VALUE"""),"employee J")</f>
        <v>employee J</v>
      </c>
      <c r="D319" s="7">
        <f>IFERROR(__xludf.DUMMYFUNCTION("""COMPUTED_VALUE"""),85.74)</f>
        <v>85.74</v>
      </c>
      <c r="E319" s="6" t="str">
        <f>IFERROR(__xludf.DUMMYFUNCTION("""COMPUTED_VALUE"""),"No")</f>
        <v>No</v>
      </c>
      <c r="F319" s="8" t="str">
        <f>IFERROR(__xludf.DUMMYFUNCTION("""COMPUTED_VALUE"""),"No")</f>
        <v>No</v>
      </c>
    </row>
    <row r="320">
      <c r="A320" s="5">
        <f>IFERROR(__xludf.DUMMYFUNCTION("""COMPUTED_VALUE"""),44632.0)</f>
        <v>44632</v>
      </c>
      <c r="B320" s="6" t="str">
        <f>IFERROR(__xludf.DUMMYFUNCTION("""COMPUTED_VALUE"""),"dinner")</f>
        <v>dinner</v>
      </c>
      <c r="C320" s="6" t="str">
        <f>IFERROR(__xludf.DUMMYFUNCTION("""COMPUTED_VALUE"""),"employee B")</f>
        <v>employee B</v>
      </c>
      <c r="D320" s="7">
        <f>IFERROR(__xludf.DUMMYFUNCTION("""COMPUTED_VALUE"""),85.74)</f>
        <v>85.74</v>
      </c>
      <c r="E320" s="6" t="str">
        <f>IFERROR(__xludf.DUMMYFUNCTION("""COMPUTED_VALUE"""),"No")</f>
        <v>No</v>
      </c>
      <c r="F320" s="8" t="str">
        <f>IFERROR(__xludf.DUMMYFUNCTION("""COMPUTED_VALUE"""),"No")</f>
        <v>No</v>
      </c>
    </row>
    <row r="321">
      <c r="A321" s="5">
        <f>IFERROR(__xludf.DUMMYFUNCTION("""COMPUTED_VALUE"""),44632.0)</f>
        <v>44632</v>
      </c>
      <c r="B321" s="6" t="str">
        <f>IFERROR(__xludf.DUMMYFUNCTION("""COMPUTED_VALUE"""),"dinner")</f>
        <v>dinner</v>
      </c>
      <c r="C321" s="6" t="str">
        <f>IFERROR(__xludf.DUMMYFUNCTION("""COMPUTED_VALUE"""),"employee I")</f>
        <v>employee I</v>
      </c>
      <c r="D321" s="7">
        <f>IFERROR(__xludf.DUMMYFUNCTION("""COMPUTED_VALUE"""),85.74)</f>
        <v>85.74</v>
      </c>
      <c r="E321" s="6" t="str">
        <f>IFERROR(__xludf.DUMMYFUNCTION("""COMPUTED_VALUE"""),"No")</f>
        <v>No</v>
      </c>
      <c r="F321" s="8" t="str">
        <f>IFERROR(__xludf.DUMMYFUNCTION("""COMPUTED_VALUE"""),"No")</f>
        <v>No</v>
      </c>
    </row>
    <row r="322">
      <c r="A322" s="5">
        <f>IFERROR(__xludf.DUMMYFUNCTION("""COMPUTED_VALUE"""),44633.0)</f>
        <v>44633</v>
      </c>
      <c r="B322" s="6" t="str">
        <f>IFERROR(__xludf.DUMMYFUNCTION("""COMPUTED_VALUE"""),"lunch")</f>
        <v>lunch</v>
      </c>
      <c r="C322" s="6" t="str">
        <f>IFERROR(__xludf.DUMMYFUNCTION("""COMPUTED_VALUE"""),"employee Q")</f>
        <v>employee Q</v>
      </c>
      <c r="D322" s="7">
        <f>IFERROR(__xludf.DUMMYFUNCTION("""COMPUTED_VALUE"""),46.73)</f>
        <v>46.73</v>
      </c>
      <c r="E322" s="6" t="str">
        <f>IFERROR(__xludf.DUMMYFUNCTION("""COMPUTED_VALUE"""),"No")</f>
        <v>No</v>
      </c>
      <c r="F322" s="8" t="str">
        <f>IFERROR(__xludf.DUMMYFUNCTION("""COMPUTED_VALUE"""),"No")</f>
        <v>No</v>
      </c>
    </row>
    <row r="323">
      <c r="A323" s="5">
        <f>IFERROR(__xludf.DUMMYFUNCTION("""COMPUTED_VALUE"""),44633.0)</f>
        <v>44633</v>
      </c>
      <c r="B323" s="6" t="str">
        <f>IFERROR(__xludf.DUMMYFUNCTION("""COMPUTED_VALUE"""),"lunch")</f>
        <v>lunch</v>
      </c>
      <c r="C323" s="6" t="str">
        <f>IFERROR(__xludf.DUMMYFUNCTION("""COMPUTED_VALUE"""),"employee J")</f>
        <v>employee J</v>
      </c>
      <c r="D323" s="7">
        <f>IFERROR(__xludf.DUMMYFUNCTION("""COMPUTED_VALUE"""),98.66)</f>
        <v>98.66</v>
      </c>
      <c r="E323" s="6" t="str">
        <f>IFERROR(__xludf.DUMMYFUNCTION("""COMPUTED_VALUE"""),"No")</f>
        <v>No</v>
      </c>
      <c r="F323" s="8" t="str">
        <f>IFERROR(__xludf.DUMMYFUNCTION("""COMPUTED_VALUE"""),"No")</f>
        <v>No</v>
      </c>
    </row>
    <row r="324">
      <c r="A324" s="5">
        <f>IFERROR(__xludf.DUMMYFUNCTION("""COMPUTED_VALUE"""),44633.0)</f>
        <v>44633</v>
      </c>
      <c r="B324" s="6" t="str">
        <f>IFERROR(__xludf.DUMMYFUNCTION("""COMPUTED_VALUE"""),"lunch")</f>
        <v>lunch</v>
      </c>
      <c r="C324" s="6" t="str">
        <f>IFERROR(__xludf.DUMMYFUNCTION("""COMPUTED_VALUE"""),"employee B")</f>
        <v>employee B</v>
      </c>
      <c r="D324" s="7">
        <f>IFERROR(__xludf.DUMMYFUNCTION("""COMPUTED_VALUE"""),98.66)</f>
        <v>98.66</v>
      </c>
      <c r="E324" s="6" t="str">
        <f>IFERROR(__xludf.DUMMYFUNCTION("""COMPUTED_VALUE"""),"No")</f>
        <v>No</v>
      </c>
      <c r="F324" s="8" t="str">
        <f>IFERROR(__xludf.DUMMYFUNCTION("""COMPUTED_VALUE"""),"No")</f>
        <v>No</v>
      </c>
    </row>
    <row r="325">
      <c r="A325" s="5">
        <f>IFERROR(__xludf.DUMMYFUNCTION("""COMPUTED_VALUE"""),44633.0)</f>
        <v>44633</v>
      </c>
      <c r="B325" s="6" t="str">
        <f>IFERROR(__xludf.DUMMYFUNCTION("""COMPUTED_VALUE"""),"lunch")</f>
        <v>lunch</v>
      </c>
      <c r="C325" s="6" t="str">
        <f>IFERROR(__xludf.DUMMYFUNCTION("""COMPUTED_VALUE"""),"employee L")</f>
        <v>employee L</v>
      </c>
      <c r="D325" s="7">
        <f>IFERROR(__xludf.DUMMYFUNCTION("""COMPUTED_VALUE"""),0.0)</f>
        <v>0</v>
      </c>
      <c r="E325" s="9" t="str">
        <f>IFERROR(__xludf.DUMMYFUNCTION("""COMPUTED_VALUE"""),"Yes")</f>
        <v>Yes</v>
      </c>
      <c r="F325" s="8" t="str">
        <f>IFERROR(__xludf.DUMMYFUNCTION("""COMPUTED_VALUE"""),"No")</f>
        <v>No</v>
      </c>
    </row>
    <row r="326">
      <c r="A326" s="5">
        <f>IFERROR(__xludf.DUMMYFUNCTION("""COMPUTED_VALUE"""),44633.0)</f>
        <v>44633</v>
      </c>
      <c r="B326" s="6" t="str">
        <f>IFERROR(__xludf.DUMMYFUNCTION("""COMPUTED_VALUE"""),"dinner")</f>
        <v>dinner</v>
      </c>
      <c r="C326" s="6" t="str">
        <f>IFERROR(__xludf.DUMMYFUNCTION("""COMPUTED_VALUE"""),"employee J")</f>
        <v>employee J</v>
      </c>
      <c r="D326" s="7">
        <f>IFERROR(__xludf.DUMMYFUNCTION("""COMPUTED_VALUE"""),55.51)</f>
        <v>55.51</v>
      </c>
      <c r="E326" s="6" t="str">
        <f>IFERROR(__xludf.DUMMYFUNCTION("""COMPUTED_VALUE"""),"No")</f>
        <v>No</v>
      </c>
      <c r="F326" s="8" t="str">
        <f>IFERROR(__xludf.DUMMYFUNCTION("""COMPUTED_VALUE"""),"No")</f>
        <v>No</v>
      </c>
    </row>
    <row r="327">
      <c r="A327" s="5">
        <f>IFERROR(__xludf.DUMMYFUNCTION("""COMPUTED_VALUE"""),44633.0)</f>
        <v>44633</v>
      </c>
      <c r="B327" s="6" t="str">
        <f>IFERROR(__xludf.DUMMYFUNCTION("""COMPUTED_VALUE"""),"dinner")</f>
        <v>dinner</v>
      </c>
      <c r="C327" s="6" t="str">
        <f>IFERROR(__xludf.DUMMYFUNCTION("""COMPUTED_VALUE"""),"employee B")</f>
        <v>employee B</v>
      </c>
      <c r="D327" s="7">
        <f>IFERROR(__xludf.DUMMYFUNCTION("""COMPUTED_VALUE"""),37.01)</f>
        <v>37.01</v>
      </c>
      <c r="E327" s="6" t="str">
        <f>IFERROR(__xludf.DUMMYFUNCTION("""COMPUTED_VALUE"""),"No")</f>
        <v>No</v>
      </c>
      <c r="F327" s="8" t="str">
        <f>IFERROR(__xludf.DUMMYFUNCTION("""COMPUTED_VALUE"""),"No")</f>
        <v>No</v>
      </c>
    </row>
    <row r="328">
      <c r="A328" s="5">
        <f>IFERROR(__xludf.DUMMYFUNCTION("""COMPUTED_VALUE"""),44633.0)</f>
        <v>44633</v>
      </c>
      <c r="B328" s="6" t="str">
        <f>IFERROR(__xludf.DUMMYFUNCTION("""COMPUTED_VALUE"""),"dinner")</f>
        <v>dinner</v>
      </c>
      <c r="C328" s="6" t="str">
        <f>IFERROR(__xludf.DUMMYFUNCTION("""COMPUTED_VALUE"""),"employee I")</f>
        <v>employee I</v>
      </c>
      <c r="D328" s="7">
        <f>IFERROR(__xludf.DUMMYFUNCTION("""COMPUTED_VALUE"""),38.86)</f>
        <v>38.86</v>
      </c>
      <c r="E328" s="6" t="str">
        <f>IFERROR(__xludf.DUMMYFUNCTION("""COMPUTED_VALUE"""),"No")</f>
        <v>No</v>
      </c>
      <c r="F328" s="8" t="str">
        <f>IFERROR(__xludf.DUMMYFUNCTION("""COMPUTED_VALUE"""),"No")</f>
        <v>No</v>
      </c>
    </row>
    <row r="329">
      <c r="A329" s="5">
        <f>IFERROR(__xludf.DUMMYFUNCTION("""COMPUTED_VALUE"""),44634.0)</f>
        <v>44634</v>
      </c>
      <c r="B329" s="6" t="str">
        <f>IFERROR(__xludf.DUMMYFUNCTION("""COMPUTED_VALUE"""),"lunch")</f>
        <v>lunch</v>
      </c>
      <c r="C329" s="6" t="str">
        <f>IFERROR(__xludf.DUMMYFUNCTION("""COMPUTED_VALUE"""),"employee Q")</f>
        <v>employee Q</v>
      </c>
      <c r="D329" s="7">
        <f>IFERROR(__xludf.DUMMYFUNCTION("""COMPUTED_VALUE"""),86.15)</f>
        <v>86.15</v>
      </c>
      <c r="E329" s="6" t="str">
        <f>IFERROR(__xludf.DUMMYFUNCTION("""COMPUTED_VALUE"""),"No")</f>
        <v>No</v>
      </c>
      <c r="F329" s="8" t="str">
        <f>IFERROR(__xludf.DUMMYFUNCTION("""COMPUTED_VALUE"""),"No")</f>
        <v>No</v>
      </c>
    </row>
    <row r="330">
      <c r="A330" s="5">
        <f>IFERROR(__xludf.DUMMYFUNCTION("""COMPUTED_VALUE"""),44634.0)</f>
        <v>44634</v>
      </c>
      <c r="B330" s="6" t="str">
        <f>IFERROR(__xludf.DUMMYFUNCTION("""COMPUTED_VALUE"""),"dinner")</f>
        <v>dinner</v>
      </c>
      <c r="C330" s="6" t="str">
        <f>IFERROR(__xludf.DUMMYFUNCTION("""COMPUTED_VALUE"""),"employee Q")</f>
        <v>employee Q</v>
      </c>
      <c r="D330" s="7">
        <f>IFERROR(__xludf.DUMMYFUNCTION("""COMPUTED_VALUE"""),85.88)</f>
        <v>85.88</v>
      </c>
      <c r="E330" s="6" t="str">
        <f>IFERROR(__xludf.DUMMYFUNCTION("""COMPUTED_VALUE"""),"No")</f>
        <v>No</v>
      </c>
      <c r="F330" s="8" t="str">
        <f>IFERROR(__xludf.DUMMYFUNCTION("""COMPUTED_VALUE"""),"No")</f>
        <v>No</v>
      </c>
    </row>
    <row r="331">
      <c r="A331" s="5">
        <f>IFERROR(__xludf.DUMMYFUNCTION("""COMPUTED_VALUE"""),44634.0)</f>
        <v>44634</v>
      </c>
      <c r="B331" s="6" t="str">
        <f>IFERROR(__xludf.DUMMYFUNCTION("""COMPUTED_VALUE"""),"dinner")</f>
        <v>dinner</v>
      </c>
      <c r="C331" s="6" t="str">
        <f>IFERROR(__xludf.DUMMYFUNCTION("""COMPUTED_VALUE"""),"employee J")</f>
        <v>employee J</v>
      </c>
      <c r="D331" s="7">
        <f>IFERROR(__xludf.DUMMYFUNCTION("""COMPUTED_VALUE"""),96.61)</f>
        <v>96.61</v>
      </c>
      <c r="E331" s="6" t="str">
        <f>IFERROR(__xludf.DUMMYFUNCTION("""COMPUTED_VALUE"""),"No")</f>
        <v>No</v>
      </c>
      <c r="F331" s="8" t="str">
        <f>IFERROR(__xludf.DUMMYFUNCTION("""COMPUTED_VALUE"""),"No")</f>
        <v>No</v>
      </c>
    </row>
    <row r="332">
      <c r="A332" s="5">
        <f>IFERROR(__xludf.DUMMYFUNCTION("""COMPUTED_VALUE"""),44634.0)</f>
        <v>44634</v>
      </c>
      <c r="B332" s="6" t="str">
        <f>IFERROR(__xludf.DUMMYFUNCTION("""COMPUTED_VALUE"""),"dinner")</f>
        <v>dinner</v>
      </c>
      <c r="C332" s="6" t="str">
        <f>IFERROR(__xludf.DUMMYFUNCTION("""COMPUTED_VALUE"""),"employee I")</f>
        <v>employee I</v>
      </c>
      <c r="D332" s="7">
        <f>IFERROR(__xludf.DUMMYFUNCTION("""COMPUTED_VALUE"""),75.14)</f>
        <v>75.14</v>
      </c>
      <c r="E332" s="6" t="str">
        <f>IFERROR(__xludf.DUMMYFUNCTION("""COMPUTED_VALUE"""),"No")</f>
        <v>No</v>
      </c>
      <c r="F332" s="8" t="str">
        <f>IFERROR(__xludf.DUMMYFUNCTION("""COMPUTED_VALUE"""),"No")</f>
        <v>No</v>
      </c>
    </row>
    <row r="333">
      <c r="A333" s="5">
        <f>IFERROR(__xludf.DUMMYFUNCTION("""COMPUTED_VALUE"""),44635.0)</f>
        <v>44635</v>
      </c>
      <c r="B333" s="6" t="str">
        <f>IFERROR(__xludf.DUMMYFUNCTION("""COMPUTED_VALUE"""),"lunch")</f>
        <v>lunch</v>
      </c>
      <c r="C333" s="6" t="str">
        <f>IFERROR(__xludf.DUMMYFUNCTION("""COMPUTED_VALUE"""),"employee J")</f>
        <v>employee J</v>
      </c>
      <c r="D333" s="7">
        <f>IFERROR(__xludf.DUMMYFUNCTION("""COMPUTED_VALUE"""),84.54)</f>
        <v>84.54</v>
      </c>
      <c r="E333" s="6" t="str">
        <f>IFERROR(__xludf.DUMMYFUNCTION("""COMPUTED_VALUE"""),"No")</f>
        <v>No</v>
      </c>
      <c r="F333" s="8" t="str">
        <f>IFERROR(__xludf.DUMMYFUNCTION("""COMPUTED_VALUE"""),"No")</f>
        <v>No</v>
      </c>
    </row>
    <row r="334">
      <c r="A334" s="5">
        <f>IFERROR(__xludf.DUMMYFUNCTION("""COMPUTED_VALUE"""),44635.0)</f>
        <v>44635</v>
      </c>
      <c r="B334" s="6" t="str">
        <f>IFERROR(__xludf.DUMMYFUNCTION("""COMPUTED_VALUE"""),"dinner")</f>
        <v>dinner</v>
      </c>
      <c r="C334" s="6" t="str">
        <f>IFERROR(__xludf.DUMMYFUNCTION("""COMPUTED_VALUE"""),"employee J")</f>
        <v>employee J</v>
      </c>
      <c r="D334" s="7">
        <f>IFERROR(__xludf.DUMMYFUNCTION("""COMPUTED_VALUE"""),52.14)</f>
        <v>52.14</v>
      </c>
      <c r="E334" s="6" t="str">
        <f>IFERROR(__xludf.DUMMYFUNCTION("""COMPUTED_VALUE"""),"No")</f>
        <v>No</v>
      </c>
      <c r="F334" s="8" t="str">
        <f>IFERROR(__xludf.DUMMYFUNCTION("""COMPUTED_VALUE"""),"No")</f>
        <v>No</v>
      </c>
    </row>
    <row r="335">
      <c r="A335" s="5">
        <f>IFERROR(__xludf.DUMMYFUNCTION("""COMPUTED_VALUE"""),44635.0)</f>
        <v>44635</v>
      </c>
      <c r="B335" s="6" t="str">
        <f>IFERROR(__xludf.DUMMYFUNCTION("""COMPUTED_VALUE"""),"dinner")</f>
        <v>dinner</v>
      </c>
      <c r="C335" s="6" t="str">
        <f>IFERROR(__xludf.DUMMYFUNCTION("""COMPUTED_VALUE"""),"employee C")</f>
        <v>employee C</v>
      </c>
      <c r="D335" s="7">
        <f>IFERROR(__xludf.DUMMYFUNCTION("""COMPUTED_VALUE"""),52.14)</f>
        <v>52.14</v>
      </c>
      <c r="E335" s="6" t="str">
        <f>IFERROR(__xludf.DUMMYFUNCTION("""COMPUTED_VALUE"""),"No")</f>
        <v>No</v>
      </c>
      <c r="F335" s="8" t="str">
        <f>IFERROR(__xludf.DUMMYFUNCTION("""COMPUTED_VALUE"""),"No")</f>
        <v>No</v>
      </c>
    </row>
    <row r="336">
      <c r="A336" s="5">
        <f>IFERROR(__xludf.DUMMYFUNCTION("""COMPUTED_VALUE"""),44635.0)</f>
        <v>44635</v>
      </c>
      <c r="B336" s="6" t="str">
        <f>IFERROR(__xludf.DUMMYFUNCTION("""COMPUTED_VALUE"""),"dinner")</f>
        <v>dinner</v>
      </c>
      <c r="C336" s="6" t="str">
        <f>IFERROR(__xludf.DUMMYFUNCTION("""COMPUTED_VALUE"""),"employee I")</f>
        <v>employee I</v>
      </c>
      <c r="D336" s="7">
        <f>IFERROR(__xludf.DUMMYFUNCTION("""COMPUTED_VALUE"""),40.56)</f>
        <v>40.56</v>
      </c>
      <c r="E336" s="6" t="str">
        <f>IFERROR(__xludf.DUMMYFUNCTION("""COMPUTED_VALUE"""),"No")</f>
        <v>No</v>
      </c>
      <c r="F336" s="8" t="str">
        <f>IFERROR(__xludf.DUMMYFUNCTION("""COMPUTED_VALUE"""),"No")</f>
        <v>No</v>
      </c>
    </row>
    <row r="337">
      <c r="A337" s="5">
        <f>IFERROR(__xludf.DUMMYFUNCTION("""COMPUTED_VALUE"""),44636.0)</f>
        <v>44636</v>
      </c>
      <c r="B337" s="6" t="str">
        <f>IFERROR(__xludf.DUMMYFUNCTION("""COMPUTED_VALUE"""),"lunch")</f>
        <v>lunch</v>
      </c>
      <c r="C337" s="6" t="str">
        <f>IFERROR(__xludf.DUMMYFUNCTION("""COMPUTED_VALUE"""),"employee Q")</f>
        <v>employee Q</v>
      </c>
      <c r="D337" s="7">
        <f>IFERROR(__xludf.DUMMYFUNCTION("""COMPUTED_VALUE"""),63.34)</f>
        <v>63.34</v>
      </c>
      <c r="E337" s="6" t="str">
        <f>IFERROR(__xludf.DUMMYFUNCTION("""COMPUTED_VALUE"""),"No")</f>
        <v>No</v>
      </c>
      <c r="F337" s="8" t="str">
        <f>IFERROR(__xludf.DUMMYFUNCTION("""COMPUTED_VALUE"""),"No")</f>
        <v>No</v>
      </c>
    </row>
    <row r="338">
      <c r="A338" s="5">
        <f>IFERROR(__xludf.DUMMYFUNCTION("""COMPUTED_VALUE"""),44636.0)</f>
        <v>44636</v>
      </c>
      <c r="B338" s="6" t="str">
        <f>IFERROR(__xludf.DUMMYFUNCTION("""COMPUTED_VALUE"""),"dinner")</f>
        <v>dinner</v>
      </c>
      <c r="C338" s="6" t="str">
        <f>IFERROR(__xludf.DUMMYFUNCTION("""COMPUTED_VALUE"""),"employee J")</f>
        <v>employee J</v>
      </c>
      <c r="D338" s="7">
        <f>IFERROR(__xludf.DUMMYFUNCTION("""COMPUTED_VALUE"""),96.16)</f>
        <v>96.16</v>
      </c>
      <c r="E338" s="6" t="str">
        <f>IFERROR(__xludf.DUMMYFUNCTION("""COMPUTED_VALUE"""),"No")</f>
        <v>No</v>
      </c>
      <c r="F338" s="8" t="str">
        <f>IFERROR(__xludf.DUMMYFUNCTION("""COMPUTED_VALUE"""),"No")</f>
        <v>No</v>
      </c>
    </row>
    <row r="339">
      <c r="A339" s="5">
        <f>IFERROR(__xludf.DUMMYFUNCTION("""COMPUTED_VALUE"""),44636.0)</f>
        <v>44636</v>
      </c>
      <c r="B339" s="6" t="str">
        <f>IFERROR(__xludf.DUMMYFUNCTION("""COMPUTED_VALUE"""),"dinner")</f>
        <v>dinner</v>
      </c>
      <c r="C339" s="6" t="str">
        <f>IFERROR(__xludf.DUMMYFUNCTION("""COMPUTED_VALUE"""),"employee C")</f>
        <v>employee C</v>
      </c>
      <c r="D339" s="7">
        <f>IFERROR(__xludf.DUMMYFUNCTION("""COMPUTED_VALUE"""),96.16)</f>
        <v>96.16</v>
      </c>
      <c r="E339" s="6" t="str">
        <f>IFERROR(__xludf.DUMMYFUNCTION("""COMPUTED_VALUE"""),"No")</f>
        <v>No</v>
      </c>
      <c r="F339" s="8" t="str">
        <f>IFERROR(__xludf.DUMMYFUNCTION("""COMPUTED_VALUE"""),"No")</f>
        <v>No</v>
      </c>
    </row>
    <row r="340">
      <c r="A340" s="5">
        <f>IFERROR(__xludf.DUMMYFUNCTION("""COMPUTED_VALUE"""),44636.0)</f>
        <v>44636</v>
      </c>
      <c r="B340" s="6" t="str">
        <f>IFERROR(__xludf.DUMMYFUNCTION("""COMPUTED_VALUE"""),"dinner")</f>
        <v>dinner</v>
      </c>
      <c r="C340" s="6" t="str">
        <f>IFERROR(__xludf.DUMMYFUNCTION("""COMPUTED_VALUE"""),"employee I")</f>
        <v>employee I</v>
      </c>
      <c r="D340" s="7">
        <f>IFERROR(__xludf.DUMMYFUNCTION("""COMPUTED_VALUE"""),58.1)</f>
        <v>58.1</v>
      </c>
      <c r="E340" s="6" t="str">
        <f>IFERROR(__xludf.DUMMYFUNCTION("""COMPUTED_VALUE"""),"No")</f>
        <v>No</v>
      </c>
      <c r="F340" s="8" t="str">
        <f>IFERROR(__xludf.DUMMYFUNCTION("""COMPUTED_VALUE"""),"No")</f>
        <v>No</v>
      </c>
    </row>
    <row r="341">
      <c r="A341" s="5">
        <f>IFERROR(__xludf.DUMMYFUNCTION("""COMPUTED_VALUE"""),44637.0)</f>
        <v>44637</v>
      </c>
      <c r="B341" s="6" t="str">
        <f>IFERROR(__xludf.DUMMYFUNCTION("""COMPUTED_VALUE"""),"lunch")</f>
        <v>lunch</v>
      </c>
      <c r="C341" s="6" t="str">
        <f>IFERROR(__xludf.DUMMYFUNCTION("""COMPUTED_VALUE"""),"employee J")</f>
        <v>employee J</v>
      </c>
      <c r="D341" s="7">
        <f>IFERROR(__xludf.DUMMYFUNCTION("""COMPUTED_VALUE"""),51.24)</f>
        <v>51.24</v>
      </c>
      <c r="E341" s="6" t="str">
        <f>IFERROR(__xludf.DUMMYFUNCTION("""COMPUTED_VALUE"""),"No")</f>
        <v>No</v>
      </c>
      <c r="F341" s="8" t="str">
        <f>IFERROR(__xludf.DUMMYFUNCTION("""COMPUTED_VALUE"""),"No")</f>
        <v>No</v>
      </c>
    </row>
    <row r="342">
      <c r="A342" s="5">
        <f>IFERROR(__xludf.DUMMYFUNCTION("""COMPUTED_VALUE"""),44637.0)</f>
        <v>44637</v>
      </c>
      <c r="B342" s="6" t="str">
        <f>IFERROR(__xludf.DUMMYFUNCTION("""COMPUTED_VALUE"""),"dinner")</f>
        <v>dinner</v>
      </c>
      <c r="C342" s="6" t="str">
        <f>IFERROR(__xludf.DUMMYFUNCTION("""COMPUTED_VALUE"""),"employee B")</f>
        <v>employee B</v>
      </c>
      <c r="D342" s="7">
        <f>IFERROR(__xludf.DUMMYFUNCTION("""COMPUTED_VALUE"""),67.85)</f>
        <v>67.85</v>
      </c>
      <c r="E342" s="6" t="str">
        <f>IFERROR(__xludf.DUMMYFUNCTION("""COMPUTED_VALUE"""),"No")</f>
        <v>No</v>
      </c>
      <c r="F342" s="8" t="str">
        <f>IFERROR(__xludf.DUMMYFUNCTION("""COMPUTED_VALUE"""),"No")</f>
        <v>No</v>
      </c>
    </row>
    <row r="343">
      <c r="A343" s="5">
        <f>IFERROR(__xludf.DUMMYFUNCTION("""COMPUTED_VALUE"""),44637.0)</f>
        <v>44637</v>
      </c>
      <c r="B343" s="6" t="str">
        <f>IFERROR(__xludf.DUMMYFUNCTION("""COMPUTED_VALUE"""),"dinner")</f>
        <v>dinner</v>
      </c>
      <c r="C343" s="6" t="str">
        <f>IFERROR(__xludf.DUMMYFUNCTION("""COMPUTED_VALUE"""),"employee C")</f>
        <v>employee C</v>
      </c>
      <c r="D343" s="7">
        <f>IFERROR(__xludf.DUMMYFUNCTION("""COMPUTED_VALUE"""),45.3)</f>
        <v>45.3</v>
      </c>
      <c r="E343" s="6" t="str">
        <f>IFERROR(__xludf.DUMMYFUNCTION("""COMPUTED_VALUE"""),"No")</f>
        <v>No</v>
      </c>
      <c r="F343" s="8" t="str">
        <f>IFERROR(__xludf.DUMMYFUNCTION("""COMPUTED_VALUE"""),"No")</f>
        <v>No</v>
      </c>
    </row>
    <row r="344">
      <c r="A344" s="5">
        <f>IFERROR(__xludf.DUMMYFUNCTION("""COMPUTED_VALUE"""),44637.0)</f>
        <v>44637</v>
      </c>
      <c r="B344" s="6" t="str">
        <f>IFERROR(__xludf.DUMMYFUNCTION("""COMPUTED_VALUE"""),"dinner")</f>
        <v>dinner</v>
      </c>
      <c r="C344" s="6" t="str">
        <f>IFERROR(__xludf.DUMMYFUNCTION("""COMPUTED_VALUE"""),"employee I")</f>
        <v>employee I</v>
      </c>
      <c r="D344" s="7">
        <f>IFERROR(__xludf.DUMMYFUNCTION("""COMPUTED_VALUE"""),52.85)</f>
        <v>52.85</v>
      </c>
      <c r="E344" s="6" t="str">
        <f>IFERROR(__xludf.DUMMYFUNCTION("""COMPUTED_VALUE"""),"No")</f>
        <v>No</v>
      </c>
      <c r="F344" s="8" t="str">
        <f>IFERROR(__xludf.DUMMYFUNCTION("""COMPUTED_VALUE"""),"No")</f>
        <v>No</v>
      </c>
    </row>
    <row r="345">
      <c r="A345" s="5">
        <f>IFERROR(__xludf.DUMMYFUNCTION("""COMPUTED_VALUE"""),44638.0)</f>
        <v>44638</v>
      </c>
      <c r="B345" s="6" t="str">
        <f>IFERROR(__xludf.DUMMYFUNCTION("""COMPUTED_VALUE"""),"lunch")</f>
        <v>lunch</v>
      </c>
      <c r="C345" s="6" t="str">
        <f>IFERROR(__xludf.DUMMYFUNCTION("""COMPUTED_VALUE"""),"employee Q")</f>
        <v>employee Q</v>
      </c>
      <c r="D345" s="7">
        <f>IFERROR(__xludf.DUMMYFUNCTION("""COMPUTED_VALUE"""),58.58)</f>
        <v>58.58</v>
      </c>
      <c r="E345" s="6" t="str">
        <f>IFERROR(__xludf.DUMMYFUNCTION("""COMPUTED_VALUE"""),"No")</f>
        <v>No</v>
      </c>
      <c r="F345" s="8" t="str">
        <f>IFERROR(__xludf.DUMMYFUNCTION("""COMPUTED_VALUE"""),"No")</f>
        <v>No</v>
      </c>
    </row>
    <row r="346">
      <c r="A346" s="5">
        <f>IFERROR(__xludf.DUMMYFUNCTION("""COMPUTED_VALUE"""),44638.0)</f>
        <v>44638</v>
      </c>
      <c r="B346" s="6" t="str">
        <f>IFERROR(__xludf.DUMMYFUNCTION("""COMPUTED_VALUE"""),"dinner")</f>
        <v>dinner</v>
      </c>
      <c r="C346" s="6" t="str">
        <f>IFERROR(__xludf.DUMMYFUNCTION("""COMPUTED_VALUE"""),"employee Q")</f>
        <v>employee Q</v>
      </c>
      <c r="D346" s="7">
        <f>IFERROR(__xludf.DUMMYFUNCTION("""COMPUTED_VALUE"""),54.7)</f>
        <v>54.7</v>
      </c>
      <c r="E346" s="6" t="str">
        <f>IFERROR(__xludf.DUMMYFUNCTION("""COMPUTED_VALUE"""),"No")</f>
        <v>No</v>
      </c>
      <c r="F346" s="8" t="str">
        <f>IFERROR(__xludf.DUMMYFUNCTION("""COMPUTED_VALUE"""),"No")</f>
        <v>No</v>
      </c>
    </row>
    <row r="347">
      <c r="A347" s="5">
        <f>IFERROR(__xludf.DUMMYFUNCTION("""COMPUTED_VALUE"""),44638.0)</f>
        <v>44638</v>
      </c>
      <c r="B347" s="6" t="str">
        <f>IFERROR(__xludf.DUMMYFUNCTION("""COMPUTED_VALUE"""),"dinner")</f>
        <v>dinner</v>
      </c>
      <c r="C347" s="6" t="str">
        <f>IFERROR(__xludf.DUMMYFUNCTION("""COMPUTED_VALUE"""),"employee B")</f>
        <v>employee B</v>
      </c>
      <c r="D347" s="7">
        <f>IFERROR(__xludf.DUMMYFUNCTION("""COMPUTED_VALUE"""),33.43)</f>
        <v>33.43</v>
      </c>
      <c r="E347" s="6" t="str">
        <f>IFERROR(__xludf.DUMMYFUNCTION("""COMPUTED_VALUE"""),"No")</f>
        <v>No</v>
      </c>
      <c r="F347" s="8" t="str">
        <f>IFERROR(__xludf.DUMMYFUNCTION("""COMPUTED_VALUE"""),"No")</f>
        <v>No</v>
      </c>
    </row>
    <row r="348">
      <c r="A348" s="5">
        <f>IFERROR(__xludf.DUMMYFUNCTION("""COMPUTED_VALUE"""),44638.0)</f>
        <v>44638</v>
      </c>
      <c r="B348" s="6" t="str">
        <f>IFERROR(__xludf.DUMMYFUNCTION("""COMPUTED_VALUE"""),"dinner")</f>
        <v>dinner</v>
      </c>
      <c r="C348" s="6" t="str">
        <f>IFERROR(__xludf.DUMMYFUNCTION("""COMPUTED_VALUE"""),"employee L")</f>
        <v>employee L</v>
      </c>
      <c r="D348" s="7">
        <f>IFERROR(__xludf.DUMMYFUNCTION("""COMPUTED_VALUE"""),39.5)</f>
        <v>39.5</v>
      </c>
      <c r="E348" s="6" t="str">
        <f>IFERROR(__xludf.DUMMYFUNCTION("""COMPUTED_VALUE"""),"No")</f>
        <v>No</v>
      </c>
      <c r="F348" s="8" t="str">
        <f>IFERROR(__xludf.DUMMYFUNCTION("""COMPUTED_VALUE"""),"No")</f>
        <v>No</v>
      </c>
    </row>
    <row r="349">
      <c r="A349" s="5">
        <f>IFERROR(__xludf.DUMMYFUNCTION("""COMPUTED_VALUE"""),44639.0)</f>
        <v>44639</v>
      </c>
      <c r="B349" s="6" t="str">
        <f>IFERROR(__xludf.DUMMYFUNCTION("""COMPUTED_VALUE"""),"lunch")</f>
        <v>lunch</v>
      </c>
      <c r="C349" s="6" t="str">
        <f>IFERROR(__xludf.DUMMYFUNCTION("""COMPUTED_VALUE"""),"employee Q")</f>
        <v>employee Q</v>
      </c>
      <c r="D349" s="7">
        <f>IFERROR(__xludf.DUMMYFUNCTION("""COMPUTED_VALUE"""),40.74)</f>
        <v>40.74</v>
      </c>
      <c r="E349" s="6" t="str">
        <f>IFERROR(__xludf.DUMMYFUNCTION("""COMPUTED_VALUE"""),"No")</f>
        <v>No</v>
      </c>
      <c r="F349" s="8" t="str">
        <f>IFERROR(__xludf.DUMMYFUNCTION("""COMPUTED_VALUE"""),"No")</f>
        <v>No</v>
      </c>
    </row>
    <row r="350">
      <c r="A350" s="5">
        <f>IFERROR(__xludf.DUMMYFUNCTION("""COMPUTED_VALUE"""),44639.0)</f>
        <v>44639</v>
      </c>
      <c r="B350" s="6" t="str">
        <f>IFERROR(__xludf.DUMMYFUNCTION("""COMPUTED_VALUE"""),"lunch")</f>
        <v>lunch</v>
      </c>
      <c r="C350" s="6" t="str">
        <f>IFERROR(__xludf.DUMMYFUNCTION("""COMPUTED_VALUE"""),"employee J")</f>
        <v>employee J</v>
      </c>
      <c r="D350" s="7">
        <f>IFERROR(__xludf.DUMMYFUNCTION("""COMPUTED_VALUE"""),81.49)</f>
        <v>81.49</v>
      </c>
      <c r="E350" s="6" t="str">
        <f>IFERROR(__xludf.DUMMYFUNCTION("""COMPUTED_VALUE"""),"No")</f>
        <v>No</v>
      </c>
      <c r="F350" s="8" t="str">
        <f>IFERROR(__xludf.DUMMYFUNCTION("""COMPUTED_VALUE"""),"No")</f>
        <v>No</v>
      </c>
    </row>
    <row r="351">
      <c r="A351" s="5">
        <f>IFERROR(__xludf.DUMMYFUNCTION("""COMPUTED_VALUE"""),44639.0)</f>
        <v>44639</v>
      </c>
      <c r="B351" s="6" t="str">
        <f>IFERROR(__xludf.DUMMYFUNCTION("""COMPUTED_VALUE"""),"lunch")</f>
        <v>lunch</v>
      </c>
      <c r="C351" s="6" t="str">
        <f>IFERROR(__xludf.DUMMYFUNCTION("""COMPUTED_VALUE"""),"employee L")</f>
        <v>employee L</v>
      </c>
      <c r="D351" s="7">
        <f>IFERROR(__xludf.DUMMYFUNCTION("""COMPUTED_VALUE"""),90.54)</f>
        <v>90.54</v>
      </c>
      <c r="E351" s="6" t="str">
        <f>IFERROR(__xludf.DUMMYFUNCTION("""COMPUTED_VALUE"""),"No")</f>
        <v>No</v>
      </c>
      <c r="F351" s="8" t="str">
        <f>IFERROR(__xludf.DUMMYFUNCTION("""COMPUTED_VALUE"""),"No")</f>
        <v>No</v>
      </c>
    </row>
    <row r="352">
      <c r="A352" s="5">
        <f>IFERROR(__xludf.DUMMYFUNCTION("""COMPUTED_VALUE"""),44639.0)</f>
        <v>44639</v>
      </c>
      <c r="B352" s="6" t="str">
        <f>IFERROR(__xludf.DUMMYFUNCTION("""COMPUTED_VALUE"""),"dinner")</f>
        <v>dinner</v>
      </c>
      <c r="C352" s="6" t="str">
        <f>IFERROR(__xludf.DUMMYFUNCTION("""COMPUTED_VALUE"""),"employee J")</f>
        <v>employee J</v>
      </c>
      <c r="D352" s="7">
        <f>IFERROR(__xludf.DUMMYFUNCTION("""COMPUTED_VALUE"""),59.6)</f>
        <v>59.6</v>
      </c>
      <c r="E352" s="6" t="str">
        <f>IFERROR(__xludf.DUMMYFUNCTION("""COMPUTED_VALUE"""),"No")</f>
        <v>No</v>
      </c>
      <c r="F352" s="8" t="str">
        <f>IFERROR(__xludf.DUMMYFUNCTION("""COMPUTED_VALUE"""),"No")</f>
        <v>No</v>
      </c>
    </row>
    <row r="353">
      <c r="A353" s="5">
        <f>IFERROR(__xludf.DUMMYFUNCTION("""COMPUTED_VALUE"""),44639.0)</f>
        <v>44639</v>
      </c>
      <c r="B353" s="6" t="str">
        <f>IFERROR(__xludf.DUMMYFUNCTION("""COMPUTED_VALUE"""),"dinner")</f>
        <v>dinner</v>
      </c>
      <c r="C353" s="6" t="str">
        <f>IFERROR(__xludf.DUMMYFUNCTION("""COMPUTED_VALUE"""),"employee L")</f>
        <v>employee L</v>
      </c>
      <c r="D353" s="7">
        <f>IFERROR(__xludf.DUMMYFUNCTION("""COMPUTED_VALUE"""),59.6)</f>
        <v>59.6</v>
      </c>
      <c r="E353" s="6" t="str">
        <f>IFERROR(__xludf.DUMMYFUNCTION("""COMPUTED_VALUE"""),"No")</f>
        <v>No</v>
      </c>
      <c r="F353" s="8" t="str">
        <f>IFERROR(__xludf.DUMMYFUNCTION("""COMPUTED_VALUE"""),"No")</f>
        <v>No</v>
      </c>
    </row>
    <row r="354">
      <c r="A354" s="5">
        <f>IFERROR(__xludf.DUMMYFUNCTION("""COMPUTED_VALUE"""),44639.0)</f>
        <v>44639</v>
      </c>
      <c r="B354" s="6" t="str">
        <f>IFERROR(__xludf.DUMMYFUNCTION("""COMPUTED_VALUE"""),"dinner")</f>
        <v>dinner</v>
      </c>
      <c r="C354" s="6" t="str">
        <f>IFERROR(__xludf.DUMMYFUNCTION("""COMPUTED_VALUE"""),"employee B")</f>
        <v>employee B</v>
      </c>
      <c r="D354" s="7">
        <f>IFERROR(__xludf.DUMMYFUNCTION("""COMPUTED_VALUE"""),59.6)</f>
        <v>59.6</v>
      </c>
      <c r="E354" s="6" t="str">
        <f>IFERROR(__xludf.DUMMYFUNCTION("""COMPUTED_VALUE"""),"No")</f>
        <v>No</v>
      </c>
      <c r="F354" s="8" t="str">
        <f>IFERROR(__xludf.DUMMYFUNCTION("""COMPUTED_VALUE"""),"No")</f>
        <v>No</v>
      </c>
    </row>
    <row r="355">
      <c r="A355" s="5">
        <f>IFERROR(__xludf.DUMMYFUNCTION("""COMPUTED_VALUE"""),44640.0)</f>
        <v>44640</v>
      </c>
      <c r="B355" s="6" t="str">
        <f>IFERROR(__xludf.DUMMYFUNCTION("""COMPUTED_VALUE"""),"lunch")</f>
        <v>lunch</v>
      </c>
      <c r="C355" s="6" t="str">
        <f>IFERROR(__xludf.DUMMYFUNCTION("""COMPUTED_VALUE"""),"employee Q")</f>
        <v>employee Q</v>
      </c>
      <c r="D355" s="7">
        <f>IFERROR(__xludf.DUMMYFUNCTION("""COMPUTED_VALUE"""),43.9)</f>
        <v>43.9</v>
      </c>
      <c r="E355" s="6" t="str">
        <f>IFERROR(__xludf.DUMMYFUNCTION("""COMPUTED_VALUE"""),"No")</f>
        <v>No</v>
      </c>
      <c r="F355" s="8" t="str">
        <f>IFERROR(__xludf.DUMMYFUNCTION("""COMPUTED_VALUE"""),"No")</f>
        <v>No</v>
      </c>
    </row>
    <row r="356">
      <c r="A356" s="5">
        <f>IFERROR(__xludf.DUMMYFUNCTION("""COMPUTED_VALUE"""),44640.0)</f>
        <v>44640</v>
      </c>
      <c r="B356" s="6" t="str">
        <f>IFERROR(__xludf.DUMMYFUNCTION("""COMPUTED_VALUE"""),"lunch")</f>
        <v>lunch</v>
      </c>
      <c r="C356" s="6" t="str">
        <f>IFERROR(__xludf.DUMMYFUNCTION("""COMPUTED_VALUE"""),"employee B")</f>
        <v>employee B</v>
      </c>
      <c r="D356" s="7">
        <f>IFERROR(__xludf.DUMMYFUNCTION("""COMPUTED_VALUE"""),79.85)</f>
        <v>79.85</v>
      </c>
      <c r="E356" s="6" t="str">
        <f>IFERROR(__xludf.DUMMYFUNCTION("""COMPUTED_VALUE"""),"No")</f>
        <v>No</v>
      </c>
      <c r="F356" s="8" t="str">
        <f>IFERROR(__xludf.DUMMYFUNCTION("""COMPUTED_VALUE"""),"No")</f>
        <v>No</v>
      </c>
    </row>
    <row r="357">
      <c r="A357" s="5">
        <f>IFERROR(__xludf.DUMMYFUNCTION("""COMPUTED_VALUE"""),44640.0)</f>
        <v>44640</v>
      </c>
      <c r="B357" s="6" t="str">
        <f>IFERROR(__xludf.DUMMYFUNCTION("""COMPUTED_VALUE"""),"lunch")</f>
        <v>lunch</v>
      </c>
      <c r="C357" s="6" t="str">
        <f>IFERROR(__xludf.DUMMYFUNCTION("""COMPUTED_VALUE"""),"employee L")</f>
        <v>employee L</v>
      </c>
      <c r="D357" s="7">
        <f>IFERROR(__xludf.DUMMYFUNCTION("""COMPUTED_VALUE"""),99.81)</f>
        <v>99.81</v>
      </c>
      <c r="E357" s="6" t="str">
        <f>IFERROR(__xludf.DUMMYFUNCTION("""COMPUTED_VALUE"""),"No")</f>
        <v>No</v>
      </c>
      <c r="F357" s="8" t="str">
        <f>IFERROR(__xludf.DUMMYFUNCTION("""COMPUTED_VALUE"""),"No")</f>
        <v>No</v>
      </c>
    </row>
    <row r="358">
      <c r="A358" s="5">
        <f>IFERROR(__xludf.DUMMYFUNCTION("""COMPUTED_VALUE"""),44640.0)</f>
        <v>44640</v>
      </c>
      <c r="B358" s="6" t="str">
        <f>IFERROR(__xludf.DUMMYFUNCTION("""COMPUTED_VALUE"""),"lunch")</f>
        <v>lunch</v>
      </c>
      <c r="C358" s="6" t="str">
        <f>IFERROR(__xludf.DUMMYFUNCTION("""COMPUTED_VALUE"""),"employee J")</f>
        <v>employee J</v>
      </c>
      <c r="D358" s="7">
        <f>IFERROR(__xludf.DUMMYFUNCTION("""COMPUTED_VALUE"""),75.86)</f>
        <v>75.86</v>
      </c>
      <c r="E358" s="6" t="str">
        <f>IFERROR(__xludf.DUMMYFUNCTION("""COMPUTED_VALUE"""),"No")</f>
        <v>No</v>
      </c>
      <c r="F358" s="8" t="str">
        <f>IFERROR(__xludf.DUMMYFUNCTION("""COMPUTED_VALUE"""),"No")</f>
        <v>No</v>
      </c>
    </row>
    <row r="359">
      <c r="A359" s="5">
        <f>IFERROR(__xludf.DUMMYFUNCTION("""COMPUTED_VALUE"""),44640.0)</f>
        <v>44640</v>
      </c>
      <c r="B359" s="6" t="str">
        <f>IFERROR(__xludf.DUMMYFUNCTION("""COMPUTED_VALUE"""),"dinner")</f>
        <v>dinner</v>
      </c>
      <c r="C359" s="6" t="str">
        <f>IFERROR(__xludf.DUMMYFUNCTION("""COMPUTED_VALUE"""),"employee B")</f>
        <v>employee B</v>
      </c>
      <c r="D359" s="7">
        <f>IFERROR(__xludf.DUMMYFUNCTION("""COMPUTED_VALUE"""),49.45)</f>
        <v>49.45</v>
      </c>
      <c r="E359" s="6" t="str">
        <f>IFERROR(__xludf.DUMMYFUNCTION("""COMPUTED_VALUE"""),"No")</f>
        <v>No</v>
      </c>
      <c r="F359" s="8" t="str">
        <f>IFERROR(__xludf.DUMMYFUNCTION("""COMPUTED_VALUE"""),"No")</f>
        <v>No</v>
      </c>
    </row>
    <row r="360">
      <c r="A360" s="5">
        <f>IFERROR(__xludf.DUMMYFUNCTION("""COMPUTED_VALUE"""),44640.0)</f>
        <v>44640</v>
      </c>
      <c r="B360" s="6" t="str">
        <f>IFERROR(__xludf.DUMMYFUNCTION("""COMPUTED_VALUE"""),"dinner")</f>
        <v>dinner</v>
      </c>
      <c r="C360" s="6" t="str">
        <f>IFERROR(__xludf.DUMMYFUNCTION("""COMPUTED_VALUE"""),"employee C")</f>
        <v>employee C</v>
      </c>
      <c r="D360" s="7">
        <f>IFERROR(__xludf.DUMMYFUNCTION("""COMPUTED_VALUE"""),59.34)</f>
        <v>59.34</v>
      </c>
      <c r="E360" s="6" t="str">
        <f>IFERROR(__xludf.DUMMYFUNCTION("""COMPUTED_VALUE"""),"No")</f>
        <v>No</v>
      </c>
      <c r="F360" s="8" t="str">
        <f>IFERROR(__xludf.DUMMYFUNCTION("""COMPUTED_VALUE"""),"No")</f>
        <v>No</v>
      </c>
    </row>
    <row r="361">
      <c r="A361" s="5">
        <f>IFERROR(__xludf.DUMMYFUNCTION("""COMPUTED_VALUE"""),44640.0)</f>
        <v>44640</v>
      </c>
      <c r="B361" s="6" t="str">
        <f>IFERROR(__xludf.DUMMYFUNCTION("""COMPUTED_VALUE"""),"dinner")</f>
        <v>dinner</v>
      </c>
      <c r="C361" s="6" t="str">
        <f>IFERROR(__xludf.DUMMYFUNCTION("""COMPUTED_VALUE"""),"employee I")</f>
        <v>employee I</v>
      </c>
      <c r="D361" s="7">
        <f>IFERROR(__xludf.DUMMYFUNCTION("""COMPUTED_VALUE"""),46.15)</f>
        <v>46.15</v>
      </c>
      <c r="E361" s="6" t="str">
        <f>IFERROR(__xludf.DUMMYFUNCTION("""COMPUTED_VALUE"""),"No")</f>
        <v>No</v>
      </c>
      <c r="F361" s="8" t="str">
        <f>IFERROR(__xludf.DUMMYFUNCTION("""COMPUTED_VALUE"""),"No")</f>
        <v>No</v>
      </c>
    </row>
    <row r="362">
      <c r="A362" s="5">
        <f>IFERROR(__xludf.DUMMYFUNCTION("""COMPUTED_VALUE"""),44641.0)</f>
        <v>44641</v>
      </c>
      <c r="B362" s="6" t="str">
        <f>IFERROR(__xludf.DUMMYFUNCTION("""COMPUTED_VALUE"""),"lunch")</f>
        <v>lunch</v>
      </c>
      <c r="C362" s="6" t="str">
        <f>IFERROR(__xludf.DUMMYFUNCTION("""COMPUTED_VALUE"""),"employee Q")</f>
        <v>employee Q</v>
      </c>
      <c r="D362" s="7">
        <f>IFERROR(__xludf.DUMMYFUNCTION("""COMPUTED_VALUE"""),66.0)</f>
        <v>66</v>
      </c>
      <c r="E362" s="6" t="str">
        <f>IFERROR(__xludf.DUMMYFUNCTION("""COMPUTED_VALUE"""),"No")</f>
        <v>No</v>
      </c>
      <c r="F362" s="8" t="str">
        <f>IFERROR(__xludf.DUMMYFUNCTION("""COMPUTED_VALUE"""),"No")</f>
        <v>No</v>
      </c>
    </row>
    <row r="363">
      <c r="A363" s="5">
        <f>IFERROR(__xludf.DUMMYFUNCTION("""COMPUTED_VALUE"""),44641.0)</f>
        <v>44641</v>
      </c>
      <c r="B363" s="6" t="str">
        <f>IFERROR(__xludf.DUMMYFUNCTION("""COMPUTED_VALUE"""),"dinner")</f>
        <v>dinner</v>
      </c>
      <c r="C363" s="6" t="str">
        <f>IFERROR(__xludf.DUMMYFUNCTION("""COMPUTED_VALUE"""),"employee Q")</f>
        <v>employee Q</v>
      </c>
      <c r="D363" s="7">
        <f>IFERROR(__xludf.DUMMYFUNCTION("""COMPUTED_VALUE"""),78.0)</f>
        <v>78</v>
      </c>
      <c r="E363" s="6" t="str">
        <f>IFERROR(__xludf.DUMMYFUNCTION("""COMPUTED_VALUE"""),"No")</f>
        <v>No</v>
      </c>
      <c r="F363" s="8" t="str">
        <f>IFERROR(__xludf.DUMMYFUNCTION("""COMPUTED_VALUE"""),"No")</f>
        <v>No</v>
      </c>
    </row>
    <row r="364">
      <c r="A364" s="5">
        <f>IFERROR(__xludf.DUMMYFUNCTION("""COMPUTED_VALUE"""),44641.0)</f>
        <v>44641</v>
      </c>
      <c r="B364" s="6" t="str">
        <f>IFERROR(__xludf.DUMMYFUNCTION("""COMPUTED_VALUE"""),"dinner")</f>
        <v>dinner</v>
      </c>
      <c r="C364" s="6" t="str">
        <f>IFERROR(__xludf.DUMMYFUNCTION("""COMPUTED_VALUE"""),"employee C")</f>
        <v>employee C</v>
      </c>
      <c r="D364" s="7">
        <f>IFERROR(__xludf.DUMMYFUNCTION("""COMPUTED_VALUE"""),56.34)</f>
        <v>56.34</v>
      </c>
      <c r="E364" s="6" t="str">
        <f>IFERROR(__xludf.DUMMYFUNCTION("""COMPUTED_VALUE"""),"No")</f>
        <v>No</v>
      </c>
      <c r="F364" s="8" t="str">
        <f>IFERROR(__xludf.DUMMYFUNCTION("""COMPUTED_VALUE"""),"No")</f>
        <v>No</v>
      </c>
    </row>
    <row r="365">
      <c r="A365" s="5">
        <f>IFERROR(__xludf.DUMMYFUNCTION("""COMPUTED_VALUE"""),44641.0)</f>
        <v>44641</v>
      </c>
      <c r="B365" s="6" t="str">
        <f>IFERROR(__xludf.DUMMYFUNCTION("""COMPUTED_VALUE"""),"dinner")</f>
        <v>dinner</v>
      </c>
      <c r="C365" s="6" t="str">
        <f>IFERROR(__xludf.DUMMYFUNCTION("""COMPUTED_VALUE"""),"employee I")</f>
        <v>employee I</v>
      </c>
      <c r="D365" s="7">
        <f>IFERROR(__xludf.DUMMYFUNCTION("""COMPUTED_VALUE"""),60.67)</f>
        <v>60.67</v>
      </c>
      <c r="E365" s="6" t="str">
        <f>IFERROR(__xludf.DUMMYFUNCTION("""COMPUTED_VALUE"""),"No")</f>
        <v>No</v>
      </c>
      <c r="F365" s="8" t="str">
        <f>IFERROR(__xludf.DUMMYFUNCTION("""COMPUTED_VALUE"""),"No")</f>
        <v>No</v>
      </c>
    </row>
    <row r="366">
      <c r="A366" s="5">
        <f>IFERROR(__xludf.DUMMYFUNCTION("""COMPUTED_VALUE"""),44642.0)</f>
        <v>44642</v>
      </c>
      <c r="B366" s="6" t="str">
        <f>IFERROR(__xludf.DUMMYFUNCTION("""COMPUTED_VALUE"""),"lunch")</f>
        <v>lunch</v>
      </c>
      <c r="C366" s="6" t="str">
        <f>IFERROR(__xludf.DUMMYFUNCTION("""COMPUTED_VALUE"""),"employee J")</f>
        <v>employee J</v>
      </c>
      <c r="D366" s="7">
        <f>IFERROR(__xludf.DUMMYFUNCTION("""COMPUTED_VALUE"""),116.17)</f>
        <v>116.17</v>
      </c>
      <c r="E366" s="6" t="str">
        <f>IFERROR(__xludf.DUMMYFUNCTION("""COMPUTED_VALUE"""),"No")</f>
        <v>No</v>
      </c>
      <c r="F366" s="8" t="str">
        <f>IFERROR(__xludf.DUMMYFUNCTION("""COMPUTED_VALUE"""),"No")</f>
        <v>No</v>
      </c>
    </row>
    <row r="367">
      <c r="A367" s="5">
        <f>IFERROR(__xludf.DUMMYFUNCTION("""COMPUTED_VALUE"""),44642.0)</f>
        <v>44642</v>
      </c>
      <c r="B367" s="6" t="str">
        <f>IFERROR(__xludf.DUMMYFUNCTION("""COMPUTED_VALUE"""),"dinner")</f>
        <v>dinner</v>
      </c>
      <c r="C367" s="6" t="str">
        <f>IFERROR(__xludf.DUMMYFUNCTION("""COMPUTED_VALUE"""),"employee J")</f>
        <v>employee J</v>
      </c>
      <c r="D367" s="7">
        <f>IFERROR(__xludf.DUMMYFUNCTION("""COMPUTED_VALUE"""),93.36)</f>
        <v>93.36</v>
      </c>
      <c r="E367" s="6" t="str">
        <f>IFERROR(__xludf.DUMMYFUNCTION("""COMPUTED_VALUE"""),"No")</f>
        <v>No</v>
      </c>
      <c r="F367" s="8" t="str">
        <f>IFERROR(__xludf.DUMMYFUNCTION("""COMPUTED_VALUE"""),"No")</f>
        <v>No</v>
      </c>
    </row>
    <row r="368">
      <c r="A368" s="5">
        <f>IFERROR(__xludf.DUMMYFUNCTION("""COMPUTED_VALUE"""),44642.0)</f>
        <v>44642</v>
      </c>
      <c r="B368" s="6" t="str">
        <f>IFERROR(__xludf.DUMMYFUNCTION("""COMPUTED_VALUE"""),"dinner")</f>
        <v>dinner</v>
      </c>
      <c r="C368" s="6" t="str">
        <f>IFERROR(__xludf.DUMMYFUNCTION("""COMPUTED_VALUE"""),"employee C")</f>
        <v>employee C</v>
      </c>
      <c r="D368" s="7">
        <f>IFERROR(__xludf.DUMMYFUNCTION("""COMPUTED_VALUE"""),93.36)</f>
        <v>93.36</v>
      </c>
      <c r="E368" s="6" t="str">
        <f>IFERROR(__xludf.DUMMYFUNCTION("""COMPUTED_VALUE"""),"No")</f>
        <v>No</v>
      </c>
      <c r="F368" s="8" t="str">
        <f>IFERROR(__xludf.DUMMYFUNCTION("""COMPUTED_VALUE"""),"No")</f>
        <v>No</v>
      </c>
    </row>
    <row r="369">
      <c r="A369" s="5">
        <f>IFERROR(__xludf.DUMMYFUNCTION("""COMPUTED_VALUE"""),44642.0)</f>
        <v>44642</v>
      </c>
      <c r="B369" s="6" t="str">
        <f>IFERROR(__xludf.DUMMYFUNCTION("""COMPUTED_VALUE"""),"dinner")</f>
        <v>dinner</v>
      </c>
      <c r="C369" s="6" t="str">
        <f>IFERROR(__xludf.DUMMYFUNCTION("""COMPUTED_VALUE"""),"employee I")</f>
        <v>employee I</v>
      </c>
      <c r="D369" s="7">
        <f>IFERROR(__xludf.DUMMYFUNCTION("""COMPUTED_VALUE"""),72.62)</f>
        <v>72.62</v>
      </c>
      <c r="E369" s="6" t="str">
        <f>IFERROR(__xludf.DUMMYFUNCTION("""COMPUTED_VALUE"""),"No")</f>
        <v>No</v>
      </c>
      <c r="F369" s="8" t="str">
        <f>IFERROR(__xludf.DUMMYFUNCTION("""COMPUTED_VALUE"""),"No")</f>
        <v>No</v>
      </c>
    </row>
    <row r="370">
      <c r="A370" s="5">
        <f>IFERROR(__xludf.DUMMYFUNCTION("""COMPUTED_VALUE"""),44643.0)</f>
        <v>44643</v>
      </c>
      <c r="B370" s="6" t="str">
        <f>IFERROR(__xludf.DUMMYFUNCTION("""COMPUTED_VALUE"""),"lunch")</f>
        <v>lunch</v>
      </c>
      <c r="C370" s="6" t="str">
        <f>IFERROR(__xludf.DUMMYFUNCTION("""COMPUTED_VALUE"""),"employee Q")</f>
        <v>employee Q</v>
      </c>
      <c r="D370" s="7">
        <f>IFERROR(__xludf.DUMMYFUNCTION("""COMPUTED_VALUE"""),82.56)</f>
        <v>82.56</v>
      </c>
      <c r="E370" s="6" t="str">
        <f>IFERROR(__xludf.DUMMYFUNCTION("""COMPUTED_VALUE"""),"No")</f>
        <v>No</v>
      </c>
      <c r="F370" s="8" t="str">
        <f>IFERROR(__xludf.DUMMYFUNCTION("""COMPUTED_VALUE"""),"No")</f>
        <v>No</v>
      </c>
    </row>
    <row r="371">
      <c r="A371" s="5">
        <f>IFERROR(__xludf.DUMMYFUNCTION("""COMPUTED_VALUE"""),44643.0)</f>
        <v>44643</v>
      </c>
      <c r="B371" s="6" t="str">
        <f>IFERROR(__xludf.DUMMYFUNCTION("""COMPUTED_VALUE"""),"dinner")</f>
        <v>dinner</v>
      </c>
      <c r="C371" s="6" t="str">
        <f>IFERROR(__xludf.DUMMYFUNCTION("""COMPUTED_VALUE"""),"employee J")</f>
        <v>employee J</v>
      </c>
      <c r="D371" s="7">
        <f>IFERROR(__xludf.DUMMYFUNCTION("""COMPUTED_VALUE"""),77.89)</f>
        <v>77.89</v>
      </c>
      <c r="E371" s="6" t="str">
        <f>IFERROR(__xludf.DUMMYFUNCTION("""COMPUTED_VALUE"""),"No")</f>
        <v>No</v>
      </c>
      <c r="F371" s="8" t="str">
        <f>IFERROR(__xludf.DUMMYFUNCTION("""COMPUTED_VALUE"""),"No")</f>
        <v>No</v>
      </c>
    </row>
    <row r="372">
      <c r="A372" s="5">
        <f>IFERROR(__xludf.DUMMYFUNCTION("""COMPUTED_VALUE"""),44643.0)</f>
        <v>44643</v>
      </c>
      <c r="B372" s="6" t="str">
        <f>IFERROR(__xludf.DUMMYFUNCTION("""COMPUTED_VALUE"""),"dinner")</f>
        <v>dinner</v>
      </c>
      <c r="C372" s="6" t="str">
        <f>IFERROR(__xludf.DUMMYFUNCTION("""COMPUTED_VALUE"""),"employee C")</f>
        <v>employee C</v>
      </c>
      <c r="D372" s="7">
        <f>IFERROR(__xludf.DUMMYFUNCTION("""COMPUTED_VALUE"""),77.89)</f>
        <v>77.89</v>
      </c>
      <c r="E372" s="6" t="str">
        <f>IFERROR(__xludf.DUMMYFUNCTION("""COMPUTED_VALUE"""),"No")</f>
        <v>No</v>
      </c>
      <c r="F372" s="8" t="str">
        <f>IFERROR(__xludf.DUMMYFUNCTION("""COMPUTED_VALUE"""),"No")</f>
        <v>No</v>
      </c>
    </row>
    <row r="373">
      <c r="A373" s="5">
        <f>IFERROR(__xludf.DUMMYFUNCTION("""COMPUTED_VALUE"""),44643.0)</f>
        <v>44643</v>
      </c>
      <c r="B373" s="6" t="str">
        <f>IFERROR(__xludf.DUMMYFUNCTION("""COMPUTED_VALUE"""),"dinner")</f>
        <v>dinner</v>
      </c>
      <c r="C373" s="6" t="str">
        <f>IFERROR(__xludf.DUMMYFUNCTION("""COMPUTED_VALUE"""),"employee I")</f>
        <v>employee I</v>
      </c>
      <c r="D373" s="7">
        <f>IFERROR(__xludf.DUMMYFUNCTION("""COMPUTED_VALUE"""),60.58)</f>
        <v>60.58</v>
      </c>
      <c r="E373" s="6" t="str">
        <f>IFERROR(__xludf.DUMMYFUNCTION("""COMPUTED_VALUE"""),"No")</f>
        <v>No</v>
      </c>
      <c r="F373" s="8" t="str">
        <f>IFERROR(__xludf.DUMMYFUNCTION("""COMPUTED_VALUE"""),"No")</f>
        <v>No</v>
      </c>
    </row>
    <row r="374">
      <c r="A374" s="5">
        <f>IFERROR(__xludf.DUMMYFUNCTION("""COMPUTED_VALUE"""),44644.0)</f>
        <v>44644</v>
      </c>
      <c r="B374" s="6" t="str">
        <f>IFERROR(__xludf.DUMMYFUNCTION("""COMPUTED_VALUE"""),"lunch")</f>
        <v>lunch</v>
      </c>
      <c r="C374" s="6" t="str">
        <f>IFERROR(__xludf.DUMMYFUNCTION("""COMPUTED_VALUE"""),"employee J")</f>
        <v>employee J</v>
      </c>
      <c r="D374" s="7">
        <f>IFERROR(__xludf.DUMMYFUNCTION("""COMPUTED_VALUE"""),82.31)</f>
        <v>82.31</v>
      </c>
      <c r="E374" s="6" t="str">
        <f>IFERROR(__xludf.DUMMYFUNCTION("""COMPUTED_VALUE"""),"No")</f>
        <v>No</v>
      </c>
      <c r="F374" s="8" t="str">
        <f>IFERROR(__xludf.DUMMYFUNCTION("""COMPUTED_VALUE"""),"No")</f>
        <v>No</v>
      </c>
    </row>
    <row r="375">
      <c r="A375" s="5">
        <f>IFERROR(__xludf.DUMMYFUNCTION("""COMPUTED_VALUE"""),44644.0)</f>
        <v>44644</v>
      </c>
      <c r="B375" s="6" t="str">
        <f>IFERROR(__xludf.DUMMYFUNCTION("""COMPUTED_VALUE"""),"dinner")</f>
        <v>dinner</v>
      </c>
      <c r="C375" s="6" t="str">
        <f>IFERROR(__xludf.DUMMYFUNCTION("""COMPUTED_VALUE"""),"employee B")</f>
        <v>employee B</v>
      </c>
      <c r="D375" s="7">
        <f>IFERROR(__xludf.DUMMYFUNCTION("""COMPUTED_VALUE"""),75.92)</f>
        <v>75.92</v>
      </c>
      <c r="E375" s="6" t="str">
        <f>IFERROR(__xludf.DUMMYFUNCTION("""COMPUTED_VALUE"""),"No")</f>
        <v>No</v>
      </c>
      <c r="F375" s="8" t="str">
        <f>IFERROR(__xludf.DUMMYFUNCTION("""COMPUTED_VALUE"""),"No")</f>
        <v>No</v>
      </c>
    </row>
    <row r="376">
      <c r="A376" s="5">
        <f>IFERROR(__xludf.DUMMYFUNCTION("""COMPUTED_VALUE"""),44644.0)</f>
        <v>44644</v>
      </c>
      <c r="B376" s="6" t="str">
        <f>IFERROR(__xludf.DUMMYFUNCTION("""COMPUTED_VALUE"""),"dinner")</f>
        <v>dinner</v>
      </c>
      <c r="C376" s="6" t="str">
        <f>IFERROR(__xludf.DUMMYFUNCTION("""COMPUTED_VALUE"""),"employee C")</f>
        <v>employee C</v>
      </c>
      <c r="D376" s="7">
        <f>IFERROR(__xludf.DUMMYFUNCTION("""COMPUTED_VALUE"""),59.04)</f>
        <v>59.04</v>
      </c>
      <c r="E376" s="6" t="str">
        <f>IFERROR(__xludf.DUMMYFUNCTION("""COMPUTED_VALUE"""),"No")</f>
        <v>No</v>
      </c>
      <c r="F376" s="8" t="str">
        <f>IFERROR(__xludf.DUMMYFUNCTION("""COMPUTED_VALUE"""),"No")</f>
        <v>No</v>
      </c>
    </row>
    <row r="377">
      <c r="A377" s="5">
        <f>IFERROR(__xludf.DUMMYFUNCTION("""COMPUTED_VALUE"""),44644.0)</f>
        <v>44644</v>
      </c>
      <c r="B377" s="6" t="str">
        <f>IFERROR(__xludf.DUMMYFUNCTION("""COMPUTED_VALUE"""),"dinner")</f>
        <v>dinner</v>
      </c>
      <c r="C377" s="6" t="str">
        <f>IFERROR(__xludf.DUMMYFUNCTION("""COMPUTED_VALUE"""),"employee I")</f>
        <v>employee I</v>
      </c>
      <c r="D377" s="7">
        <f>IFERROR(__xludf.DUMMYFUNCTION("""COMPUTED_VALUE"""),59.04)</f>
        <v>59.04</v>
      </c>
      <c r="E377" s="6" t="str">
        <f>IFERROR(__xludf.DUMMYFUNCTION("""COMPUTED_VALUE"""),"No")</f>
        <v>No</v>
      </c>
      <c r="F377" s="8" t="str">
        <f>IFERROR(__xludf.DUMMYFUNCTION("""COMPUTED_VALUE"""),"No")</f>
        <v>No</v>
      </c>
    </row>
    <row r="378">
      <c r="A378" s="5">
        <f>IFERROR(__xludf.DUMMYFUNCTION("""COMPUTED_VALUE"""),44645.0)</f>
        <v>44645</v>
      </c>
      <c r="B378" s="6" t="str">
        <f>IFERROR(__xludf.DUMMYFUNCTION("""COMPUTED_VALUE"""),"lunch")</f>
        <v>lunch</v>
      </c>
      <c r="C378" s="6" t="str">
        <f>IFERROR(__xludf.DUMMYFUNCTION("""COMPUTED_VALUE"""),"employee J")</f>
        <v>employee J</v>
      </c>
      <c r="D378" s="7">
        <f>IFERROR(__xludf.DUMMYFUNCTION("""COMPUTED_VALUE"""),117.94)</f>
        <v>117.94</v>
      </c>
      <c r="E378" s="6" t="str">
        <f>IFERROR(__xludf.DUMMYFUNCTION("""COMPUTED_VALUE"""),"No")</f>
        <v>No</v>
      </c>
      <c r="F378" s="8" t="str">
        <f>IFERROR(__xludf.DUMMYFUNCTION("""COMPUTED_VALUE"""),"No")</f>
        <v>No</v>
      </c>
    </row>
    <row r="379">
      <c r="A379" s="5">
        <f>IFERROR(__xludf.DUMMYFUNCTION("""COMPUTED_VALUE"""),44645.0)</f>
        <v>44645</v>
      </c>
      <c r="B379" s="6" t="str">
        <f>IFERROR(__xludf.DUMMYFUNCTION("""COMPUTED_VALUE"""),"dinner")</f>
        <v>dinner</v>
      </c>
      <c r="C379" s="6" t="str">
        <f>IFERROR(__xludf.DUMMYFUNCTION("""COMPUTED_VALUE"""),"employee J")</f>
        <v>employee J</v>
      </c>
      <c r="D379" s="7">
        <f>IFERROR(__xludf.DUMMYFUNCTION("""COMPUTED_VALUE"""),152.31)</f>
        <v>152.31</v>
      </c>
      <c r="E379" s="6" t="str">
        <f>IFERROR(__xludf.DUMMYFUNCTION("""COMPUTED_VALUE"""),"No")</f>
        <v>No</v>
      </c>
      <c r="F379" s="8" t="str">
        <f>IFERROR(__xludf.DUMMYFUNCTION("""COMPUTED_VALUE"""),"No")</f>
        <v>No</v>
      </c>
    </row>
    <row r="380">
      <c r="A380" s="5">
        <f>IFERROR(__xludf.DUMMYFUNCTION("""COMPUTED_VALUE"""),44645.0)</f>
        <v>44645</v>
      </c>
      <c r="B380" s="6" t="str">
        <f>IFERROR(__xludf.DUMMYFUNCTION("""COMPUTED_VALUE"""),"dinner")</f>
        <v>dinner</v>
      </c>
      <c r="C380" s="6" t="str">
        <f>IFERROR(__xludf.DUMMYFUNCTION("""COMPUTED_VALUE"""),"employee C")</f>
        <v>employee C</v>
      </c>
      <c r="D380" s="7">
        <f>IFERROR(__xludf.DUMMYFUNCTION("""COMPUTED_VALUE"""),152.31)</f>
        <v>152.31</v>
      </c>
      <c r="E380" s="6" t="str">
        <f>IFERROR(__xludf.DUMMYFUNCTION("""COMPUTED_VALUE"""),"No")</f>
        <v>No</v>
      </c>
      <c r="F380" s="8" t="str">
        <f>IFERROR(__xludf.DUMMYFUNCTION("""COMPUTED_VALUE"""),"No")</f>
        <v>No</v>
      </c>
    </row>
    <row r="381">
      <c r="A381" s="5">
        <f>IFERROR(__xludf.DUMMYFUNCTION("""COMPUTED_VALUE"""),44645.0)</f>
        <v>44645</v>
      </c>
      <c r="B381" s="6" t="str">
        <f>IFERROR(__xludf.DUMMYFUNCTION("""COMPUTED_VALUE"""),"dinner")</f>
        <v>dinner</v>
      </c>
      <c r="C381" s="6" t="str">
        <f>IFERROR(__xludf.DUMMYFUNCTION("""COMPUTED_VALUE"""),"employee I")</f>
        <v>employee I</v>
      </c>
      <c r="D381" s="7">
        <f>IFERROR(__xludf.DUMMYFUNCTION("""COMPUTED_VALUE"""),135.39)</f>
        <v>135.39</v>
      </c>
      <c r="E381" s="6" t="str">
        <f>IFERROR(__xludf.DUMMYFUNCTION("""COMPUTED_VALUE"""),"No")</f>
        <v>No</v>
      </c>
      <c r="F381" s="8" t="str">
        <f>IFERROR(__xludf.DUMMYFUNCTION("""COMPUTED_VALUE"""),"No")</f>
        <v>No</v>
      </c>
    </row>
    <row r="382">
      <c r="A382" s="5">
        <f>IFERROR(__xludf.DUMMYFUNCTION("""COMPUTED_VALUE"""),44646.0)</f>
        <v>44646</v>
      </c>
      <c r="B382" s="6" t="str">
        <f>IFERROR(__xludf.DUMMYFUNCTION("""COMPUTED_VALUE"""),"lunch")</f>
        <v>lunch</v>
      </c>
      <c r="C382" s="6" t="str">
        <f>IFERROR(__xludf.DUMMYFUNCTION("""COMPUTED_VALUE"""),"employee Q")</f>
        <v>employee Q</v>
      </c>
      <c r="D382" s="7">
        <f>IFERROR(__xludf.DUMMYFUNCTION("""COMPUTED_VALUE"""),104.25)</f>
        <v>104.25</v>
      </c>
      <c r="E382" s="6" t="str">
        <f>IFERROR(__xludf.DUMMYFUNCTION("""COMPUTED_VALUE"""),"No")</f>
        <v>No</v>
      </c>
      <c r="F382" s="8" t="str">
        <f>IFERROR(__xludf.DUMMYFUNCTION("""COMPUTED_VALUE"""),"No")</f>
        <v>No</v>
      </c>
    </row>
    <row r="383">
      <c r="A383" s="5">
        <f>IFERROR(__xludf.DUMMYFUNCTION("""COMPUTED_VALUE"""),44646.0)</f>
        <v>44646</v>
      </c>
      <c r="B383" s="6" t="str">
        <f>IFERROR(__xludf.DUMMYFUNCTION("""COMPUTED_VALUE"""),"lunch")</f>
        <v>lunch</v>
      </c>
      <c r="C383" s="6" t="str">
        <f>IFERROR(__xludf.DUMMYFUNCTION("""COMPUTED_VALUE"""),"employee C")</f>
        <v>employee C</v>
      </c>
      <c r="D383" s="7">
        <f>IFERROR(__xludf.DUMMYFUNCTION("""COMPUTED_VALUE"""),80.19)</f>
        <v>80.19</v>
      </c>
      <c r="E383" s="6" t="str">
        <f>IFERROR(__xludf.DUMMYFUNCTION("""COMPUTED_VALUE"""),"No")</f>
        <v>No</v>
      </c>
      <c r="F383" s="8" t="str">
        <f>IFERROR(__xludf.DUMMYFUNCTION("""COMPUTED_VALUE"""),"No")</f>
        <v>No</v>
      </c>
    </row>
    <row r="384">
      <c r="A384" s="5">
        <f>IFERROR(__xludf.DUMMYFUNCTION("""COMPUTED_VALUE"""),44646.0)</f>
        <v>44646</v>
      </c>
      <c r="B384" s="6" t="str">
        <f>IFERROR(__xludf.DUMMYFUNCTION("""COMPUTED_VALUE"""),"lunch")</f>
        <v>lunch</v>
      </c>
      <c r="C384" s="6" t="str">
        <f>IFERROR(__xludf.DUMMYFUNCTION("""COMPUTED_VALUE"""),"employee J")</f>
        <v>employee J</v>
      </c>
      <c r="D384" s="7">
        <f>IFERROR(__xludf.DUMMYFUNCTION("""COMPUTED_VALUE"""),72.17)</f>
        <v>72.17</v>
      </c>
      <c r="E384" s="6" t="str">
        <f>IFERROR(__xludf.DUMMYFUNCTION("""COMPUTED_VALUE"""),"No")</f>
        <v>No</v>
      </c>
      <c r="F384" s="8" t="str">
        <f>IFERROR(__xludf.DUMMYFUNCTION("""COMPUTED_VALUE"""),"No")</f>
        <v>No</v>
      </c>
    </row>
    <row r="385">
      <c r="A385" s="5">
        <f>IFERROR(__xludf.DUMMYFUNCTION("""COMPUTED_VALUE"""),44646.0)</f>
        <v>44646</v>
      </c>
      <c r="B385" s="6" t="str">
        <f>IFERROR(__xludf.DUMMYFUNCTION("""COMPUTED_VALUE"""),"dinner")</f>
        <v>dinner</v>
      </c>
      <c r="C385" s="6" t="str">
        <f>IFERROR(__xludf.DUMMYFUNCTION("""COMPUTED_VALUE"""),"employee J")</f>
        <v>employee J</v>
      </c>
      <c r="D385" s="7">
        <f>IFERROR(__xludf.DUMMYFUNCTION("""COMPUTED_VALUE"""),63.01)</f>
        <v>63.01</v>
      </c>
      <c r="E385" s="6" t="str">
        <f>IFERROR(__xludf.DUMMYFUNCTION("""COMPUTED_VALUE"""),"No")</f>
        <v>No</v>
      </c>
      <c r="F385" s="8" t="str">
        <f>IFERROR(__xludf.DUMMYFUNCTION("""COMPUTED_VALUE"""),"No")</f>
        <v>No</v>
      </c>
    </row>
    <row r="386">
      <c r="A386" s="5">
        <f>IFERROR(__xludf.DUMMYFUNCTION("""COMPUTED_VALUE"""),44646.0)</f>
        <v>44646</v>
      </c>
      <c r="B386" s="6" t="str">
        <f>IFERROR(__xludf.DUMMYFUNCTION("""COMPUTED_VALUE"""),"dinner")</f>
        <v>dinner</v>
      </c>
      <c r="C386" s="6" t="str">
        <f>IFERROR(__xludf.DUMMYFUNCTION("""COMPUTED_VALUE"""),"employee C")</f>
        <v>employee C</v>
      </c>
      <c r="D386" s="7">
        <f>IFERROR(__xludf.DUMMYFUNCTION("""COMPUTED_VALUE"""),42.01)</f>
        <v>42.01</v>
      </c>
      <c r="E386" s="6" t="str">
        <f>IFERROR(__xludf.DUMMYFUNCTION("""COMPUTED_VALUE"""),"No")</f>
        <v>No</v>
      </c>
      <c r="F386" s="8" t="str">
        <f>IFERROR(__xludf.DUMMYFUNCTION("""COMPUTED_VALUE"""),"No")</f>
        <v>No</v>
      </c>
    </row>
    <row r="387">
      <c r="A387" s="5">
        <f>IFERROR(__xludf.DUMMYFUNCTION("""COMPUTED_VALUE"""),44646.0)</f>
        <v>44646</v>
      </c>
      <c r="B387" s="6" t="str">
        <f>IFERROR(__xludf.DUMMYFUNCTION("""COMPUTED_VALUE"""),"dinner")</f>
        <v>dinner</v>
      </c>
      <c r="C387" s="6" t="str">
        <f>IFERROR(__xludf.DUMMYFUNCTION("""COMPUTED_VALUE"""),"employee I")</f>
        <v>employee I</v>
      </c>
      <c r="D387" s="7">
        <f>IFERROR(__xludf.DUMMYFUNCTION("""COMPUTED_VALUE"""),49.01)</f>
        <v>49.01</v>
      </c>
      <c r="E387" s="6" t="str">
        <f>IFERROR(__xludf.DUMMYFUNCTION("""COMPUTED_VALUE"""),"No")</f>
        <v>No</v>
      </c>
      <c r="F387" s="8" t="str">
        <f>IFERROR(__xludf.DUMMYFUNCTION("""COMPUTED_VALUE"""),"No")</f>
        <v>No</v>
      </c>
    </row>
    <row r="388">
      <c r="A388" s="5">
        <f>IFERROR(__xludf.DUMMYFUNCTION("""COMPUTED_VALUE"""),44647.0)</f>
        <v>44647</v>
      </c>
      <c r="B388" s="6" t="str">
        <f>IFERROR(__xludf.DUMMYFUNCTION("""COMPUTED_VALUE"""),"lunch")</f>
        <v>lunch</v>
      </c>
      <c r="C388" s="6" t="str">
        <f>IFERROR(__xludf.DUMMYFUNCTION("""COMPUTED_VALUE"""),"employee Q")</f>
        <v>employee Q</v>
      </c>
      <c r="D388" s="7">
        <f>IFERROR(__xludf.DUMMYFUNCTION("""COMPUTED_VALUE"""),174.11)</f>
        <v>174.11</v>
      </c>
      <c r="E388" s="6" t="str">
        <f>IFERROR(__xludf.DUMMYFUNCTION("""COMPUTED_VALUE"""),"No")</f>
        <v>No</v>
      </c>
      <c r="F388" s="8" t="str">
        <f>IFERROR(__xludf.DUMMYFUNCTION("""COMPUTED_VALUE"""),"No")</f>
        <v>No</v>
      </c>
    </row>
    <row r="389">
      <c r="A389" s="5">
        <f>IFERROR(__xludf.DUMMYFUNCTION("""COMPUTED_VALUE"""),44647.0)</f>
        <v>44647</v>
      </c>
      <c r="B389" s="6" t="str">
        <f>IFERROR(__xludf.DUMMYFUNCTION("""COMPUTED_VALUE"""),"lunch")</f>
        <v>lunch</v>
      </c>
      <c r="C389" s="6" t="str">
        <f>IFERROR(__xludf.DUMMYFUNCTION("""COMPUTED_VALUE"""),"employee B")</f>
        <v>employee B</v>
      </c>
      <c r="D389" s="7">
        <f>IFERROR(__xludf.DUMMYFUNCTION("""COMPUTED_VALUE"""),124.37)</f>
        <v>124.37</v>
      </c>
      <c r="E389" s="6" t="str">
        <f>IFERROR(__xludf.DUMMYFUNCTION("""COMPUTED_VALUE"""),"No")</f>
        <v>No</v>
      </c>
      <c r="F389" s="8" t="str">
        <f>IFERROR(__xludf.DUMMYFUNCTION("""COMPUTED_VALUE"""),"No")</f>
        <v>No</v>
      </c>
    </row>
    <row r="390">
      <c r="A390" s="5">
        <f>IFERROR(__xludf.DUMMYFUNCTION("""COMPUTED_VALUE"""),44647.0)</f>
        <v>44647</v>
      </c>
      <c r="B390" s="6" t="str">
        <f>IFERROR(__xludf.DUMMYFUNCTION("""COMPUTED_VALUE"""),"lunch")</f>
        <v>lunch</v>
      </c>
      <c r="C390" s="6" t="str">
        <f>IFERROR(__xludf.DUMMYFUNCTION("""COMPUTED_VALUE"""),"employee I")</f>
        <v>employee I</v>
      </c>
      <c r="D390" s="7">
        <f>IFERROR(__xludf.DUMMYFUNCTION("""COMPUTED_VALUE"""),105.71)</f>
        <v>105.71</v>
      </c>
      <c r="E390" s="6" t="str">
        <f>IFERROR(__xludf.DUMMYFUNCTION("""COMPUTED_VALUE"""),"No")</f>
        <v>No</v>
      </c>
      <c r="F390" s="8" t="str">
        <f>IFERROR(__xludf.DUMMYFUNCTION("""COMPUTED_VALUE"""),"No")</f>
        <v>No</v>
      </c>
    </row>
    <row r="391">
      <c r="A391" s="5">
        <f>IFERROR(__xludf.DUMMYFUNCTION("""COMPUTED_VALUE"""),44647.0)</f>
        <v>44647</v>
      </c>
      <c r="B391" s="6" t="str">
        <f>IFERROR(__xludf.DUMMYFUNCTION("""COMPUTED_VALUE"""),"dinner")</f>
        <v>dinner</v>
      </c>
      <c r="C391" s="6" t="str">
        <f>IFERROR(__xludf.DUMMYFUNCTION("""COMPUTED_VALUE"""),"employee B")</f>
        <v>employee B</v>
      </c>
      <c r="D391" s="7">
        <f>IFERROR(__xludf.DUMMYFUNCTION("""COMPUTED_VALUE"""),84.11)</f>
        <v>84.11</v>
      </c>
      <c r="E391" s="6" t="str">
        <f>IFERROR(__xludf.DUMMYFUNCTION("""COMPUTED_VALUE"""),"No")</f>
        <v>No</v>
      </c>
      <c r="F391" s="8" t="str">
        <f>IFERROR(__xludf.DUMMYFUNCTION("""COMPUTED_VALUE"""),"No")</f>
        <v>No</v>
      </c>
    </row>
    <row r="392">
      <c r="A392" s="5">
        <f>IFERROR(__xludf.DUMMYFUNCTION("""COMPUTED_VALUE"""),44647.0)</f>
        <v>44647</v>
      </c>
      <c r="B392" s="6" t="str">
        <f>IFERROR(__xludf.DUMMYFUNCTION("""COMPUTED_VALUE"""),"dinner")</f>
        <v>dinner</v>
      </c>
      <c r="C392" s="6" t="str">
        <f>IFERROR(__xludf.DUMMYFUNCTION("""COMPUTED_VALUE"""),"employee I")</f>
        <v>employee I</v>
      </c>
      <c r="D392" s="7">
        <f>IFERROR(__xludf.DUMMYFUNCTION("""COMPUTED_VALUE"""),84.11)</f>
        <v>84.11</v>
      </c>
      <c r="E392" s="6" t="str">
        <f>IFERROR(__xludf.DUMMYFUNCTION("""COMPUTED_VALUE"""),"No")</f>
        <v>No</v>
      </c>
      <c r="F392" s="8" t="str">
        <f>IFERROR(__xludf.DUMMYFUNCTION("""COMPUTED_VALUE"""),"No")</f>
        <v>No</v>
      </c>
    </row>
    <row r="393">
      <c r="A393" s="5">
        <f>IFERROR(__xludf.DUMMYFUNCTION("""COMPUTED_VALUE"""),44647.0)</f>
        <v>44647</v>
      </c>
      <c r="B393" s="6" t="str">
        <f>IFERROR(__xludf.DUMMYFUNCTION("""COMPUTED_VALUE"""),"dinner")</f>
        <v>dinner</v>
      </c>
      <c r="C393" s="6" t="str">
        <f>IFERROR(__xludf.DUMMYFUNCTION("""COMPUTED_VALUE"""),"employee C")</f>
        <v>employee C</v>
      </c>
      <c r="D393" s="7">
        <f>IFERROR(__xludf.DUMMYFUNCTION("""COMPUTED_VALUE"""),84.11)</f>
        <v>84.11</v>
      </c>
      <c r="E393" s="6" t="str">
        <f>IFERROR(__xludf.DUMMYFUNCTION("""COMPUTED_VALUE"""),"No")</f>
        <v>No</v>
      </c>
      <c r="F393" s="8" t="str">
        <f>IFERROR(__xludf.DUMMYFUNCTION("""COMPUTED_VALUE"""),"No")</f>
        <v>No</v>
      </c>
    </row>
    <row r="394">
      <c r="A394" s="5">
        <f>IFERROR(__xludf.DUMMYFUNCTION("""COMPUTED_VALUE"""),44647.0)</f>
        <v>44647</v>
      </c>
      <c r="B394" s="6" t="str">
        <f>IFERROR(__xludf.DUMMYFUNCTION("""COMPUTED_VALUE"""),"dinner")</f>
        <v>dinner</v>
      </c>
      <c r="C394" s="6" t="str">
        <f>IFERROR(__xludf.DUMMYFUNCTION("""COMPUTED_VALUE"""),"employee J")</f>
        <v>employee J</v>
      </c>
      <c r="D394" s="7">
        <f>IFERROR(__xludf.DUMMYFUNCTION("""COMPUTED_VALUE"""),28.4)</f>
        <v>28.4</v>
      </c>
      <c r="E394" s="6" t="str">
        <f>IFERROR(__xludf.DUMMYFUNCTION("""COMPUTED_VALUE"""),"No")</f>
        <v>No</v>
      </c>
      <c r="F394" s="8" t="str">
        <f>IFERROR(__xludf.DUMMYFUNCTION("""COMPUTED_VALUE"""),"No")</f>
        <v>No</v>
      </c>
    </row>
    <row r="395">
      <c r="A395" s="5">
        <f>IFERROR(__xludf.DUMMYFUNCTION("""COMPUTED_VALUE"""),44648.0)</f>
        <v>44648</v>
      </c>
      <c r="B395" s="6" t="str">
        <f>IFERROR(__xludf.DUMMYFUNCTION("""COMPUTED_VALUE"""),"lunch")</f>
        <v>lunch</v>
      </c>
      <c r="C395" s="6" t="str">
        <f>IFERROR(__xludf.DUMMYFUNCTION("""COMPUTED_VALUE"""),"employee Q")</f>
        <v>employee Q</v>
      </c>
      <c r="D395" s="7">
        <f>IFERROR(__xludf.DUMMYFUNCTION("""COMPUTED_VALUE"""),40.91)</f>
        <v>40.91</v>
      </c>
      <c r="E395" s="6" t="str">
        <f>IFERROR(__xludf.DUMMYFUNCTION("""COMPUTED_VALUE"""),"No")</f>
        <v>No</v>
      </c>
      <c r="F395" s="8" t="str">
        <f>IFERROR(__xludf.DUMMYFUNCTION("""COMPUTED_VALUE"""),"No")</f>
        <v>No</v>
      </c>
    </row>
    <row r="396">
      <c r="A396" s="5">
        <f>IFERROR(__xludf.DUMMYFUNCTION("""COMPUTED_VALUE"""),44648.0)</f>
        <v>44648</v>
      </c>
      <c r="B396" s="6" t="str">
        <f>IFERROR(__xludf.DUMMYFUNCTION("""COMPUTED_VALUE"""),"dinner")</f>
        <v>dinner</v>
      </c>
      <c r="C396" s="6" t="str">
        <f>IFERROR(__xludf.DUMMYFUNCTION("""COMPUTED_VALUE"""),"employee Q")</f>
        <v>employee Q</v>
      </c>
      <c r="D396" s="7">
        <f>IFERROR(__xludf.DUMMYFUNCTION("""COMPUTED_VALUE"""),75.31)</f>
        <v>75.31</v>
      </c>
      <c r="E396" s="6" t="str">
        <f>IFERROR(__xludf.DUMMYFUNCTION("""COMPUTED_VALUE"""),"No")</f>
        <v>No</v>
      </c>
      <c r="F396" s="8" t="str">
        <f>IFERROR(__xludf.DUMMYFUNCTION("""COMPUTED_VALUE"""),"No")</f>
        <v>No</v>
      </c>
    </row>
    <row r="397">
      <c r="A397" s="5">
        <f>IFERROR(__xludf.DUMMYFUNCTION("""COMPUTED_VALUE"""),44648.0)</f>
        <v>44648</v>
      </c>
      <c r="B397" s="6" t="str">
        <f>IFERROR(__xludf.DUMMYFUNCTION("""COMPUTED_VALUE"""),"dinner")</f>
        <v>dinner</v>
      </c>
      <c r="C397" s="6" t="str">
        <f>IFERROR(__xludf.DUMMYFUNCTION("""COMPUTED_VALUE"""),"employee C")</f>
        <v>employee C</v>
      </c>
      <c r="D397" s="7">
        <f>IFERROR(__xludf.DUMMYFUNCTION("""COMPUTED_VALUE"""),75.31)</f>
        <v>75.31</v>
      </c>
      <c r="E397" s="6" t="str">
        <f>IFERROR(__xludf.DUMMYFUNCTION("""COMPUTED_VALUE"""),"No")</f>
        <v>No</v>
      </c>
      <c r="F397" s="8" t="str">
        <f>IFERROR(__xludf.DUMMYFUNCTION("""COMPUTED_VALUE"""),"No")</f>
        <v>No</v>
      </c>
    </row>
    <row r="398">
      <c r="A398" s="5">
        <f>IFERROR(__xludf.DUMMYFUNCTION("""COMPUTED_VALUE"""),44648.0)</f>
        <v>44648</v>
      </c>
      <c r="B398" s="6" t="str">
        <f>IFERROR(__xludf.DUMMYFUNCTION("""COMPUTED_VALUE"""),"dinner")</f>
        <v>dinner</v>
      </c>
      <c r="C398" s="6" t="str">
        <f>IFERROR(__xludf.DUMMYFUNCTION("""COMPUTED_VALUE"""),"employee I")</f>
        <v>employee I</v>
      </c>
      <c r="D398" s="7">
        <f>IFERROR(__xludf.DUMMYFUNCTION("""COMPUTED_VALUE"""),58.57)</f>
        <v>58.57</v>
      </c>
      <c r="E398" s="6" t="str">
        <f>IFERROR(__xludf.DUMMYFUNCTION("""COMPUTED_VALUE"""),"No")</f>
        <v>No</v>
      </c>
      <c r="F398" s="8" t="str">
        <f>IFERROR(__xludf.DUMMYFUNCTION("""COMPUTED_VALUE"""),"No")</f>
        <v>No</v>
      </c>
    </row>
    <row r="399">
      <c r="A399" s="5">
        <f>IFERROR(__xludf.DUMMYFUNCTION("""COMPUTED_VALUE"""),44649.0)</f>
        <v>44649</v>
      </c>
      <c r="B399" s="6" t="str">
        <f>IFERROR(__xludf.DUMMYFUNCTION("""COMPUTED_VALUE"""),"lunch")</f>
        <v>lunch</v>
      </c>
      <c r="C399" s="6" t="str">
        <f>IFERROR(__xludf.DUMMYFUNCTION("""COMPUTED_VALUE"""),"employee J")</f>
        <v>employee J</v>
      </c>
      <c r="D399" s="7">
        <f>IFERROR(__xludf.DUMMYFUNCTION("""COMPUTED_VALUE"""),71.3)</f>
        <v>71.3</v>
      </c>
      <c r="E399" s="6" t="str">
        <f>IFERROR(__xludf.DUMMYFUNCTION("""COMPUTED_VALUE"""),"No")</f>
        <v>No</v>
      </c>
      <c r="F399" s="8" t="str">
        <f>IFERROR(__xludf.DUMMYFUNCTION("""COMPUTED_VALUE"""),"No")</f>
        <v>No</v>
      </c>
    </row>
    <row r="400">
      <c r="A400" s="5">
        <f>IFERROR(__xludf.DUMMYFUNCTION("""COMPUTED_VALUE"""),44649.0)</f>
        <v>44649</v>
      </c>
      <c r="B400" s="6" t="str">
        <f>IFERROR(__xludf.DUMMYFUNCTION("""COMPUTED_VALUE"""),"dinner")</f>
        <v>dinner</v>
      </c>
      <c r="C400" s="6" t="str">
        <f>IFERROR(__xludf.DUMMYFUNCTION("""COMPUTED_VALUE"""),"employee J")</f>
        <v>employee J</v>
      </c>
      <c r="D400" s="7">
        <f>IFERROR(__xludf.DUMMYFUNCTION("""COMPUTED_VALUE"""),66.76)</f>
        <v>66.76</v>
      </c>
      <c r="E400" s="6" t="str">
        <f>IFERROR(__xludf.DUMMYFUNCTION("""COMPUTED_VALUE"""),"No")</f>
        <v>No</v>
      </c>
      <c r="F400" s="8" t="str">
        <f>IFERROR(__xludf.DUMMYFUNCTION("""COMPUTED_VALUE"""),"No")</f>
        <v>No</v>
      </c>
    </row>
    <row r="401">
      <c r="A401" s="5">
        <f>IFERROR(__xludf.DUMMYFUNCTION("""COMPUTED_VALUE"""),44649.0)</f>
        <v>44649</v>
      </c>
      <c r="B401" s="6" t="str">
        <f>IFERROR(__xludf.DUMMYFUNCTION("""COMPUTED_VALUE"""),"dinner")</f>
        <v>dinner</v>
      </c>
      <c r="C401" s="6" t="str">
        <f>IFERROR(__xludf.DUMMYFUNCTION("""COMPUTED_VALUE"""),"employee C")</f>
        <v>employee C</v>
      </c>
      <c r="D401" s="7">
        <f>IFERROR(__xludf.DUMMYFUNCTION("""COMPUTED_VALUE"""),59.34)</f>
        <v>59.34</v>
      </c>
      <c r="E401" s="6" t="str">
        <f>IFERROR(__xludf.DUMMYFUNCTION("""COMPUTED_VALUE"""),"No")</f>
        <v>No</v>
      </c>
      <c r="F401" s="8" t="str">
        <f>IFERROR(__xludf.DUMMYFUNCTION("""COMPUTED_VALUE"""),"No")</f>
        <v>No</v>
      </c>
    </row>
    <row r="402">
      <c r="A402" s="5">
        <f>IFERROR(__xludf.DUMMYFUNCTION("""COMPUTED_VALUE"""),44649.0)</f>
        <v>44649</v>
      </c>
      <c r="B402" s="6" t="str">
        <f>IFERROR(__xludf.DUMMYFUNCTION("""COMPUTED_VALUE"""),"dinner")</f>
        <v>dinner</v>
      </c>
      <c r="C402" s="6" t="str">
        <f>IFERROR(__xludf.DUMMYFUNCTION("""COMPUTED_VALUE"""),"employee I")</f>
        <v>employee I</v>
      </c>
      <c r="D402" s="7">
        <f>IFERROR(__xludf.DUMMYFUNCTION("""COMPUTED_VALUE"""),51.93)</f>
        <v>51.93</v>
      </c>
      <c r="E402" s="6" t="str">
        <f>IFERROR(__xludf.DUMMYFUNCTION("""COMPUTED_VALUE"""),"No")</f>
        <v>No</v>
      </c>
      <c r="F402" s="8" t="str">
        <f>IFERROR(__xludf.DUMMYFUNCTION("""COMPUTED_VALUE"""),"No")</f>
        <v>No</v>
      </c>
    </row>
    <row r="403">
      <c r="A403" s="5">
        <f>IFERROR(__xludf.DUMMYFUNCTION("""COMPUTED_VALUE"""),44650.0)</f>
        <v>44650</v>
      </c>
      <c r="B403" s="6" t="str">
        <f>IFERROR(__xludf.DUMMYFUNCTION("""COMPUTED_VALUE"""),"lunch")</f>
        <v>lunch</v>
      </c>
      <c r="C403" s="6" t="str">
        <f>IFERROR(__xludf.DUMMYFUNCTION("""COMPUTED_VALUE"""),"employee Q")</f>
        <v>employee Q</v>
      </c>
      <c r="D403" s="7">
        <f>IFERROR(__xludf.DUMMYFUNCTION("""COMPUTED_VALUE"""),80.34)</f>
        <v>80.34</v>
      </c>
      <c r="E403" s="6" t="str">
        <f>IFERROR(__xludf.DUMMYFUNCTION("""COMPUTED_VALUE"""),"No")</f>
        <v>No</v>
      </c>
      <c r="F403" s="8" t="str">
        <f>IFERROR(__xludf.DUMMYFUNCTION("""COMPUTED_VALUE"""),"No")</f>
        <v>No</v>
      </c>
    </row>
    <row r="404">
      <c r="A404" s="5">
        <f>IFERROR(__xludf.DUMMYFUNCTION("""COMPUTED_VALUE"""),44650.0)</f>
        <v>44650</v>
      </c>
      <c r="B404" s="6" t="str">
        <f>IFERROR(__xludf.DUMMYFUNCTION("""COMPUTED_VALUE"""),"dinner")</f>
        <v>dinner</v>
      </c>
      <c r="C404" s="6" t="str">
        <f>IFERROR(__xludf.DUMMYFUNCTION("""COMPUTED_VALUE"""),"employee J")</f>
        <v>employee J</v>
      </c>
      <c r="D404" s="7">
        <f>IFERROR(__xludf.DUMMYFUNCTION("""COMPUTED_VALUE"""),74.82)</f>
        <v>74.82</v>
      </c>
      <c r="E404" s="6" t="str">
        <f>IFERROR(__xludf.DUMMYFUNCTION("""COMPUTED_VALUE"""),"No")</f>
        <v>No</v>
      </c>
      <c r="F404" s="8" t="str">
        <f>IFERROR(__xludf.DUMMYFUNCTION("""COMPUTED_VALUE"""),"No")</f>
        <v>No</v>
      </c>
    </row>
    <row r="405">
      <c r="A405" s="5">
        <f>IFERROR(__xludf.DUMMYFUNCTION("""COMPUTED_VALUE"""),44650.0)</f>
        <v>44650</v>
      </c>
      <c r="B405" s="6" t="str">
        <f>IFERROR(__xludf.DUMMYFUNCTION("""COMPUTED_VALUE"""),"dinner")</f>
        <v>dinner</v>
      </c>
      <c r="C405" s="6" t="str">
        <f>IFERROR(__xludf.DUMMYFUNCTION("""COMPUTED_VALUE"""),"employee C")</f>
        <v>employee C</v>
      </c>
      <c r="D405" s="7">
        <f>IFERROR(__xludf.DUMMYFUNCTION("""COMPUTED_VALUE"""),74.82)</f>
        <v>74.82</v>
      </c>
      <c r="E405" s="6" t="str">
        <f>IFERROR(__xludf.DUMMYFUNCTION("""COMPUTED_VALUE"""),"No")</f>
        <v>No</v>
      </c>
      <c r="F405" s="8" t="str">
        <f>IFERROR(__xludf.DUMMYFUNCTION("""COMPUTED_VALUE"""),"No")</f>
        <v>No</v>
      </c>
    </row>
    <row r="406">
      <c r="A406" s="5">
        <f>IFERROR(__xludf.DUMMYFUNCTION("""COMPUTED_VALUE"""),44650.0)</f>
        <v>44650</v>
      </c>
      <c r="B406" s="6" t="str">
        <f>IFERROR(__xludf.DUMMYFUNCTION("""COMPUTED_VALUE"""),"dinner")</f>
        <v>dinner</v>
      </c>
      <c r="C406" s="6" t="str">
        <f>IFERROR(__xludf.DUMMYFUNCTION("""COMPUTED_VALUE"""),"employee I")</f>
        <v>employee I</v>
      </c>
      <c r="D406" s="7">
        <f>IFERROR(__xludf.DUMMYFUNCTION("""COMPUTED_VALUE"""),58.19)</f>
        <v>58.19</v>
      </c>
      <c r="E406" s="6" t="str">
        <f>IFERROR(__xludf.DUMMYFUNCTION("""COMPUTED_VALUE"""),"No")</f>
        <v>No</v>
      </c>
      <c r="F406" s="8" t="str">
        <f>IFERROR(__xludf.DUMMYFUNCTION("""COMPUTED_VALUE"""),"No")</f>
        <v>No</v>
      </c>
    </row>
    <row r="407">
      <c r="A407" s="5">
        <f>IFERROR(__xludf.DUMMYFUNCTION("""COMPUTED_VALUE"""),44651.0)</f>
        <v>44651</v>
      </c>
      <c r="B407" s="6" t="str">
        <f>IFERROR(__xludf.DUMMYFUNCTION("""COMPUTED_VALUE"""),"lunch")</f>
        <v>lunch</v>
      </c>
      <c r="C407" s="6" t="str">
        <f>IFERROR(__xludf.DUMMYFUNCTION("""COMPUTED_VALUE"""),"employee Q")</f>
        <v>employee Q</v>
      </c>
      <c r="D407" s="7">
        <f>IFERROR(__xludf.DUMMYFUNCTION("""COMPUTED_VALUE"""),71.75)</f>
        <v>71.75</v>
      </c>
      <c r="E407" s="6" t="str">
        <f>IFERROR(__xludf.DUMMYFUNCTION("""COMPUTED_VALUE"""),"No")</f>
        <v>No</v>
      </c>
      <c r="F407" s="8" t="str">
        <f>IFERROR(__xludf.DUMMYFUNCTION("""COMPUTED_VALUE"""),"No")</f>
        <v>No</v>
      </c>
    </row>
    <row r="408">
      <c r="A408" s="5">
        <f>IFERROR(__xludf.DUMMYFUNCTION("""COMPUTED_VALUE"""),44651.0)</f>
        <v>44651</v>
      </c>
      <c r="B408" s="6" t="str">
        <f>IFERROR(__xludf.DUMMYFUNCTION("""COMPUTED_VALUE"""),"dinner")</f>
        <v>dinner</v>
      </c>
      <c r="C408" s="6" t="str">
        <f>IFERROR(__xludf.DUMMYFUNCTION("""COMPUTED_VALUE"""),"employee B")</f>
        <v>employee B</v>
      </c>
      <c r="D408" s="7">
        <f>IFERROR(__xludf.DUMMYFUNCTION("""COMPUTED_VALUE"""),99.81)</f>
        <v>99.81</v>
      </c>
      <c r="E408" s="6" t="str">
        <f>IFERROR(__xludf.DUMMYFUNCTION("""COMPUTED_VALUE"""),"No")</f>
        <v>No</v>
      </c>
      <c r="F408" s="8" t="str">
        <f>IFERROR(__xludf.DUMMYFUNCTION("""COMPUTED_VALUE"""),"No")</f>
        <v>No</v>
      </c>
    </row>
    <row r="409">
      <c r="A409" s="5">
        <f>IFERROR(__xludf.DUMMYFUNCTION("""COMPUTED_VALUE"""),44651.0)</f>
        <v>44651</v>
      </c>
      <c r="B409" s="6" t="str">
        <f>IFERROR(__xludf.DUMMYFUNCTION("""COMPUTED_VALUE"""),"dinner")</f>
        <v>dinner</v>
      </c>
      <c r="C409" s="6" t="str">
        <f>IFERROR(__xludf.DUMMYFUNCTION("""COMPUTED_VALUE"""),"employee C")</f>
        <v>employee C</v>
      </c>
      <c r="D409" s="7">
        <f>IFERROR(__xludf.DUMMYFUNCTION("""COMPUTED_VALUE"""),77.62)</f>
        <v>77.62</v>
      </c>
      <c r="E409" s="6" t="str">
        <f>IFERROR(__xludf.DUMMYFUNCTION("""COMPUTED_VALUE"""),"No")</f>
        <v>No</v>
      </c>
      <c r="F409" s="8" t="str">
        <f>IFERROR(__xludf.DUMMYFUNCTION("""COMPUTED_VALUE"""),"No")</f>
        <v>No</v>
      </c>
    </row>
    <row r="410">
      <c r="A410" s="5">
        <f>IFERROR(__xludf.DUMMYFUNCTION("""COMPUTED_VALUE"""),44651.0)</f>
        <v>44651</v>
      </c>
      <c r="B410" s="6" t="str">
        <f>IFERROR(__xludf.DUMMYFUNCTION("""COMPUTED_VALUE"""),"dinner")</f>
        <v>dinner</v>
      </c>
      <c r="C410" s="6" t="str">
        <f>IFERROR(__xludf.DUMMYFUNCTION("""COMPUTED_VALUE"""),"employee I")</f>
        <v>employee I</v>
      </c>
      <c r="D410" s="7">
        <f>IFERROR(__xludf.DUMMYFUNCTION("""COMPUTED_VALUE"""),77.62)</f>
        <v>77.62</v>
      </c>
      <c r="E410" s="6" t="str">
        <f>IFERROR(__xludf.DUMMYFUNCTION("""COMPUTED_VALUE"""),"No")</f>
        <v>No</v>
      </c>
      <c r="F410" s="8" t="str">
        <f>IFERROR(__xludf.DUMMYFUNCTION("""COMPUTED_VALUE"""),"No")</f>
        <v>No</v>
      </c>
    </row>
    <row r="411">
      <c r="A411" s="5">
        <f>IFERROR(__xludf.DUMMYFUNCTION("""COMPUTED_VALUE"""),44652.0)</f>
        <v>44652</v>
      </c>
      <c r="B411" s="6" t="str">
        <f>IFERROR(__xludf.DUMMYFUNCTION("""COMPUTED_VALUE"""),"lunch")</f>
        <v>lunch</v>
      </c>
      <c r="C411" s="6" t="str">
        <f>IFERROR(__xludf.DUMMYFUNCTION("""COMPUTED_VALUE"""),"employee B")</f>
        <v>employee B</v>
      </c>
      <c r="D411" s="7">
        <f>IFERROR(__xludf.DUMMYFUNCTION("""COMPUTED_VALUE"""),43.5)</f>
        <v>43.5</v>
      </c>
      <c r="E411" s="6" t="str">
        <f>IFERROR(__xludf.DUMMYFUNCTION("""COMPUTED_VALUE"""),"No")</f>
        <v>No</v>
      </c>
      <c r="F411" s="8" t="str">
        <f>IFERROR(__xludf.DUMMYFUNCTION("""COMPUTED_VALUE"""),"No")</f>
        <v>No</v>
      </c>
    </row>
    <row r="412">
      <c r="A412" s="5">
        <f>IFERROR(__xludf.DUMMYFUNCTION("""COMPUTED_VALUE"""),44652.0)</f>
        <v>44652</v>
      </c>
      <c r="B412" s="6" t="str">
        <f>IFERROR(__xludf.DUMMYFUNCTION("""COMPUTED_VALUE"""),"lunch")</f>
        <v>lunch</v>
      </c>
      <c r="C412" s="6" t="str">
        <f>IFERROR(__xludf.DUMMYFUNCTION("""COMPUTED_VALUE"""),"employee L")</f>
        <v>employee L</v>
      </c>
      <c r="D412" s="7">
        <f>IFERROR(__xludf.DUMMYFUNCTION("""COMPUTED_VALUE"""),43.49)</f>
        <v>43.49</v>
      </c>
      <c r="E412" s="6" t="str">
        <f>IFERROR(__xludf.DUMMYFUNCTION("""COMPUTED_VALUE"""),"No")</f>
        <v>No</v>
      </c>
      <c r="F412" s="8" t="str">
        <f>IFERROR(__xludf.DUMMYFUNCTION("""COMPUTED_VALUE"""),"No")</f>
        <v>No</v>
      </c>
    </row>
    <row r="413">
      <c r="A413" s="5">
        <f>IFERROR(__xludf.DUMMYFUNCTION("""COMPUTED_VALUE"""),44652.0)</f>
        <v>44652</v>
      </c>
      <c r="B413" s="6" t="str">
        <f>IFERROR(__xludf.DUMMYFUNCTION("""COMPUTED_VALUE"""),"dinner")</f>
        <v>dinner</v>
      </c>
      <c r="C413" s="6" t="str">
        <f>IFERROR(__xludf.DUMMYFUNCTION("""COMPUTED_VALUE"""),"employee B")</f>
        <v>employee B</v>
      </c>
      <c r="D413" s="7">
        <f>IFERROR(__xludf.DUMMYFUNCTION("""COMPUTED_VALUE"""),83.96)</f>
        <v>83.96</v>
      </c>
      <c r="E413" s="6" t="str">
        <f>IFERROR(__xludf.DUMMYFUNCTION("""COMPUTED_VALUE"""),"No")</f>
        <v>No</v>
      </c>
      <c r="F413" s="8" t="str">
        <f>IFERROR(__xludf.DUMMYFUNCTION("""COMPUTED_VALUE"""),"No")</f>
        <v>No</v>
      </c>
    </row>
    <row r="414">
      <c r="A414" s="5">
        <f>IFERROR(__xludf.DUMMYFUNCTION("""COMPUTED_VALUE"""),44652.0)</f>
        <v>44652</v>
      </c>
      <c r="B414" s="6" t="str">
        <f>IFERROR(__xludf.DUMMYFUNCTION("""COMPUTED_VALUE"""),"dinner")</f>
        <v>dinner</v>
      </c>
      <c r="C414" s="6" t="str">
        <f>IFERROR(__xludf.DUMMYFUNCTION("""COMPUTED_VALUE"""),"employee L")</f>
        <v>employee L</v>
      </c>
      <c r="D414" s="7">
        <f>IFERROR(__xludf.DUMMYFUNCTION("""COMPUTED_VALUE"""),83.96)</f>
        <v>83.96</v>
      </c>
      <c r="E414" s="6" t="str">
        <f>IFERROR(__xludf.DUMMYFUNCTION("""COMPUTED_VALUE"""),"No")</f>
        <v>No</v>
      </c>
      <c r="F414" s="8" t="str">
        <f>IFERROR(__xludf.DUMMYFUNCTION("""COMPUTED_VALUE"""),"No")</f>
        <v>No</v>
      </c>
    </row>
    <row r="415">
      <c r="A415" s="5">
        <f>IFERROR(__xludf.DUMMYFUNCTION("""COMPUTED_VALUE"""),44652.0)</f>
        <v>44652</v>
      </c>
      <c r="B415" s="6" t="str">
        <f>IFERROR(__xludf.DUMMYFUNCTION("""COMPUTED_VALUE"""),"dinner")</f>
        <v>dinner</v>
      </c>
      <c r="C415" s="6" t="str">
        <f>IFERROR(__xludf.DUMMYFUNCTION("""COMPUTED_VALUE"""),"employee Q")</f>
        <v>employee Q</v>
      </c>
      <c r="D415" s="7">
        <f>IFERROR(__xludf.DUMMYFUNCTION("""COMPUTED_VALUE"""),83.96)</f>
        <v>83.96</v>
      </c>
      <c r="E415" s="6" t="str">
        <f>IFERROR(__xludf.DUMMYFUNCTION("""COMPUTED_VALUE"""),"No")</f>
        <v>No</v>
      </c>
      <c r="F415" s="8" t="str">
        <f>IFERROR(__xludf.DUMMYFUNCTION("""COMPUTED_VALUE"""),"No")</f>
        <v>No</v>
      </c>
    </row>
    <row r="416">
      <c r="A416" s="5">
        <f>IFERROR(__xludf.DUMMYFUNCTION("""COMPUTED_VALUE"""),44653.0)</f>
        <v>44653</v>
      </c>
      <c r="B416" s="6" t="str">
        <f>IFERROR(__xludf.DUMMYFUNCTION("""COMPUTED_VALUE"""),"lunch")</f>
        <v>lunch</v>
      </c>
      <c r="C416" s="6" t="str">
        <f>IFERROR(__xludf.DUMMYFUNCTION("""COMPUTED_VALUE"""),"employee Q")</f>
        <v>employee Q</v>
      </c>
      <c r="D416" s="7">
        <f>IFERROR(__xludf.DUMMYFUNCTION("""COMPUTED_VALUE"""),48.13)</f>
        <v>48.13</v>
      </c>
      <c r="E416" s="6" t="str">
        <f>IFERROR(__xludf.DUMMYFUNCTION("""COMPUTED_VALUE"""),"No")</f>
        <v>No</v>
      </c>
      <c r="F416" s="8" t="str">
        <f>IFERROR(__xludf.DUMMYFUNCTION("""COMPUTED_VALUE"""),"No")</f>
        <v>No</v>
      </c>
    </row>
    <row r="417">
      <c r="A417" s="5">
        <f>IFERROR(__xludf.DUMMYFUNCTION("""COMPUTED_VALUE"""),44653.0)</f>
        <v>44653</v>
      </c>
      <c r="B417" s="6" t="str">
        <f>IFERROR(__xludf.DUMMYFUNCTION("""COMPUTED_VALUE"""),"lunch")</f>
        <v>lunch</v>
      </c>
      <c r="C417" s="6" t="str">
        <f>IFERROR(__xludf.DUMMYFUNCTION("""COMPUTED_VALUE"""),"employee B")</f>
        <v>employee B</v>
      </c>
      <c r="D417" s="7">
        <f>IFERROR(__xludf.DUMMYFUNCTION("""COMPUTED_VALUE"""),53.5)</f>
        <v>53.5</v>
      </c>
      <c r="E417" s="6" t="str">
        <f>IFERROR(__xludf.DUMMYFUNCTION("""COMPUTED_VALUE"""),"No")</f>
        <v>No</v>
      </c>
      <c r="F417" s="8" t="str">
        <f>IFERROR(__xludf.DUMMYFUNCTION("""COMPUTED_VALUE"""),"No")</f>
        <v>No</v>
      </c>
    </row>
    <row r="418">
      <c r="A418" s="5">
        <f>IFERROR(__xludf.DUMMYFUNCTION("""COMPUTED_VALUE"""),44653.0)</f>
        <v>44653</v>
      </c>
      <c r="B418" s="6" t="str">
        <f>IFERROR(__xludf.DUMMYFUNCTION("""COMPUTED_VALUE"""),"lunch")</f>
        <v>lunch</v>
      </c>
      <c r="C418" s="6" t="str">
        <f>IFERROR(__xludf.DUMMYFUNCTION("""COMPUTED_VALUE"""),"employee L")</f>
        <v>employee L</v>
      </c>
      <c r="D418" s="7">
        <f>IFERROR(__xludf.DUMMYFUNCTION("""COMPUTED_VALUE"""),53.5)</f>
        <v>53.5</v>
      </c>
      <c r="E418" s="6" t="str">
        <f>IFERROR(__xludf.DUMMYFUNCTION("""COMPUTED_VALUE"""),"No")</f>
        <v>No</v>
      </c>
      <c r="F418" s="8" t="str">
        <f>IFERROR(__xludf.DUMMYFUNCTION("""COMPUTED_VALUE"""),"No")</f>
        <v>No</v>
      </c>
    </row>
    <row r="419">
      <c r="A419" s="5">
        <f>IFERROR(__xludf.DUMMYFUNCTION("""COMPUTED_VALUE"""),44653.0)</f>
        <v>44653</v>
      </c>
      <c r="B419" s="6" t="str">
        <f>IFERROR(__xludf.DUMMYFUNCTION("""COMPUTED_VALUE"""),"dinner")</f>
        <v>dinner</v>
      </c>
      <c r="C419" s="6" t="str">
        <f>IFERROR(__xludf.DUMMYFUNCTION("""COMPUTED_VALUE"""),"employee J")</f>
        <v>employee J</v>
      </c>
      <c r="D419" s="7">
        <f>IFERROR(__xludf.DUMMYFUNCTION("""COMPUTED_VALUE"""),94.97)</f>
        <v>94.97</v>
      </c>
      <c r="E419" s="6" t="str">
        <f>IFERROR(__xludf.DUMMYFUNCTION("""COMPUTED_VALUE"""),"No")</f>
        <v>No</v>
      </c>
      <c r="F419" s="8" t="str">
        <f>IFERROR(__xludf.DUMMYFUNCTION("""COMPUTED_VALUE"""),"No")</f>
        <v>No</v>
      </c>
    </row>
    <row r="420">
      <c r="A420" s="5">
        <f>IFERROR(__xludf.DUMMYFUNCTION("""COMPUTED_VALUE"""),44653.0)</f>
        <v>44653</v>
      </c>
      <c r="B420" s="6" t="str">
        <f>IFERROR(__xludf.DUMMYFUNCTION("""COMPUTED_VALUE"""),"dinner")</f>
        <v>dinner</v>
      </c>
      <c r="C420" s="6" t="str">
        <f>IFERROR(__xludf.DUMMYFUNCTION("""COMPUTED_VALUE"""),"employee B")</f>
        <v>employee B</v>
      </c>
      <c r="D420" s="7">
        <f>IFERROR(__xludf.DUMMYFUNCTION("""COMPUTED_VALUE"""),63.32)</f>
        <v>63.32</v>
      </c>
      <c r="E420" s="6" t="str">
        <f>IFERROR(__xludf.DUMMYFUNCTION("""COMPUTED_VALUE"""),"No")</f>
        <v>No</v>
      </c>
      <c r="F420" s="8" t="str">
        <f>IFERROR(__xludf.DUMMYFUNCTION("""COMPUTED_VALUE"""),"No")</f>
        <v>No</v>
      </c>
    </row>
    <row r="421">
      <c r="A421" s="5">
        <f>IFERROR(__xludf.DUMMYFUNCTION("""COMPUTED_VALUE"""),44653.0)</f>
        <v>44653</v>
      </c>
      <c r="B421" s="6" t="str">
        <f>IFERROR(__xludf.DUMMYFUNCTION("""COMPUTED_VALUE"""),"dinner")</f>
        <v>dinner</v>
      </c>
      <c r="C421" s="6" t="str">
        <f>IFERROR(__xludf.DUMMYFUNCTION("""COMPUTED_VALUE"""),"employee L")</f>
        <v>employee L</v>
      </c>
      <c r="D421" s="7">
        <f>IFERROR(__xludf.DUMMYFUNCTION("""COMPUTED_VALUE"""),94.97)</f>
        <v>94.97</v>
      </c>
      <c r="E421" s="6" t="str">
        <f>IFERROR(__xludf.DUMMYFUNCTION("""COMPUTED_VALUE"""),"No")</f>
        <v>No</v>
      </c>
      <c r="F421" s="8" t="str">
        <f>IFERROR(__xludf.DUMMYFUNCTION("""COMPUTED_VALUE"""),"No")</f>
        <v>No</v>
      </c>
    </row>
    <row r="422">
      <c r="A422" s="5">
        <f>IFERROR(__xludf.DUMMYFUNCTION("""COMPUTED_VALUE"""),44654.0)</f>
        <v>44654</v>
      </c>
      <c r="B422" s="6" t="str">
        <f>IFERROR(__xludf.DUMMYFUNCTION("""COMPUTED_VALUE"""),"lunch")</f>
        <v>lunch</v>
      </c>
      <c r="C422" s="6" t="str">
        <f>IFERROR(__xludf.DUMMYFUNCTION("""COMPUTED_VALUE"""),"employee Q")</f>
        <v>employee Q</v>
      </c>
      <c r="D422" s="7">
        <f>IFERROR(__xludf.DUMMYFUNCTION("""COMPUTED_VALUE"""),60.49)</f>
        <v>60.49</v>
      </c>
      <c r="E422" s="6" t="str">
        <f>IFERROR(__xludf.DUMMYFUNCTION("""COMPUTED_VALUE"""),"No")</f>
        <v>No</v>
      </c>
      <c r="F422" s="8" t="str">
        <f>IFERROR(__xludf.DUMMYFUNCTION("""COMPUTED_VALUE"""),"No")</f>
        <v>No</v>
      </c>
    </row>
    <row r="423">
      <c r="A423" s="5">
        <f>IFERROR(__xludf.DUMMYFUNCTION("""COMPUTED_VALUE"""),44654.0)</f>
        <v>44654</v>
      </c>
      <c r="B423" s="6" t="str">
        <f>IFERROR(__xludf.DUMMYFUNCTION("""COMPUTED_VALUE"""),"lunch")</f>
        <v>lunch</v>
      </c>
      <c r="C423" s="6" t="str">
        <f>IFERROR(__xludf.DUMMYFUNCTION("""COMPUTED_VALUE"""),"employee J")</f>
        <v>employee J</v>
      </c>
      <c r="D423" s="7">
        <f>IFERROR(__xludf.DUMMYFUNCTION("""COMPUTED_VALUE"""),90.81)</f>
        <v>90.81</v>
      </c>
      <c r="E423" s="6" t="str">
        <f>IFERROR(__xludf.DUMMYFUNCTION("""COMPUTED_VALUE"""),"No")</f>
        <v>No</v>
      </c>
      <c r="F423" s="8" t="str">
        <f>IFERROR(__xludf.DUMMYFUNCTION("""COMPUTED_VALUE"""),"No")</f>
        <v>No</v>
      </c>
    </row>
    <row r="424">
      <c r="A424" s="5">
        <f>IFERROR(__xludf.DUMMYFUNCTION("""COMPUTED_VALUE"""),44654.0)</f>
        <v>44654</v>
      </c>
      <c r="B424" s="6" t="str">
        <f>IFERROR(__xludf.DUMMYFUNCTION("""COMPUTED_VALUE"""),"lunch")</f>
        <v>lunch</v>
      </c>
      <c r="C424" s="6" t="str">
        <f>IFERROR(__xludf.DUMMYFUNCTION("""COMPUTED_VALUE"""),"employee B")</f>
        <v>employee B</v>
      </c>
      <c r="D424" s="7">
        <f>IFERROR(__xludf.DUMMYFUNCTION("""COMPUTED_VALUE"""),100.9)</f>
        <v>100.9</v>
      </c>
      <c r="E424" s="6" t="str">
        <f>IFERROR(__xludf.DUMMYFUNCTION("""COMPUTED_VALUE"""),"No")</f>
        <v>No</v>
      </c>
      <c r="F424" s="8" t="str">
        <f>IFERROR(__xludf.DUMMYFUNCTION("""COMPUTED_VALUE"""),"No")</f>
        <v>No</v>
      </c>
    </row>
    <row r="425">
      <c r="A425" s="5">
        <f>IFERROR(__xludf.DUMMYFUNCTION("""COMPUTED_VALUE"""),44654.0)</f>
        <v>44654</v>
      </c>
      <c r="B425" s="6" t="str">
        <f>IFERROR(__xludf.DUMMYFUNCTION("""COMPUTED_VALUE"""),"lunch")</f>
        <v>lunch</v>
      </c>
      <c r="C425" s="6" t="str">
        <f>IFERROR(__xludf.DUMMYFUNCTION("""COMPUTED_VALUE"""),"employee L")</f>
        <v>employee L</v>
      </c>
      <c r="D425" s="7">
        <f>IFERROR(__xludf.DUMMYFUNCTION("""COMPUTED_VALUE"""),100.9)</f>
        <v>100.9</v>
      </c>
      <c r="E425" s="6" t="str">
        <f>IFERROR(__xludf.DUMMYFUNCTION("""COMPUTED_VALUE"""),"No")</f>
        <v>No</v>
      </c>
      <c r="F425" s="8" t="str">
        <f>IFERROR(__xludf.DUMMYFUNCTION("""COMPUTED_VALUE"""),"No")</f>
        <v>No</v>
      </c>
    </row>
    <row r="426">
      <c r="A426" s="5">
        <f>IFERROR(__xludf.DUMMYFUNCTION("""COMPUTED_VALUE"""),44654.0)</f>
        <v>44654</v>
      </c>
      <c r="B426" s="6" t="str">
        <f>IFERROR(__xludf.DUMMYFUNCTION("""COMPUTED_VALUE"""),"dinner")</f>
        <v>dinner</v>
      </c>
      <c r="C426" s="6" t="str">
        <f>IFERROR(__xludf.DUMMYFUNCTION("""COMPUTED_VALUE"""),"employee J")</f>
        <v>employee J</v>
      </c>
      <c r="D426" s="7">
        <f>IFERROR(__xludf.DUMMYFUNCTION("""COMPUTED_VALUE"""),38.27)</f>
        <v>38.27</v>
      </c>
      <c r="E426" s="6" t="str">
        <f>IFERROR(__xludf.DUMMYFUNCTION("""COMPUTED_VALUE"""),"No")</f>
        <v>No</v>
      </c>
      <c r="F426" s="8" t="str">
        <f>IFERROR(__xludf.DUMMYFUNCTION("""COMPUTED_VALUE"""),"No")</f>
        <v>No</v>
      </c>
    </row>
    <row r="427">
      <c r="A427" s="5">
        <f>IFERROR(__xludf.DUMMYFUNCTION("""COMPUTED_VALUE"""),44654.0)</f>
        <v>44654</v>
      </c>
      <c r="B427" s="6" t="str">
        <f>IFERROR(__xludf.DUMMYFUNCTION("""COMPUTED_VALUE"""),"dinner")</f>
        <v>dinner</v>
      </c>
      <c r="C427" s="6" t="str">
        <f>IFERROR(__xludf.DUMMYFUNCTION("""COMPUTED_VALUE"""),"employee B")</f>
        <v>employee B</v>
      </c>
      <c r="D427" s="7">
        <f>IFERROR(__xludf.DUMMYFUNCTION("""COMPUTED_VALUE"""),25.51)</f>
        <v>25.51</v>
      </c>
      <c r="E427" s="6" t="str">
        <f>IFERROR(__xludf.DUMMYFUNCTION("""COMPUTED_VALUE"""),"No")</f>
        <v>No</v>
      </c>
      <c r="F427" s="8" t="str">
        <f>IFERROR(__xludf.DUMMYFUNCTION("""COMPUTED_VALUE"""),"No")</f>
        <v>No</v>
      </c>
    </row>
    <row r="428">
      <c r="A428" s="5">
        <f>IFERROR(__xludf.DUMMYFUNCTION("""COMPUTED_VALUE"""),44654.0)</f>
        <v>44654</v>
      </c>
      <c r="B428" s="6" t="str">
        <f>IFERROR(__xludf.DUMMYFUNCTION("""COMPUTED_VALUE"""),"dinner")</f>
        <v>dinner</v>
      </c>
      <c r="C428" s="6" t="str">
        <f>IFERROR(__xludf.DUMMYFUNCTION("""COMPUTED_VALUE"""),"employee L")</f>
        <v>employee L</v>
      </c>
      <c r="D428" s="7">
        <f>IFERROR(__xludf.DUMMYFUNCTION("""COMPUTED_VALUE"""),38.27)</f>
        <v>38.27</v>
      </c>
      <c r="E428" s="6" t="str">
        <f>IFERROR(__xludf.DUMMYFUNCTION("""COMPUTED_VALUE"""),"No")</f>
        <v>No</v>
      </c>
      <c r="F428" s="8" t="str">
        <f>IFERROR(__xludf.DUMMYFUNCTION("""COMPUTED_VALUE"""),"No")</f>
        <v>No</v>
      </c>
    </row>
    <row r="429">
      <c r="A429" s="5">
        <f>IFERROR(__xludf.DUMMYFUNCTION("""COMPUTED_VALUE"""),44655.0)</f>
        <v>44655</v>
      </c>
      <c r="B429" s="6" t="str">
        <f>IFERROR(__xludf.DUMMYFUNCTION("""COMPUTED_VALUE"""),"lunch")</f>
        <v>lunch</v>
      </c>
      <c r="C429" s="6" t="str">
        <f>IFERROR(__xludf.DUMMYFUNCTION("""COMPUTED_VALUE"""),"employee Q")</f>
        <v>employee Q</v>
      </c>
      <c r="D429" s="7">
        <f>IFERROR(__xludf.DUMMYFUNCTION("""COMPUTED_VALUE"""),111.84)</f>
        <v>111.84</v>
      </c>
      <c r="E429" s="6" t="str">
        <f>IFERROR(__xludf.DUMMYFUNCTION("""COMPUTED_VALUE"""),"No")</f>
        <v>No</v>
      </c>
      <c r="F429" s="8" t="str">
        <f>IFERROR(__xludf.DUMMYFUNCTION("""COMPUTED_VALUE"""),"No")</f>
        <v>No</v>
      </c>
    </row>
    <row r="430">
      <c r="A430" s="5">
        <f>IFERROR(__xludf.DUMMYFUNCTION("""COMPUTED_VALUE"""),44655.0)</f>
        <v>44655</v>
      </c>
      <c r="B430" s="6" t="str">
        <f>IFERROR(__xludf.DUMMYFUNCTION("""COMPUTED_VALUE"""),"dinner")</f>
        <v>dinner</v>
      </c>
      <c r="C430" s="6" t="str">
        <f>IFERROR(__xludf.DUMMYFUNCTION("""COMPUTED_VALUE"""),"employee Q")</f>
        <v>employee Q</v>
      </c>
      <c r="D430" s="7">
        <f>IFERROR(__xludf.DUMMYFUNCTION("""COMPUTED_VALUE"""),9.69)</f>
        <v>9.69</v>
      </c>
      <c r="E430" s="6" t="str">
        <f>IFERROR(__xludf.DUMMYFUNCTION("""COMPUTED_VALUE"""),"No")</f>
        <v>No</v>
      </c>
      <c r="F430" s="8" t="str">
        <f>IFERROR(__xludf.DUMMYFUNCTION("""COMPUTED_VALUE"""),"No")</f>
        <v>No</v>
      </c>
    </row>
    <row r="431">
      <c r="A431" s="5">
        <f>IFERROR(__xludf.DUMMYFUNCTION("""COMPUTED_VALUE"""),44655.0)</f>
        <v>44655</v>
      </c>
      <c r="B431" s="6" t="str">
        <f>IFERROR(__xludf.DUMMYFUNCTION("""COMPUTED_VALUE"""),"dinner")</f>
        <v>dinner</v>
      </c>
      <c r="C431" s="6" t="str">
        <f>IFERROR(__xludf.DUMMYFUNCTION("""COMPUTED_VALUE"""),"employee J")</f>
        <v>employee J</v>
      </c>
      <c r="D431" s="7">
        <f>IFERROR(__xludf.DUMMYFUNCTION("""COMPUTED_VALUE"""),67.85)</f>
        <v>67.85</v>
      </c>
      <c r="E431" s="6" t="str">
        <f>IFERROR(__xludf.DUMMYFUNCTION("""COMPUTED_VALUE"""),"No")</f>
        <v>No</v>
      </c>
      <c r="F431" s="8" t="str">
        <f>IFERROR(__xludf.DUMMYFUNCTION("""COMPUTED_VALUE"""),"No")</f>
        <v>No</v>
      </c>
    </row>
    <row r="432">
      <c r="A432" s="5">
        <f>IFERROR(__xludf.DUMMYFUNCTION("""COMPUTED_VALUE"""),44655.0)</f>
        <v>44655</v>
      </c>
      <c r="B432" s="6" t="str">
        <f>IFERROR(__xludf.DUMMYFUNCTION("""COMPUTED_VALUE"""),"dinner")</f>
        <v>dinner</v>
      </c>
      <c r="C432" s="6" t="str">
        <f>IFERROR(__xludf.DUMMYFUNCTION("""COMPUTED_VALUE"""),"employee I")</f>
        <v>employee I</v>
      </c>
      <c r="D432" s="7">
        <f>IFERROR(__xludf.DUMMYFUNCTION("""COMPUTED_VALUE"""),67.86)</f>
        <v>67.86</v>
      </c>
      <c r="E432" s="6" t="str">
        <f>IFERROR(__xludf.DUMMYFUNCTION("""COMPUTED_VALUE"""),"No")</f>
        <v>No</v>
      </c>
      <c r="F432" s="8" t="str">
        <f>IFERROR(__xludf.DUMMYFUNCTION("""COMPUTED_VALUE"""),"No")</f>
        <v>No</v>
      </c>
    </row>
    <row r="433">
      <c r="A433" s="5">
        <f>IFERROR(__xludf.DUMMYFUNCTION("""COMPUTED_VALUE"""),44656.0)</f>
        <v>44656</v>
      </c>
      <c r="B433" s="6" t="str">
        <f>IFERROR(__xludf.DUMMYFUNCTION("""COMPUTED_VALUE"""),"lunch")</f>
        <v>lunch</v>
      </c>
      <c r="C433" s="6" t="str">
        <f>IFERROR(__xludf.DUMMYFUNCTION("""COMPUTED_VALUE"""),"employee J")</f>
        <v>employee J</v>
      </c>
      <c r="D433" s="7">
        <f>IFERROR(__xludf.DUMMYFUNCTION("""COMPUTED_VALUE"""),103.61)</f>
        <v>103.61</v>
      </c>
      <c r="E433" s="6" t="str">
        <f>IFERROR(__xludf.DUMMYFUNCTION("""COMPUTED_VALUE"""),"No")</f>
        <v>No</v>
      </c>
      <c r="F433" s="8" t="str">
        <f>IFERROR(__xludf.DUMMYFUNCTION("""COMPUTED_VALUE"""),"No")</f>
        <v>No</v>
      </c>
    </row>
    <row r="434">
      <c r="A434" s="5">
        <f>IFERROR(__xludf.DUMMYFUNCTION("""COMPUTED_VALUE"""),44656.0)</f>
        <v>44656</v>
      </c>
      <c r="B434" s="6" t="str">
        <f>IFERROR(__xludf.DUMMYFUNCTION("""COMPUTED_VALUE"""),"dinner")</f>
        <v>dinner</v>
      </c>
      <c r="C434" s="6" t="str">
        <f>IFERROR(__xludf.DUMMYFUNCTION("""COMPUTED_VALUE"""),"employee Q")</f>
        <v>employee Q</v>
      </c>
      <c r="D434" s="7">
        <f>IFERROR(__xludf.DUMMYFUNCTION("""COMPUTED_VALUE"""),59.99)</f>
        <v>59.99</v>
      </c>
      <c r="E434" s="6" t="str">
        <f>IFERROR(__xludf.DUMMYFUNCTION("""COMPUTED_VALUE"""),"No")</f>
        <v>No</v>
      </c>
      <c r="F434" s="8" t="str">
        <f>IFERROR(__xludf.DUMMYFUNCTION("""COMPUTED_VALUE"""),"No")</f>
        <v>No</v>
      </c>
    </row>
    <row r="435">
      <c r="A435" s="5">
        <f>IFERROR(__xludf.DUMMYFUNCTION("""COMPUTED_VALUE"""),44656.0)</f>
        <v>44656</v>
      </c>
      <c r="B435" s="6" t="str">
        <f>IFERROR(__xludf.DUMMYFUNCTION("""COMPUTED_VALUE"""),"dinner")</f>
        <v>dinner</v>
      </c>
      <c r="C435" s="6" t="str">
        <f>IFERROR(__xludf.DUMMYFUNCTION("""COMPUTED_VALUE"""),"employee I")</f>
        <v>employee I</v>
      </c>
      <c r="D435" s="7">
        <f>IFERROR(__xludf.DUMMYFUNCTION("""COMPUTED_VALUE"""),59.98)</f>
        <v>59.98</v>
      </c>
      <c r="E435" s="6" t="str">
        <f>IFERROR(__xludf.DUMMYFUNCTION("""COMPUTED_VALUE"""),"No")</f>
        <v>No</v>
      </c>
      <c r="F435" s="8" t="str">
        <f>IFERROR(__xludf.DUMMYFUNCTION("""COMPUTED_VALUE"""),"No")</f>
        <v>No</v>
      </c>
    </row>
    <row r="436">
      <c r="A436" s="5">
        <f>IFERROR(__xludf.DUMMYFUNCTION("""COMPUTED_VALUE"""),44656.0)</f>
        <v>44656</v>
      </c>
      <c r="B436" s="6" t="str">
        <f>IFERROR(__xludf.DUMMYFUNCTION("""COMPUTED_VALUE"""),"dinner")</f>
        <v>dinner</v>
      </c>
      <c r="C436" s="6" t="str">
        <f>IFERROR(__xludf.DUMMYFUNCTION("""COMPUTED_VALUE"""),"employee N")</f>
        <v>employee N</v>
      </c>
      <c r="D436" s="7">
        <f>IFERROR(__xludf.DUMMYFUNCTION("""COMPUTED_VALUE"""),0.0)</f>
        <v>0</v>
      </c>
      <c r="E436" s="9" t="str">
        <f>IFERROR(__xludf.DUMMYFUNCTION("""COMPUTED_VALUE"""),"Yes")</f>
        <v>Yes</v>
      </c>
      <c r="F436" s="8" t="str">
        <f>IFERROR(__xludf.DUMMYFUNCTION("""COMPUTED_VALUE"""),"No")</f>
        <v>No</v>
      </c>
    </row>
    <row r="437">
      <c r="A437" s="5">
        <f>IFERROR(__xludf.DUMMYFUNCTION("""COMPUTED_VALUE"""),44656.0)</f>
        <v>44656</v>
      </c>
      <c r="B437" s="6" t="str">
        <f>IFERROR(__xludf.DUMMYFUNCTION("""COMPUTED_VALUE"""),"dinner")</f>
        <v>dinner</v>
      </c>
      <c r="C437" s="6" t="str">
        <f>IFERROR(__xludf.DUMMYFUNCTION("""COMPUTED_VALUE"""),"employee J")</f>
        <v>employee J</v>
      </c>
      <c r="D437" s="7">
        <f>IFERROR(__xludf.DUMMYFUNCTION("""COMPUTED_VALUE"""),20.0)</f>
        <v>20</v>
      </c>
      <c r="E437" s="6" t="str">
        <f>IFERROR(__xludf.DUMMYFUNCTION("""COMPUTED_VALUE"""),"No")</f>
        <v>No</v>
      </c>
      <c r="F437" s="8" t="str">
        <f>IFERROR(__xludf.DUMMYFUNCTION("""COMPUTED_VALUE"""),"No")</f>
        <v>No</v>
      </c>
    </row>
    <row r="438">
      <c r="A438" s="5">
        <f>IFERROR(__xludf.DUMMYFUNCTION("""COMPUTED_VALUE"""),44657.0)</f>
        <v>44657</v>
      </c>
      <c r="B438" s="6" t="str">
        <f>IFERROR(__xludf.DUMMYFUNCTION("""COMPUTED_VALUE"""),"lunch")</f>
        <v>lunch</v>
      </c>
      <c r="C438" s="6" t="str">
        <f>IFERROR(__xludf.DUMMYFUNCTION("""COMPUTED_VALUE"""),"employee Q")</f>
        <v>employee Q</v>
      </c>
      <c r="D438" s="7">
        <f>IFERROR(__xludf.DUMMYFUNCTION("""COMPUTED_VALUE"""),82.42)</f>
        <v>82.42</v>
      </c>
      <c r="E438" s="6" t="str">
        <f>IFERROR(__xludf.DUMMYFUNCTION("""COMPUTED_VALUE"""),"No")</f>
        <v>No</v>
      </c>
      <c r="F438" s="8" t="str">
        <f>IFERROR(__xludf.DUMMYFUNCTION("""COMPUTED_VALUE"""),"No")</f>
        <v>No</v>
      </c>
    </row>
    <row r="439">
      <c r="A439" s="5">
        <f>IFERROR(__xludf.DUMMYFUNCTION("""COMPUTED_VALUE"""),44657.0)</f>
        <v>44657</v>
      </c>
      <c r="B439" s="6" t="str">
        <f>IFERROR(__xludf.DUMMYFUNCTION("""COMPUTED_VALUE"""),"dinner")</f>
        <v>dinner</v>
      </c>
      <c r="C439" s="6" t="str">
        <f>IFERROR(__xludf.DUMMYFUNCTION("""COMPUTED_VALUE"""),"employee Q")</f>
        <v>employee Q</v>
      </c>
      <c r="D439" s="7">
        <f>IFERROR(__xludf.DUMMYFUNCTION("""COMPUTED_VALUE"""),92.91)</f>
        <v>92.91</v>
      </c>
      <c r="E439" s="6" t="str">
        <f>IFERROR(__xludf.DUMMYFUNCTION("""COMPUTED_VALUE"""),"No")</f>
        <v>No</v>
      </c>
      <c r="F439" s="8" t="str">
        <f>IFERROR(__xludf.DUMMYFUNCTION("""COMPUTED_VALUE"""),"No")</f>
        <v>No</v>
      </c>
    </row>
    <row r="440">
      <c r="A440" s="5">
        <f>IFERROR(__xludf.DUMMYFUNCTION("""COMPUTED_VALUE"""),44657.0)</f>
        <v>44657</v>
      </c>
      <c r="B440" s="6" t="str">
        <f>IFERROR(__xludf.DUMMYFUNCTION("""COMPUTED_VALUE"""),"dinner")</f>
        <v>dinner</v>
      </c>
      <c r="C440" s="6" t="str">
        <f>IFERROR(__xludf.DUMMYFUNCTION("""COMPUTED_VALUE"""),"employee I")</f>
        <v>employee I</v>
      </c>
      <c r="D440" s="7">
        <f>IFERROR(__xludf.DUMMYFUNCTION("""COMPUTED_VALUE"""),61.94)</f>
        <v>61.94</v>
      </c>
      <c r="E440" s="6" t="str">
        <f>IFERROR(__xludf.DUMMYFUNCTION("""COMPUTED_VALUE"""),"No")</f>
        <v>No</v>
      </c>
      <c r="F440" s="8" t="str">
        <f>IFERROR(__xludf.DUMMYFUNCTION("""COMPUTED_VALUE"""),"No")</f>
        <v>No</v>
      </c>
    </row>
    <row r="441">
      <c r="A441" s="5">
        <f>IFERROR(__xludf.DUMMYFUNCTION("""COMPUTED_VALUE"""),44657.0)</f>
        <v>44657</v>
      </c>
      <c r="B441" s="6" t="str">
        <f>IFERROR(__xludf.DUMMYFUNCTION("""COMPUTED_VALUE"""),"dinner")</f>
        <v>dinner</v>
      </c>
      <c r="C441" s="6" t="str">
        <f>IFERROR(__xludf.DUMMYFUNCTION("""COMPUTED_VALUE"""),"employee N")</f>
        <v>employee N</v>
      </c>
      <c r="D441" s="7">
        <f>IFERROR(__xludf.DUMMYFUNCTION("""COMPUTED_VALUE"""),0.0)</f>
        <v>0</v>
      </c>
      <c r="E441" s="9" t="str">
        <f>IFERROR(__xludf.DUMMYFUNCTION("""COMPUTED_VALUE"""),"Yes")</f>
        <v>Yes</v>
      </c>
      <c r="F441" s="8" t="str">
        <f>IFERROR(__xludf.DUMMYFUNCTION("""COMPUTED_VALUE"""),"No")</f>
        <v>No</v>
      </c>
    </row>
    <row r="442">
      <c r="A442" s="5">
        <f>IFERROR(__xludf.DUMMYFUNCTION("""COMPUTED_VALUE"""),44658.0)</f>
        <v>44658</v>
      </c>
      <c r="B442" s="6" t="str">
        <f>IFERROR(__xludf.DUMMYFUNCTION("""COMPUTED_VALUE"""),"lunch")</f>
        <v>lunch</v>
      </c>
      <c r="C442" s="6" t="str">
        <f>IFERROR(__xludf.DUMMYFUNCTION("""COMPUTED_VALUE"""),"employee J")</f>
        <v>employee J</v>
      </c>
      <c r="D442" s="7">
        <f>IFERROR(__xludf.DUMMYFUNCTION("""COMPUTED_VALUE"""),94.05)</f>
        <v>94.05</v>
      </c>
      <c r="E442" s="6" t="str">
        <f>IFERROR(__xludf.DUMMYFUNCTION("""COMPUTED_VALUE"""),"No")</f>
        <v>No</v>
      </c>
      <c r="F442" s="8" t="str">
        <f>IFERROR(__xludf.DUMMYFUNCTION("""COMPUTED_VALUE"""),"No")</f>
        <v>No</v>
      </c>
    </row>
    <row r="443">
      <c r="A443" s="5">
        <f>IFERROR(__xludf.DUMMYFUNCTION("""COMPUTED_VALUE"""),44658.0)</f>
        <v>44658</v>
      </c>
      <c r="B443" s="6" t="str">
        <f>IFERROR(__xludf.DUMMYFUNCTION("""COMPUTED_VALUE"""),"dinner")</f>
        <v>dinner</v>
      </c>
      <c r="C443" s="6" t="str">
        <f>IFERROR(__xludf.DUMMYFUNCTION("""COMPUTED_VALUE"""),"employee J")</f>
        <v>employee J</v>
      </c>
      <c r="D443" s="7">
        <f>IFERROR(__xludf.DUMMYFUNCTION("""COMPUTED_VALUE"""),129.02)</f>
        <v>129.02</v>
      </c>
      <c r="E443" s="6" t="str">
        <f>IFERROR(__xludf.DUMMYFUNCTION("""COMPUTED_VALUE"""),"No")</f>
        <v>No</v>
      </c>
      <c r="F443" s="8" t="str">
        <f>IFERROR(__xludf.DUMMYFUNCTION("""COMPUTED_VALUE"""),"No")</f>
        <v>No</v>
      </c>
    </row>
    <row r="444">
      <c r="A444" s="5">
        <f>IFERROR(__xludf.DUMMYFUNCTION("""COMPUTED_VALUE"""),44658.0)</f>
        <v>44658</v>
      </c>
      <c r="B444" s="6" t="str">
        <f>IFERROR(__xludf.DUMMYFUNCTION("""COMPUTED_VALUE"""),"dinner")</f>
        <v>dinner</v>
      </c>
      <c r="C444" s="6" t="str">
        <f>IFERROR(__xludf.DUMMYFUNCTION("""COMPUTED_VALUE"""),"employee B")</f>
        <v>employee B</v>
      </c>
      <c r="D444" s="7">
        <f>IFERROR(__xludf.DUMMYFUNCTION("""COMPUTED_VALUE"""),129.02)</f>
        <v>129.02</v>
      </c>
      <c r="E444" s="6" t="str">
        <f>IFERROR(__xludf.DUMMYFUNCTION("""COMPUTED_VALUE"""),"No")</f>
        <v>No</v>
      </c>
      <c r="F444" s="8" t="str">
        <f>IFERROR(__xludf.DUMMYFUNCTION("""COMPUTED_VALUE"""),"No")</f>
        <v>No</v>
      </c>
    </row>
    <row r="445">
      <c r="A445" s="5">
        <f>IFERROR(__xludf.DUMMYFUNCTION("""COMPUTED_VALUE"""),44658.0)</f>
        <v>44658</v>
      </c>
      <c r="B445" s="6" t="str">
        <f>IFERROR(__xludf.DUMMYFUNCTION("""COMPUTED_VALUE"""),"dinner")</f>
        <v>dinner</v>
      </c>
      <c r="C445" s="6" t="str">
        <f>IFERROR(__xludf.DUMMYFUNCTION("""COMPUTED_VALUE"""),"employee N")</f>
        <v>employee N</v>
      </c>
      <c r="D445" s="7">
        <f>IFERROR(__xludf.DUMMYFUNCTION("""COMPUTED_VALUE"""),0.0)</f>
        <v>0</v>
      </c>
      <c r="E445" s="9" t="str">
        <f>IFERROR(__xludf.DUMMYFUNCTION("""COMPUTED_VALUE"""),"Yes")</f>
        <v>Yes</v>
      </c>
      <c r="F445" s="8" t="str">
        <f>IFERROR(__xludf.DUMMYFUNCTION("""COMPUTED_VALUE"""),"No")</f>
        <v>No</v>
      </c>
    </row>
    <row r="446">
      <c r="A446" s="5">
        <f>IFERROR(__xludf.DUMMYFUNCTION("""COMPUTED_VALUE"""),44659.0)</f>
        <v>44659</v>
      </c>
      <c r="B446" s="6" t="str">
        <f>IFERROR(__xludf.DUMMYFUNCTION("""COMPUTED_VALUE"""),"lunch")</f>
        <v>lunch</v>
      </c>
      <c r="C446" s="6" t="str">
        <f>IFERROR(__xludf.DUMMYFUNCTION("""COMPUTED_VALUE"""),"employee B")</f>
        <v>employee B</v>
      </c>
      <c r="D446" s="7">
        <f>IFERROR(__xludf.DUMMYFUNCTION("""COMPUTED_VALUE"""),71.7)</f>
        <v>71.7</v>
      </c>
      <c r="E446" s="6" t="str">
        <f>IFERROR(__xludf.DUMMYFUNCTION("""COMPUTED_VALUE"""),"No")</f>
        <v>No</v>
      </c>
      <c r="F446" s="8" t="str">
        <f>IFERROR(__xludf.DUMMYFUNCTION("""COMPUTED_VALUE"""),"No")</f>
        <v>No</v>
      </c>
    </row>
    <row r="447">
      <c r="A447" s="5">
        <f>IFERROR(__xludf.DUMMYFUNCTION("""COMPUTED_VALUE"""),44659.0)</f>
        <v>44659</v>
      </c>
      <c r="B447" s="6" t="str">
        <f>IFERROR(__xludf.DUMMYFUNCTION("""COMPUTED_VALUE"""),"lunch")</f>
        <v>lunch</v>
      </c>
      <c r="C447" s="6" t="str">
        <f>IFERROR(__xludf.DUMMYFUNCTION("""COMPUTED_VALUE"""),"employee L")</f>
        <v>employee L</v>
      </c>
      <c r="D447" s="7">
        <f>IFERROR(__xludf.DUMMYFUNCTION("""COMPUTED_VALUE"""),44.61)</f>
        <v>44.61</v>
      </c>
      <c r="E447" s="6" t="str">
        <f>IFERROR(__xludf.DUMMYFUNCTION("""COMPUTED_VALUE"""),"No")</f>
        <v>No</v>
      </c>
      <c r="F447" s="8" t="str">
        <f>IFERROR(__xludf.DUMMYFUNCTION("""COMPUTED_VALUE"""),"No")</f>
        <v>No</v>
      </c>
    </row>
    <row r="448">
      <c r="A448" s="5">
        <f>IFERROR(__xludf.DUMMYFUNCTION("""COMPUTED_VALUE"""),44659.0)</f>
        <v>44659</v>
      </c>
      <c r="B448" s="6" t="str">
        <f>IFERROR(__xludf.DUMMYFUNCTION("""COMPUTED_VALUE"""),"dinner")</f>
        <v>dinner</v>
      </c>
      <c r="C448" s="6" t="str">
        <f>IFERROR(__xludf.DUMMYFUNCTION("""COMPUTED_VALUE"""),"employee J")</f>
        <v>employee J</v>
      </c>
      <c r="D448" s="7">
        <f>IFERROR(__xludf.DUMMYFUNCTION("""COMPUTED_VALUE"""),64.21)</f>
        <v>64.21</v>
      </c>
      <c r="E448" s="6" t="str">
        <f>IFERROR(__xludf.DUMMYFUNCTION("""COMPUTED_VALUE"""),"No")</f>
        <v>No</v>
      </c>
      <c r="F448" s="8" t="str">
        <f>IFERROR(__xludf.DUMMYFUNCTION("""COMPUTED_VALUE"""),"No")</f>
        <v>No</v>
      </c>
    </row>
    <row r="449">
      <c r="A449" s="5">
        <f>IFERROR(__xludf.DUMMYFUNCTION("""COMPUTED_VALUE"""),44659.0)</f>
        <v>44659</v>
      </c>
      <c r="B449" s="6" t="str">
        <f>IFERROR(__xludf.DUMMYFUNCTION("""COMPUTED_VALUE"""),"dinner")</f>
        <v>dinner</v>
      </c>
      <c r="C449" s="6" t="str">
        <f>IFERROR(__xludf.DUMMYFUNCTION("""COMPUTED_VALUE"""),"employee L")</f>
        <v>employee L</v>
      </c>
      <c r="D449" s="7">
        <f>IFERROR(__xludf.DUMMYFUNCTION("""COMPUTED_VALUE"""),64.21)</f>
        <v>64.21</v>
      </c>
      <c r="E449" s="6" t="str">
        <f>IFERROR(__xludf.DUMMYFUNCTION("""COMPUTED_VALUE"""),"No")</f>
        <v>No</v>
      </c>
      <c r="F449" s="8" t="str">
        <f>IFERROR(__xludf.DUMMYFUNCTION("""COMPUTED_VALUE"""),"No")</f>
        <v>No</v>
      </c>
    </row>
    <row r="450">
      <c r="A450" s="5">
        <f>IFERROR(__xludf.DUMMYFUNCTION("""COMPUTED_VALUE"""),44659.0)</f>
        <v>44659</v>
      </c>
      <c r="B450" s="6" t="str">
        <f>IFERROR(__xludf.DUMMYFUNCTION("""COMPUTED_VALUE"""),"dinner")</f>
        <v>dinner</v>
      </c>
      <c r="C450" s="6" t="str">
        <f>IFERROR(__xludf.DUMMYFUNCTION("""COMPUTED_VALUE"""),"employee N")</f>
        <v>employee N</v>
      </c>
      <c r="D450" s="7">
        <f>IFERROR(__xludf.DUMMYFUNCTION("""COMPUTED_VALUE"""),64.21)</f>
        <v>64.21</v>
      </c>
      <c r="E450" s="6" t="str">
        <f>IFERROR(__xludf.DUMMYFUNCTION("""COMPUTED_VALUE"""),"No")</f>
        <v>No</v>
      </c>
      <c r="F450" s="8" t="str">
        <f>IFERROR(__xludf.DUMMYFUNCTION("""COMPUTED_VALUE"""),"No")</f>
        <v>No</v>
      </c>
    </row>
    <row r="451">
      <c r="A451" s="5">
        <f>IFERROR(__xludf.DUMMYFUNCTION("""COMPUTED_VALUE"""),44660.0)</f>
        <v>44660</v>
      </c>
      <c r="B451" s="6" t="str">
        <f>IFERROR(__xludf.DUMMYFUNCTION("""COMPUTED_VALUE"""),"lunch")</f>
        <v>lunch</v>
      </c>
      <c r="C451" s="6" t="str">
        <f>IFERROR(__xludf.DUMMYFUNCTION("""COMPUTED_VALUE"""),"employee Q")</f>
        <v>employee Q</v>
      </c>
      <c r="D451" s="7">
        <f>IFERROR(__xludf.DUMMYFUNCTION("""COMPUTED_VALUE"""),88.35)</f>
        <v>88.35</v>
      </c>
      <c r="E451" s="6" t="str">
        <f>IFERROR(__xludf.DUMMYFUNCTION("""COMPUTED_VALUE"""),"No")</f>
        <v>No</v>
      </c>
      <c r="F451" s="8" t="str">
        <f>IFERROR(__xludf.DUMMYFUNCTION("""COMPUTED_VALUE"""),"No")</f>
        <v>No</v>
      </c>
    </row>
    <row r="452">
      <c r="A452" s="5">
        <f>IFERROR(__xludf.DUMMYFUNCTION("""COMPUTED_VALUE"""),44660.0)</f>
        <v>44660</v>
      </c>
      <c r="B452" s="6" t="str">
        <f>IFERROR(__xludf.DUMMYFUNCTION("""COMPUTED_VALUE"""),"lunch")</f>
        <v>lunch</v>
      </c>
      <c r="C452" s="6" t="str">
        <f>IFERROR(__xludf.DUMMYFUNCTION("""COMPUTED_VALUE"""),"employee B")</f>
        <v>employee B</v>
      </c>
      <c r="D452" s="7">
        <f>IFERROR(__xludf.DUMMYFUNCTION("""COMPUTED_VALUE"""),121.49)</f>
        <v>121.49</v>
      </c>
      <c r="E452" s="6" t="str">
        <f>IFERROR(__xludf.DUMMYFUNCTION("""COMPUTED_VALUE"""),"No")</f>
        <v>No</v>
      </c>
      <c r="F452" s="8" t="str">
        <f>IFERROR(__xludf.DUMMYFUNCTION("""COMPUTED_VALUE"""),"No")</f>
        <v>No</v>
      </c>
    </row>
    <row r="453">
      <c r="A453" s="5">
        <f>IFERROR(__xludf.DUMMYFUNCTION("""COMPUTED_VALUE"""),44660.0)</f>
        <v>44660</v>
      </c>
      <c r="B453" s="6" t="str">
        <f>IFERROR(__xludf.DUMMYFUNCTION("""COMPUTED_VALUE"""),"lunch")</f>
        <v>lunch</v>
      </c>
      <c r="C453" s="6" t="str">
        <f>IFERROR(__xludf.DUMMYFUNCTION("""COMPUTED_VALUE"""),"employee L")</f>
        <v>employee L</v>
      </c>
      <c r="D453" s="7">
        <f>IFERROR(__xludf.DUMMYFUNCTION("""COMPUTED_VALUE"""),110.44)</f>
        <v>110.44</v>
      </c>
      <c r="E453" s="6" t="str">
        <f>IFERROR(__xludf.DUMMYFUNCTION("""COMPUTED_VALUE"""),"No")</f>
        <v>No</v>
      </c>
      <c r="F453" s="8" t="str">
        <f>IFERROR(__xludf.DUMMYFUNCTION("""COMPUTED_VALUE"""),"No")</f>
        <v>No</v>
      </c>
    </row>
    <row r="454">
      <c r="A454" s="5">
        <f>IFERROR(__xludf.DUMMYFUNCTION("""COMPUTED_VALUE"""),44660.0)</f>
        <v>44660</v>
      </c>
      <c r="B454" s="6" t="str">
        <f>IFERROR(__xludf.DUMMYFUNCTION("""COMPUTED_VALUE"""),"dinner")</f>
        <v>dinner</v>
      </c>
      <c r="C454" s="6" t="str">
        <f>IFERROR(__xludf.DUMMYFUNCTION("""COMPUTED_VALUE"""),"employee B")</f>
        <v>employee B</v>
      </c>
      <c r="D454" s="7">
        <f>IFERROR(__xludf.DUMMYFUNCTION("""COMPUTED_VALUE"""),38.93)</f>
        <v>38.93</v>
      </c>
      <c r="E454" s="6" t="str">
        <f>IFERROR(__xludf.DUMMYFUNCTION("""COMPUTED_VALUE"""),"No")</f>
        <v>No</v>
      </c>
      <c r="F454" s="8" t="str">
        <f>IFERROR(__xludf.DUMMYFUNCTION("""COMPUTED_VALUE"""),"No")</f>
        <v>No</v>
      </c>
    </row>
    <row r="455">
      <c r="A455" s="5">
        <f>IFERROR(__xludf.DUMMYFUNCTION("""COMPUTED_VALUE"""),44660.0)</f>
        <v>44660</v>
      </c>
      <c r="B455" s="6" t="str">
        <f>IFERROR(__xludf.DUMMYFUNCTION("""COMPUTED_VALUE"""),"dinner")</f>
        <v>dinner</v>
      </c>
      <c r="C455" s="6" t="str">
        <f>IFERROR(__xludf.DUMMYFUNCTION("""COMPUTED_VALUE"""),"employee L")</f>
        <v>employee L</v>
      </c>
      <c r="D455" s="7">
        <f>IFERROR(__xludf.DUMMYFUNCTION("""COMPUTED_VALUE"""),58.41)</f>
        <v>58.41</v>
      </c>
      <c r="E455" s="6" t="str">
        <f>IFERROR(__xludf.DUMMYFUNCTION("""COMPUTED_VALUE"""),"No")</f>
        <v>No</v>
      </c>
      <c r="F455" s="8" t="str">
        <f>IFERROR(__xludf.DUMMYFUNCTION("""COMPUTED_VALUE"""),"No")</f>
        <v>No</v>
      </c>
    </row>
    <row r="456">
      <c r="A456" s="5">
        <f>IFERROR(__xludf.DUMMYFUNCTION("""COMPUTED_VALUE"""),44660.0)</f>
        <v>44660</v>
      </c>
      <c r="B456" s="6" t="str">
        <f>IFERROR(__xludf.DUMMYFUNCTION("""COMPUTED_VALUE"""),"dinner")</f>
        <v>dinner</v>
      </c>
      <c r="C456" s="6" t="str">
        <f>IFERROR(__xludf.DUMMYFUNCTION("""COMPUTED_VALUE"""),"employee J")</f>
        <v>employee J</v>
      </c>
      <c r="D456" s="7">
        <f>IFERROR(__xludf.DUMMYFUNCTION("""COMPUTED_VALUE"""),58.41)</f>
        <v>58.41</v>
      </c>
      <c r="E456" s="6" t="str">
        <f>IFERROR(__xludf.DUMMYFUNCTION("""COMPUTED_VALUE"""),"No")</f>
        <v>No</v>
      </c>
      <c r="F456" s="8" t="str">
        <f>IFERROR(__xludf.DUMMYFUNCTION("""COMPUTED_VALUE"""),"No")</f>
        <v>No</v>
      </c>
    </row>
    <row r="457">
      <c r="A457" s="5">
        <f>IFERROR(__xludf.DUMMYFUNCTION("""COMPUTED_VALUE"""),44661.0)</f>
        <v>44661</v>
      </c>
      <c r="B457" s="6" t="str">
        <f>IFERROR(__xludf.DUMMYFUNCTION("""COMPUTED_VALUE"""),"lunch")</f>
        <v>lunch</v>
      </c>
      <c r="C457" s="6" t="str">
        <f>IFERROR(__xludf.DUMMYFUNCTION("""COMPUTED_VALUE"""),"employee Q")</f>
        <v>employee Q</v>
      </c>
      <c r="D457" s="7">
        <f>IFERROR(__xludf.DUMMYFUNCTION("""COMPUTED_VALUE"""),0.0)</f>
        <v>0</v>
      </c>
      <c r="E457" s="6" t="str">
        <f>IFERROR(__xludf.DUMMYFUNCTION("""COMPUTED_VALUE"""),"No")</f>
        <v>No</v>
      </c>
      <c r="F457" s="8" t="str">
        <f>IFERROR(__xludf.DUMMYFUNCTION("""COMPUTED_VALUE"""),"No")</f>
        <v>No</v>
      </c>
    </row>
    <row r="458">
      <c r="A458" s="5">
        <f>IFERROR(__xludf.DUMMYFUNCTION("""COMPUTED_VALUE"""),44661.0)</f>
        <v>44661</v>
      </c>
      <c r="B458" s="6" t="str">
        <f>IFERROR(__xludf.DUMMYFUNCTION("""COMPUTED_VALUE"""),"lunch")</f>
        <v>lunch</v>
      </c>
      <c r="C458" s="6" t="str">
        <f>IFERROR(__xludf.DUMMYFUNCTION("""COMPUTED_VALUE"""),"employee B")</f>
        <v>employee B</v>
      </c>
      <c r="D458" s="7">
        <f>IFERROR(__xludf.DUMMYFUNCTION("""COMPUTED_VALUE"""),67.01)</f>
        <v>67.01</v>
      </c>
      <c r="E458" s="6" t="str">
        <f>IFERROR(__xludf.DUMMYFUNCTION("""COMPUTED_VALUE"""),"No")</f>
        <v>No</v>
      </c>
      <c r="F458" s="8" t="str">
        <f>IFERROR(__xludf.DUMMYFUNCTION("""COMPUTED_VALUE"""),"No")</f>
        <v>No</v>
      </c>
    </row>
    <row r="459">
      <c r="A459" s="5">
        <f>IFERROR(__xludf.DUMMYFUNCTION("""COMPUTED_VALUE"""),44661.0)</f>
        <v>44661</v>
      </c>
      <c r="B459" s="6" t="str">
        <f>IFERROR(__xludf.DUMMYFUNCTION("""COMPUTED_VALUE"""),"lunch")</f>
        <v>lunch</v>
      </c>
      <c r="C459" s="6" t="str">
        <f>IFERROR(__xludf.DUMMYFUNCTION("""COMPUTED_VALUE"""),"employee L")</f>
        <v>employee L</v>
      </c>
      <c r="D459" s="7">
        <f>IFERROR(__xludf.DUMMYFUNCTION("""COMPUTED_VALUE"""),98.75)</f>
        <v>98.75</v>
      </c>
      <c r="E459" s="6" t="str">
        <f>IFERROR(__xludf.DUMMYFUNCTION("""COMPUTED_VALUE"""),"No")</f>
        <v>No</v>
      </c>
      <c r="F459" s="8" t="str">
        <f>IFERROR(__xludf.DUMMYFUNCTION("""COMPUTED_VALUE"""),"No")</f>
        <v>No</v>
      </c>
    </row>
    <row r="460">
      <c r="A460" s="5">
        <f>IFERROR(__xludf.DUMMYFUNCTION("""COMPUTED_VALUE"""),44661.0)</f>
        <v>44661</v>
      </c>
      <c r="B460" s="6" t="str">
        <f>IFERROR(__xludf.DUMMYFUNCTION("""COMPUTED_VALUE"""),"lunch")</f>
        <v>lunch</v>
      </c>
      <c r="C460" s="6" t="str">
        <f>IFERROR(__xludf.DUMMYFUNCTION("""COMPUTED_VALUE"""),"employee J")</f>
        <v>employee J</v>
      </c>
      <c r="D460" s="7">
        <f>IFERROR(__xludf.DUMMYFUNCTION("""COMPUTED_VALUE"""),63.48)</f>
        <v>63.48</v>
      </c>
      <c r="E460" s="6" t="str">
        <f>IFERROR(__xludf.DUMMYFUNCTION("""COMPUTED_VALUE"""),"No")</f>
        <v>No</v>
      </c>
      <c r="F460" s="8" t="str">
        <f>IFERROR(__xludf.DUMMYFUNCTION("""COMPUTED_VALUE"""),"No")</f>
        <v>No</v>
      </c>
    </row>
    <row r="461">
      <c r="A461" s="5">
        <f>IFERROR(__xludf.DUMMYFUNCTION("""COMPUTED_VALUE"""),44661.0)</f>
        <v>44661</v>
      </c>
      <c r="B461" s="6" t="str">
        <f>IFERROR(__xludf.DUMMYFUNCTION("""COMPUTED_VALUE"""),"dinner")</f>
        <v>dinner</v>
      </c>
      <c r="C461" s="6" t="str">
        <f>IFERROR(__xludf.DUMMYFUNCTION("""COMPUTED_VALUE"""),"employee B")</f>
        <v>employee B</v>
      </c>
      <c r="D461" s="7">
        <f>IFERROR(__xludf.DUMMYFUNCTION("""COMPUTED_VALUE"""),55.47)</f>
        <v>55.47</v>
      </c>
      <c r="E461" s="6" t="str">
        <f>IFERROR(__xludf.DUMMYFUNCTION("""COMPUTED_VALUE"""),"No")</f>
        <v>No</v>
      </c>
      <c r="F461" s="8" t="str">
        <f>IFERROR(__xludf.DUMMYFUNCTION("""COMPUTED_VALUE"""),"No")</f>
        <v>No</v>
      </c>
    </row>
    <row r="462">
      <c r="A462" s="5">
        <f>IFERROR(__xludf.DUMMYFUNCTION("""COMPUTED_VALUE"""),44661.0)</f>
        <v>44661</v>
      </c>
      <c r="B462" s="6" t="str">
        <f>IFERROR(__xludf.DUMMYFUNCTION("""COMPUTED_VALUE"""),"dinner")</f>
        <v>dinner</v>
      </c>
      <c r="C462" s="6" t="str">
        <f>IFERROR(__xludf.DUMMYFUNCTION("""COMPUTED_VALUE"""),"employee L")</f>
        <v>employee L</v>
      </c>
      <c r="D462" s="7">
        <f>IFERROR(__xludf.DUMMYFUNCTION("""COMPUTED_VALUE"""),49.32)</f>
        <v>49.32</v>
      </c>
      <c r="E462" s="6" t="str">
        <f>IFERROR(__xludf.DUMMYFUNCTION("""COMPUTED_VALUE"""),"No")</f>
        <v>No</v>
      </c>
      <c r="F462" s="8" t="str">
        <f>IFERROR(__xludf.DUMMYFUNCTION("""COMPUTED_VALUE"""),"No")</f>
        <v>No</v>
      </c>
    </row>
    <row r="463">
      <c r="A463" s="5">
        <f>IFERROR(__xludf.DUMMYFUNCTION("""COMPUTED_VALUE"""),44661.0)</f>
        <v>44661</v>
      </c>
      <c r="B463" s="6" t="str">
        <f>IFERROR(__xludf.DUMMYFUNCTION("""COMPUTED_VALUE"""),"dinner")</f>
        <v>dinner</v>
      </c>
      <c r="C463" s="6" t="str">
        <f>IFERROR(__xludf.DUMMYFUNCTION("""COMPUTED_VALUE"""),"employee I")</f>
        <v>employee I</v>
      </c>
      <c r="D463" s="7">
        <f>IFERROR(__xludf.DUMMYFUNCTION("""COMPUTED_VALUE"""),55.49)</f>
        <v>55.49</v>
      </c>
      <c r="E463" s="6" t="str">
        <f>IFERROR(__xludf.DUMMYFUNCTION("""COMPUTED_VALUE"""),"No")</f>
        <v>No</v>
      </c>
      <c r="F463" s="8" t="str">
        <f>IFERROR(__xludf.DUMMYFUNCTION("""COMPUTED_VALUE"""),"No")</f>
        <v>No</v>
      </c>
    </row>
    <row r="464">
      <c r="A464" s="5">
        <f>IFERROR(__xludf.DUMMYFUNCTION("""COMPUTED_VALUE"""),44662.0)</f>
        <v>44662</v>
      </c>
      <c r="B464" s="6" t="str">
        <f>IFERROR(__xludf.DUMMYFUNCTION("""COMPUTED_VALUE"""),"lunch")</f>
        <v>lunch</v>
      </c>
      <c r="C464" s="6" t="str">
        <f>IFERROR(__xludf.DUMMYFUNCTION("""COMPUTED_VALUE"""),"employee Q")</f>
        <v>employee Q</v>
      </c>
      <c r="D464" s="7">
        <f>IFERROR(__xludf.DUMMYFUNCTION("""COMPUTED_VALUE"""),61.41)</f>
        <v>61.41</v>
      </c>
      <c r="E464" s="6" t="str">
        <f>IFERROR(__xludf.DUMMYFUNCTION("""COMPUTED_VALUE"""),"No")</f>
        <v>No</v>
      </c>
      <c r="F464" s="8" t="str">
        <f>IFERROR(__xludf.DUMMYFUNCTION("""COMPUTED_VALUE"""),"No")</f>
        <v>No</v>
      </c>
    </row>
    <row r="465">
      <c r="A465" s="5">
        <f>IFERROR(__xludf.DUMMYFUNCTION("""COMPUTED_VALUE"""),44662.0)</f>
        <v>44662</v>
      </c>
      <c r="B465" s="6" t="str">
        <f>IFERROR(__xludf.DUMMYFUNCTION("""COMPUTED_VALUE"""),"dinner")</f>
        <v>dinner</v>
      </c>
      <c r="C465" s="6" t="str">
        <f>IFERROR(__xludf.DUMMYFUNCTION("""COMPUTED_VALUE"""),"employee Q")</f>
        <v>employee Q</v>
      </c>
      <c r="D465" s="7">
        <f>IFERROR(__xludf.DUMMYFUNCTION("""COMPUTED_VALUE"""),61.83)</f>
        <v>61.83</v>
      </c>
      <c r="E465" s="6" t="str">
        <f>IFERROR(__xludf.DUMMYFUNCTION("""COMPUTED_VALUE"""),"No")</f>
        <v>No</v>
      </c>
      <c r="F465" s="8" t="str">
        <f>IFERROR(__xludf.DUMMYFUNCTION("""COMPUTED_VALUE"""),"No")</f>
        <v>No</v>
      </c>
    </row>
    <row r="466">
      <c r="A466" s="5">
        <f>IFERROR(__xludf.DUMMYFUNCTION("""COMPUTED_VALUE"""),44662.0)</f>
        <v>44662</v>
      </c>
      <c r="B466" s="6" t="str">
        <f>IFERROR(__xludf.DUMMYFUNCTION("""COMPUTED_VALUE"""),"dinner")</f>
        <v>dinner</v>
      </c>
      <c r="C466" s="6" t="str">
        <f>IFERROR(__xludf.DUMMYFUNCTION("""COMPUTED_VALUE"""),"employee N")</f>
        <v>employee N</v>
      </c>
      <c r="D466" s="7">
        <f>IFERROR(__xludf.DUMMYFUNCTION("""COMPUTED_VALUE"""),58.39)</f>
        <v>58.39</v>
      </c>
      <c r="E466" s="6" t="str">
        <f>IFERROR(__xludf.DUMMYFUNCTION("""COMPUTED_VALUE"""),"No")</f>
        <v>No</v>
      </c>
      <c r="F466" s="8" t="str">
        <f>IFERROR(__xludf.DUMMYFUNCTION("""COMPUTED_VALUE"""),"No")</f>
        <v>No</v>
      </c>
    </row>
    <row r="467">
      <c r="A467" s="5">
        <f>IFERROR(__xludf.DUMMYFUNCTION("""COMPUTED_VALUE"""),44662.0)</f>
        <v>44662</v>
      </c>
      <c r="B467" s="6" t="str">
        <f>IFERROR(__xludf.DUMMYFUNCTION("""COMPUTED_VALUE"""),"dinner")</f>
        <v>dinner</v>
      </c>
      <c r="C467" s="6" t="str">
        <f>IFERROR(__xludf.DUMMYFUNCTION("""COMPUTED_VALUE"""),"employee A")</f>
        <v>employee A</v>
      </c>
      <c r="D467" s="7">
        <f>IFERROR(__xludf.DUMMYFUNCTION("""COMPUTED_VALUE"""),0.0)</f>
        <v>0</v>
      </c>
      <c r="E467" s="9" t="str">
        <f>IFERROR(__xludf.DUMMYFUNCTION("""COMPUTED_VALUE"""),"Yes")</f>
        <v>Yes</v>
      </c>
      <c r="F467" s="8" t="str">
        <f>IFERROR(__xludf.DUMMYFUNCTION("""COMPUTED_VALUE"""),"No")</f>
        <v>No</v>
      </c>
    </row>
    <row r="468">
      <c r="A468" s="5">
        <f>IFERROR(__xludf.DUMMYFUNCTION("""COMPUTED_VALUE"""),44663.0)</f>
        <v>44663</v>
      </c>
      <c r="B468" s="6" t="str">
        <f>IFERROR(__xludf.DUMMYFUNCTION("""COMPUTED_VALUE"""),"lunch")</f>
        <v>lunch</v>
      </c>
      <c r="C468" s="6" t="str">
        <f>IFERROR(__xludf.DUMMYFUNCTION("""COMPUTED_VALUE"""),"employee Q")</f>
        <v>employee Q</v>
      </c>
      <c r="D468" s="7">
        <f>IFERROR(__xludf.DUMMYFUNCTION("""COMPUTED_VALUE"""),80.2)</f>
        <v>80.2</v>
      </c>
      <c r="E468" s="6" t="str">
        <f>IFERROR(__xludf.DUMMYFUNCTION("""COMPUTED_VALUE"""),"No")</f>
        <v>No</v>
      </c>
      <c r="F468" s="8" t="str">
        <f>IFERROR(__xludf.DUMMYFUNCTION("""COMPUTED_VALUE"""),"No")</f>
        <v>No</v>
      </c>
    </row>
    <row r="469">
      <c r="A469" s="5">
        <f>IFERROR(__xludf.DUMMYFUNCTION("""COMPUTED_VALUE"""),44663.0)</f>
        <v>44663</v>
      </c>
      <c r="B469" s="6" t="str">
        <f>IFERROR(__xludf.DUMMYFUNCTION("""COMPUTED_VALUE"""),"dinner")</f>
        <v>dinner</v>
      </c>
      <c r="C469" s="6" t="str">
        <f>IFERROR(__xludf.DUMMYFUNCTION("""COMPUTED_VALUE"""),"employee J")</f>
        <v>employee J</v>
      </c>
      <c r="D469" s="7">
        <f>IFERROR(__xludf.DUMMYFUNCTION("""COMPUTED_VALUE"""),86.65)</f>
        <v>86.65</v>
      </c>
      <c r="E469" s="6" t="str">
        <f>IFERROR(__xludf.DUMMYFUNCTION("""COMPUTED_VALUE"""),"No")</f>
        <v>No</v>
      </c>
      <c r="F469" s="8" t="str">
        <f>IFERROR(__xludf.DUMMYFUNCTION("""COMPUTED_VALUE"""),"No")</f>
        <v>No</v>
      </c>
    </row>
    <row r="470">
      <c r="A470" s="5">
        <f>IFERROR(__xludf.DUMMYFUNCTION("""COMPUTED_VALUE"""),44663.0)</f>
        <v>44663</v>
      </c>
      <c r="B470" s="6" t="str">
        <f>IFERROR(__xludf.DUMMYFUNCTION("""COMPUTED_VALUE"""),"dinner")</f>
        <v>dinner</v>
      </c>
      <c r="C470" s="6" t="str">
        <f>IFERROR(__xludf.DUMMYFUNCTION("""COMPUTED_VALUE"""),"employee A")</f>
        <v>employee A</v>
      </c>
      <c r="D470" s="7">
        <f>IFERROR(__xludf.DUMMYFUNCTION("""COMPUTED_VALUE"""),0.0)</f>
        <v>0</v>
      </c>
      <c r="E470" s="9" t="str">
        <f>IFERROR(__xludf.DUMMYFUNCTION("""COMPUTED_VALUE"""),"Yes")</f>
        <v>Yes</v>
      </c>
      <c r="F470" s="8" t="str">
        <f>IFERROR(__xludf.DUMMYFUNCTION("""COMPUTED_VALUE"""),"No")</f>
        <v>No</v>
      </c>
    </row>
    <row r="471">
      <c r="A471" s="5">
        <f>IFERROR(__xludf.DUMMYFUNCTION("""COMPUTED_VALUE"""),44663.0)</f>
        <v>44663</v>
      </c>
      <c r="B471" s="6" t="str">
        <f>IFERROR(__xludf.DUMMYFUNCTION("""COMPUTED_VALUE"""),"dinner")</f>
        <v>dinner</v>
      </c>
      <c r="C471" s="6" t="str">
        <f>IFERROR(__xludf.DUMMYFUNCTION("""COMPUTED_VALUE"""),"employee I")</f>
        <v>employee I</v>
      </c>
      <c r="D471" s="7">
        <f>IFERROR(__xludf.DUMMYFUNCTION("""COMPUTED_VALUE"""),67.4)</f>
        <v>67.4</v>
      </c>
      <c r="E471" s="6" t="str">
        <f>IFERROR(__xludf.DUMMYFUNCTION("""COMPUTED_VALUE"""),"No")</f>
        <v>No</v>
      </c>
      <c r="F471" s="8" t="str">
        <f>IFERROR(__xludf.DUMMYFUNCTION("""COMPUTED_VALUE"""),"No")</f>
        <v>No</v>
      </c>
    </row>
    <row r="472">
      <c r="A472" s="5">
        <f>IFERROR(__xludf.DUMMYFUNCTION("""COMPUTED_VALUE"""),44664.0)</f>
        <v>44664</v>
      </c>
      <c r="B472" s="6" t="str">
        <f>IFERROR(__xludf.DUMMYFUNCTION("""COMPUTED_VALUE"""),"lunch")</f>
        <v>lunch</v>
      </c>
      <c r="C472" s="6" t="str">
        <f>IFERROR(__xludf.DUMMYFUNCTION("""COMPUTED_VALUE"""),"employee J")</f>
        <v>employee J</v>
      </c>
      <c r="D472" s="7">
        <f>IFERROR(__xludf.DUMMYFUNCTION("""COMPUTED_VALUE"""),82.62)</f>
        <v>82.62</v>
      </c>
      <c r="E472" s="6" t="str">
        <f>IFERROR(__xludf.DUMMYFUNCTION("""COMPUTED_VALUE"""),"No")</f>
        <v>No</v>
      </c>
      <c r="F472" s="8" t="str">
        <f>IFERROR(__xludf.DUMMYFUNCTION("""COMPUTED_VALUE"""),"No")</f>
        <v>No</v>
      </c>
    </row>
    <row r="473">
      <c r="A473" s="5">
        <f>IFERROR(__xludf.DUMMYFUNCTION("""COMPUTED_VALUE"""),44664.0)</f>
        <v>44664</v>
      </c>
      <c r="B473" s="6" t="str">
        <f>IFERROR(__xludf.DUMMYFUNCTION("""COMPUTED_VALUE"""),"dinner")</f>
        <v>dinner</v>
      </c>
      <c r="C473" s="6" t="str">
        <f>IFERROR(__xludf.DUMMYFUNCTION("""COMPUTED_VALUE"""),"employee J")</f>
        <v>employee J</v>
      </c>
      <c r="D473" s="7">
        <f>IFERROR(__xludf.DUMMYFUNCTION("""COMPUTED_VALUE"""),103.01)</f>
        <v>103.01</v>
      </c>
      <c r="E473" s="6" t="str">
        <f>IFERROR(__xludf.DUMMYFUNCTION("""COMPUTED_VALUE"""),"No")</f>
        <v>No</v>
      </c>
      <c r="F473" s="8" t="str">
        <f>IFERROR(__xludf.DUMMYFUNCTION("""COMPUTED_VALUE"""),"No")</f>
        <v>No</v>
      </c>
    </row>
    <row r="474">
      <c r="A474" s="5">
        <f>IFERROR(__xludf.DUMMYFUNCTION("""COMPUTED_VALUE"""),44664.0)</f>
        <v>44664</v>
      </c>
      <c r="B474" s="6" t="str">
        <f>IFERROR(__xludf.DUMMYFUNCTION("""COMPUTED_VALUE"""),"dinner")</f>
        <v>dinner</v>
      </c>
      <c r="C474" s="6" t="str">
        <f>IFERROR(__xludf.DUMMYFUNCTION("""COMPUTED_VALUE"""),"employee A")</f>
        <v>employee A</v>
      </c>
      <c r="D474" s="7">
        <f>IFERROR(__xludf.DUMMYFUNCTION("""COMPUTED_VALUE"""),0.0)</f>
        <v>0</v>
      </c>
      <c r="E474" s="9" t="str">
        <f>IFERROR(__xludf.DUMMYFUNCTION("""COMPUTED_VALUE"""),"Yes")</f>
        <v>Yes</v>
      </c>
      <c r="F474" s="8" t="str">
        <f>IFERROR(__xludf.DUMMYFUNCTION("""COMPUTED_VALUE"""),"No")</f>
        <v>No</v>
      </c>
    </row>
    <row r="475">
      <c r="A475" s="5">
        <f>IFERROR(__xludf.DUMMYFUNCTION("""COMPUTED_VALUE"""),44664.0)</f>
        <v>44664</v>
      </c>
      <c r="B475" s="6" t="str">
        <f>IFERROR(__xludf.DUMMYFUNCTION("""COMPUTED_VALUE"""),"dinner")</f>
        <v>dinner</v>
      </c>
      <c r="C475" s="6" t="str">
        <f>IFERROR(__xludf.DUMMYFUNCTION("""COMPUTED_VALUE"""),"employee I")</f>
        <v>employee I</v>
      </c>
      <c r="D475" s="7">
        <f>IFERROR(__xludf.DUMMYFUNCTION("""COMPUTED_VALUE"""),56.99)</f>
        <v>56.99</v>
      </c>
      <c r="E475" s="6" t="str">
        <f>IFERROR(__xludf.DUMMYFUNCTION("""COMPUTED_VALUE"""),"No")</f>
        <v>No</v>
      </c>
      <c r="F475" s="8" t="str">
        <f>IFERROR(__xludf.DUMMYFUNCTION("""COMPUTED_VALUE"""),"No")</f>
        <v>No</v>
      </c>
    </row>
    <row r="476">
      <c r="A476" s="5">
        <f>IFERROR(__xludf.DUMMYFUNCTION("""COMPUTED_VALUE"""),44665.0)</f>
        <v>44665</v>
      </c>
      <c r="B476" s="6" t="str">
        <f>IFERROR(__xludf.DUMMYFUNCTION("""COMPUTED_VALUE"""),"lunch")</f>
        <v>lunch</v>
      </c>
      <c r="C476" s="6" t="str">
        <f>IFERROR(__xludf.DUMMYFUNCTION("""COMPUTED_VALUE"""),"employee J")</f>
        <v>employee J</v>
      </c>
      <c r="D476" s="7">
        <f>IFERROR(__xludf.DUMMYFUNCTION("""COMPUTED_VALUE"""),69.61)</f>
        <v>69.61</v>
      </c>
      <c r="E476" s="6" t="str">
        <f>IFERROR(__xludf.DUMMYFUNCTION("""COMPUTED_VALUE"""),"No")</f>
        <v>No</v>
      </c>
      <c r="F476" s="8" t="str">
        <f>IFERROR(__xludf.DUMMYFUNCTION("""COMPUTED_VALUE"""),"No")</f>
        <v>No</v>
      </c>
    </row>
    <row r="477">
      <c r="A477" s="5">
        <f>IFERROR(__xludf.DUMMYFUNCTION("""COMPUTED_VALUE"""),44665.0)</f>
        <v>44665</v>
      </c>
      <c r="B477" s="6" t="str">
        <f>IFERROR(__xludf.DUMMYFUNCTION("""COMPUTED_VALUE"""),"dinner")</f>
        <v>dinner</v>
      </c>
      <c r="C477" s="6" t="str">
        <f>IFERROR(__xludf.DUMMYFUNCTION("""COMPUTED_VALUE"""),"employee B")</f>
        <v>employee B</v>
      </c>
      <c r="D477" s="7">
        <f>IFERROR(__xludf.DUMMYFUNCTION("""COMPUTED_VALUE"""),83.84)</f>
        <v>83.84</v>
      </c>
      <c r="E477" s="6" t="str">
        <f>IFERROR(__xludf.DUMMYFUNCTION("""COMPUTED_VALUE"""),"No")</f>
        <v>No</v>
      </c>
      <c r="F477" s="8" t="str">
        <f>IFERROR(__xludf.DUMMYFUNCTION("""COMPUTED_VALUE"""),"No")</f>
        <v>No</v>
      </c>
    </row>
    <row r="478">
      <c r="A478" s="5">
        <f>IFERROR(__xludf.DUMMYFUNCTION("""COMPUTED_VALUE"""),44665.0)</f>
        <v>44665</v>
      </c>
      <c r="B478" s="6" t="str">
        <f>IFERROR(__xludf.DUMMYFUNCTION("""COMPUTED_VALUE"""),"dinner")</f>
        <v>dinner</v>
      </c>
      <c r="C478" s="6" t="str">
        <f>IFERROR(__xludf.DUMMYFUNCTION("""COMPUTED_VALUE"""),"employee A")</f>
        <v>employee A</v>
      </c>
      <c r="D478" s="7">
        <f>IFERROR(__xludf.DUMMYFUNCTION("""COMPUTED_VALUE"""),0.0)</f>
        <v>0</v>
      </c>
      <c r="E478" s="9" t="str">
        <f>IFERROR(__xludf.DUMMYFUNCTION("""COMPUTED_VALUE"""),"Yes")</f>
        <v>Yes</v>
      </c>
      <c r="F478" s="8" t="str">
        <f>IFERROR(__xludf.DUMMYFUNCTION("""COMPUTED_VALUE"""),"No")</f>
        <v>No</v>
      </c>
    </row>
    <row r="479">
      <c r="A479" s="5">
        <f>IFERROR(__xludf.DUMMYFUNCTION("""COMPUTED_VALUE"""),44665.0)</f>
        <v>44665</v>
      </c>
      <c r="B479" s="6" t="str">
        <f>IFERROR(__xludf.DUMMYFUNCTION("""COMPUTED_VALUE"""),"dinner")</f>
        <v>dinner</v>
      </c>
      <c r="C479" s="6" t="str">
        <f>IFERROR(__xludf.DUMMYFUNCTION("""COMPUTED_VALUE"""),"employee I")</f>
        <v>employee I</v>
      </c>
      <c r="D479" s="7">
        <f>IFERROR(__xludf.DUMMYFUNCTION("""COMPUTED_VALUE"""),55.92)</f>
        <v>55.92</v>
      </c>
      <c r="E479" s="6" t="str">
        <f>IFERROR(__xludf.DUMMYFUNCTION("""COMPUTED_VALUE"""),"No")</f>
        <v>No</v>
      </c>
      <c r="F479" s="8" t="str">
        <f>IFERROR(__xludf.DUMMYFUNCTION("""COMPUTED_VALUE"""),"No")</f>
        <v>No</v>
      </c>
    </row>
    <row r="480">
      <c r="A480" s="5">
        <f>IFERROR(__xludf.DUMMYFUNCTION("""COMPUTED_VALUE"""),44666.0)</f>
        <v>44666</v>
      </c>
      <c r="B480" s="6" t="str">
        <f>IFERROR(__xludf.DUMMYFUNCTION("""COMPUTED_VALUE"""),"lunch")</f>
        <v>lunch</v>
      </c>
      <c r="C480" s="6" t="str">
        <f>IFERROR(__xludf.DUMMYFUNCTION("""COMPUTED_VALUE"""),"employee B")</f>
        <v>employee B</v>
      </c>
      <c r="D480" s="7">
        <f>IFERROR(__xludf.DUMMYFUNCTION("""COMPUTED_VALUE"""),60.17)</f>
        <v>60.17</v>
      </c>
      <c r="E480" s="6" t="str">
        <f>IFERROR(__xludf.DUMMYFUNCTION("""COMPUTED_VALUE"""),"No")</f>
        <v>No</v>
      </c>
      <c r="F480" s="8" t="str">
        <f>IFERROR(__xludf.DUMMYFUNCTION("""COMPUTED_VALUE"""),"No")</f>
        <v>No</v>
      </c>
    </row>
    <row r="481">
      <c r="A481" s="5">
        <f>IFERROR(__xludf.DUMMYFUNCTION("""COMPUTED_VALUE"""),44666.0)</f>
        <v>44666</v>
      </c>
      <c r="B481" s="6" t="str">
        <f>IFERROR(__xludf.DUMMYFUNCTION("""COMPUTED_VALUE"""),"lunch")</f>
        <v>lunch</v>
      </c>
      <c r="C481" s="6" t="str">
        <f>IFERROR(__xludf.DUMMYFUNCTION("""COMPUTED_VALUE"""),"employee L")</f>
        <v>employee L</v>
      </c>
      <c r="D481" s="7">
        <f>IFERROR(__xludf.DUMMYFUNCTION("""COMPUTED_VALUE"""),60.17)</f>
        <v>60.17</v>
      </c>
      <c r="E481" s="6" t="str">
        <f>IFERROR(__xludf.DUMMYFUNCTION("""COMPUTED_VALUE"""),"No")</f>
        <v>No</v>
      </c>
      <c r="F481" s="8" t="str">
        <f>IFERROR(__xludf.DUMMYFUNCTION("""COMPUTED_VALUE"""),"No")</f>
        <v>No</v>
      </c>
    </row>
    <row r="482">
      <c r="A482" s="5">
        <f>IFERROR(__xludf.DUMMYFUNCTION("""COMPUTED_VALUE"""),44666.0)</f>
        <v>44666</v>
      </c>
      <c r="B482" s="6" t="str">
        <f>IFERROR(__xludf.DUMMYFUNCTION("""COMPUTED_VALUE"""),"dinner")</f>
        <v>dinner</v>
      </c>
      <c r="C482" s="6" t="str">
        <f>IFERROR(__xludf.DUMMYFUNCTION("""COMPUTED_VALUE"""),"employee B")</f>
        <v>employee B</v>
      </c>
      <c r="D482" s="7">
        <f>IFERROR(__xludf.DUMMYFUNCTION("""COMPUTED_VALUE"""),42.53)</f>
        <v>42.53</v>
      </c>
      <c r="E482" s="6" t="str">
        <f>IFERROR(__xludf.DUMMYFUNCTION("""COMPUTED_VALUE"""),"No")</f>
        <v>No</v>
      </c>
      <c r="F482" s="8" t="str">
        <f>IFERROR(__xludf.DUMMYFUNCTION("""COMPUTED_VALUE"""),"No")</f>
        <v>No</v>
      </c>
    </row>
    <row r="483">
      <c r="A483" s="5">
        <f>IFERROR(__xludf.DUMMYFUNCTION("""COMPUTED_VALUE"""),44666.0)</f>
        <v>44666</v>
      </c>
      <c r="B483" s="6" t="str">
        <f>IFERROR(__xludf.DUMMYFUNCTION("""COMPUTED_VALUE"""),"dinner")</f>
        <v>dinner</v>
      </c>
      <c r="C483" s="6" t="str">
        <f>IFERROR(__xludf.DUMMYFUNCTION("""COMPUTED_VALUE"""),"employee L")</f>
        <v>employee L</v>
      </c>
      <c r="D483" s="7">
        <f>IFERROR(__xludf.DUMMYFUNCTION("""COMPUTED_VALUE"""),42.53)</f>
        <v>42.53</v>
      </c>
      <c r="E483" s="6" t="str">
        <f>IFERROR(__xludf.DUMMYFUNCTION("""COMPUTED_VALUE"""),"No")</f>
        <v>No</v>
      </c>
      <c r="F483" s="8" t="str">
        <f>IFERROR(__xludf.DUMMYFUNCTION("""COMPUTED_VALUE"""),"No")</f>
        <v>No</v>
      </c>
    </row>
    <row r="484">
      <c r="A484" s="5">
        <f>IFERROR(__xludf.DUMMYFUNCTION("""COMPUTED_VALUE"""),44666.0)</f>
        <v>44666</v>
      </c>
      <c r="B484" s="6" t="str">
        <f>IFERROR(__xludf.DUMMYFUNCTION("""COMPUTED_VALUE"""),"dinner")</f>
        <v>dinner</v>
      </c>
      <c r="C484" s="6" t="str">
        <f>IFERROR(__xludf.DUMMYFUNCTION("""COMPUTED_VALUE"""),"employee N")</f>
        <v>employee N</v>
      </c>
      <c r="D484" s="7">
        <f>IFERROR(__xludf.DUMMYFUNCTION("""COMPUTED_VALUE"""),42.53)</f>
        <v>42.53</v>
      </c>
      <c r="E484" s="6" t="str">
        <f>IFERROR(__xludf.DUMMYFUNCTION("""COMPUTED_VALUE"""),"No")</f>
        <v>No</v>
      </c>
      <c r="F484" s="8" t="str">
        <f>IFERROR(__xludf.DUMMYFUNCTION("""COMPUTED_VALUE"""),"No")</f>
        <v>No</v>
      </c>
    </row>
    <row r="485">
      <c r="A485" s="5">
        <f>IFERROR(__xludf.DUMMYFUNCTION("""COMPUTED_VALUE"""),44667.0)</f>
        <v>44667</v>
      </c>
      <c r="B485" s="6" t="str">
        <f>IFERROR(__xludf.DUMMYFUNCTION("""COMPUTED_VALUE"""),"lunch")</f>
        <v>lunch</v>
      </c>
      <c r="C485" s="6" t="str">
        <f>IFERROR(__xludf.DUMMYFUNCTION("""COMPUTED_VALUE"""),"employee Q")</f>
        <v>employee Q</v>
      </c>
      <c r="D485" s="7">
        <f>IFERROR(__xludf.DUMMYFUNCTION("""COMPUTED_VALUE"""),94.83)</f>
        <v>94.83</v>
      </c>
      <c r="E485" s="6" t="str">
        <f>IFERROR(__xludf.DUMMYFUNCTION("""COMPUTED_VALUE"""),"No")</f>
        <v>No</v>
      </c>
      <c r="F485" s="8" t="str">
        <f>IFERROR(__xludf.DUMMYFUNCTION("""COMPUTED_VALUE"""),"No")</f>
        <v>No</v>
      </c>
    </row>
    <row r="486">
      <c r="A486" s="5">
        <f>IFERROR(__xludf.DUMMYFUNCTION("""COMPUTED_VALUE"""),44667.0)</f>
        <v>44667</v>
      </c>
      <c r="B486" s="6" t="str">
        <f>IFERROR(__xludf.DUMMYFUNCTION("""COMPUTED_VALUE"""),"lunch")</f>
        <v>lunch</v>
      </c>
      <c r="C486" s="6" t="str">
        <f>IFERROR(__xludf.DUMMYFUNCTION("""COMPUTED_VALUE"""),"employee B")</f>
        <v>employee B</v>
      </c>
      <c r="D486" s="7">
        <f>IFERROR(__xludf.DUMMYFUNCTION("""COMPUTED_VALUE"""),104.9)</f>
        <v>104.9</v>
      </c>
      <c r="E486" s="6" t="str">
        <f>IFERROR(__xludf.DUMMYFUNCTION("""COMPUTED_VALUE"""),"No")</f>
        <v>No</v>
      </c>
      <c r="F486" s="8" t="str">
        <f>IFERROR(__xludf.DUMMYFUNCTION("""COMPUTED_VALUE"""),"No")</f>
        <v>No</v>
      </c>
    </row>
    <row r="487">
      <c r="A487" s="5">
        <f>IFERROR(__xludf.DUMMYFUNCTION("""COMPUTED_VALUE"""),44667.0)</f>
        <v>44667</v>
      </c>
      <c r="B487" s="6" t="str">
        <f>IFERROR(__xludf.DUMMYFUNCTION("""COMPUTED_VALUE"""),"lunch")</f>
        <v>lunch</v>
      </c>
      <c r="C487" s="6" t="str">
        <f>IFERROR(__xludf.DUMMYFUNCTION("""COMPUTED_VALUE"""),"employee L")</f>
        <v>employee L</v>
      </c>
      <c r="D487" s="7">
        <f>IFERROR(__xludf.DUMMYFUNCTION("""COMPUTED_VALUE"""),99.9)</f>
        <v>99.9</v>
      </c>
      <c r="E487" s="6" t="str">
        <f>IFERROR(__xludf.DUMMYFUNCTION("""COMPUTED_VALUE"""),"No")</f>
        <v>No</v>
      </c>
      <c r="F487" s="8" t="str">
        <f>IFERROR(__xludf.DUMMYFUNCTION("""COMPUTED_VALUE"""),"No")</f>
        <v>No</v>
      </c>
    </row>
    <row r="488">
      <c r="A488" s="5">
        <f>IFERROR(__xludf.DUMMYFUNCTION("""COMPUTED_VALUE"""),44667.0)</f>
        <v>44667</v>
      </c>
      <c r="B488" s="6" t="str">
        <f>IFERROR(__xludf.DUMMYFUNCTION("""COMPUTED_VALUE"""),"dinner")</f>
        <v>dinner</v>
      </c>
      <c r="C488" s="6" t="str">
        <f>IFERROR(__xludf.DUMMYFUNCTION("""COMPUTED_VALUE"""),"employee B")</f>
        <v>employee B</v>
      </c>
      <c r="D488" s="7">
        <f>IFERROR(__xludf.DUMMYFUNCTION("""COMPUTED_VALUE"""),36.49)</f>
        <v>36.49</v>
      </c>
      <c r="E488" s="6" t="str">
        <f>IFERROR(__xludf.DUMMYFUNCTION("""COMPUTED_VALUE"""),"No")</f>
        <v>No</v>
      </c>
      <c r="F488" s="8" t="str">
        <f>IFERROR(__xludf.DUMMYFUNCTION("""COMPUTED_VALUE"""),"No")</f>
        <v>No</v>
      </c>
    </row>
    <row r="489">
      <c r="A489" s="5">
        <f>IFERROR(__xludf.DUMMYFUNCTION("""COMPUTED_VALUE"""),44667.0)</f>
        <v>44667</v>
      </c>
      <c r="B489" s="6" t="str">
        <f>IFERROR(__xludf.DUMMYFUNCTION("""COMPUTED_VALUE"""),"dinner")</f>
        <v>dinner</v>
      </c>
      <c r="C489" s="6" t="str">
        <f>IFERROR(__xludf.DUMMYFUNCTION("""COMPUTED_VALUE"""),"employee L")</f>
        <v>employee L</v>
      </c>
      <c r="D489" s="7">
        <f>IFERROR(__xludf.DUMMYFUNCTION("""COMPUTED_VALUE"""),46.92)</f>
        <v>46.92</v>
      </c>
      <c r="E489" s="6" t="str">
        <f>IFERROR(__xludf.DUMMYFUNCTION("""COMPUTED_VALUE"""),"No")</f>
        <v>No</v>
      </c>
      <c r="F489" s="8" t="str">
        <f>IFERROR(__xludf.DUMMYFUNCTION("""COMPUTED_VALUE"""),"No")</f>
        <v>No</v>
      </c>
    </row>
    <row r="490">
      <c r="A490" s="5">
        <f>IFERROR(__xludf.DUMMYFUNCTION("""COMPUTED_VALUE"""),44667.0)</f>
        <v>44667</v>
      </c>
      <c r="B490" s="6" t="str">
        <f>IFERROR(__xludf.DUMMYFUNCTION("""COMPUTED_VALUE"""),"dinner")</f>
        <v>dinner</v>
      </c>
      <c r="C490" s="6" t="str">
        <f>IFERROR(__xludf.DUMMYFUNCTION("""COMPUTED_VALUE"""),"employee J")</f>
        <v>employee J</v>
      </c>
      <c r="D490" s="7">
        <f>IFERROR(__xludf.DUMMYFUNCTION("""COMPUTED_VALUE"""),41.71)</f>
        <v>41.71</v>
      </c>
      <c r="E490" s="6" t="str">
        <f>IFERROR(__xludf.DUMMYFUNCTION("""COMPUTED_VALUE"""),"No")</f>
        <v>No</v>
      </c>
      <c r="F490" s="8" t="str">
        <f>IFERROR(__xludf.DUMMYFUNCTION("""COMPUTED_VALUE"""),"No")</f>
        <v>No</v>
      </c>
    </row>
    <row r="491">
      <c r="A491" s="5">
        <f>IFERROR(__xludf.DUMMYFUNCTION("""COMPUTED_VALUE"""),44668.0)</f>
        <v>44668</v>
      </c>
      <c r="B491" s="6" t="str">
        <f>IFERROR(__xludf.DUMMYFUNCTION("""COMPUTED_VALUE"""),"lunch")</f>
        <v>lunch</v>
      </c>
      <c r="C491" s="6" t="str">
        <f>IFERROR(__xludf.DUMMYFUNCTION("""COMPUTED_VALUE"""),"employee Q")</f>
        <v>employee Q</v>
      </c>
      <c r="D491" s="7">
        <f>IFERROR(__xludf.DUMMYFUNCTION("""COMPUTED_VALUE"""),48.68)</f>
        <v>48.68</v>
      </c>
      <c r="E491" s="6" t="str">
        <f>IFERROR(__xludf.DUMMYFUNCTION("""COMPUTED_VALUE"""),"No")</f>
        <v>No</v>
      </c>
      <c r="F491" s="8" t="str">
        <f>IFERROR(__xludf.DUMMYFUNCTION("""COMPUTED_VALUE"""),"No")</f>
        <v>No</v>
      </c>
    </row>
    <row r="492">
      <c r="A492" s="5">
        <f>IFERROR(__xludf.DUMMYFUNCTION("""COMPUTED_VALUE"""),44668.0)</f>
        <v>44668</v>
      </c>
      <c r="B492" s="6" t="str">
        <f>IFERROR(__xludf.DUMMYFUNCTION("""COMPUTED_VALUE"""),"lunch")</f>
        <v>lunch</v>
      </c>
      <c r="C492" s="6" t="str">
        <f>IFERROR(__xludf.DUMMYFUNCTION("""COMPUTED_VALUE"""),"employee B")</f>
        <v>employee B</v>
      </c>
      <c r="D492" s="7">
        <f>IFERROR(__xludf.DUMMYFUNCTION("""COMPUTED_VALUE"""),48.69)</f>
        <v>48.69</v>
      </c>
      <c r="E492" s="6" t="str">
        <f>IFERROR(__xludf.DUMMYFUNCTION("""COMPUTED_VALUE"""),"No")</f>
        <v>No</v>
      </c>
      <c r="F492" s="8" t="str">
        <f>IFERROR(__xludf.DUMMYFUNCTION("""COMPUTED_VALUE"""),"No")</f>
        <v>No</v>
      </c>
    </row>
    <row r="493">
      <c r="A493" s="5">
        <f>IFERROR(__xludf.DUMMYFUNCTION("""COMPUTED_VALUE"""),44668.0)</f>
        <v>44668</v>
      </c>
      <c r="B493" s="6" t="str">
        <f>IFERROR(__xludf.DUMMYFUNCTION("""COMPUTED_VALUE"""),"lunch")</f>
        <v>lunch</v>
      </c>
      <c r="C493" s="6" t="str">
        <f>IFERROR(__xludf.DUMMYFUNCTION("""COMPUTED_VALUE"""),"employee L")</f>
        <v>employee L</v>
      </c>
      <c r="D493" s="7">
        <f>IFERROR(__xludf.DUMMYFUNCTION("""COMPUTED_VALUE"""),88.51)</f>
        <v>88.51</v>
      </c>
      <c r="E493" s="6" t="str">
        <f>IFERROR(__xludf.DUMMYFUNCTION("""COMPUTED_VALUE"""),"No")</f>
        <v>No</v>
      </c>
      <c r="F493" s="8" t="str">
        <f>IFERROR(__xludf.DUMMYFUNCTION("""COMPUTED_VALUE"""),"No")</f>
        <v>No</v>
      </c>
    </row>
    <row r="494">
      <c r="A494" s="5">
        <f>IFERROR(__xludf.DUMMYFUNCTION("""COMPUTED_VALUE"""),44668.0)</f>
        <v>44668</v>
      </c>
      <c r="B494" s="6" t="str">
        <f>IFERROR(__xludf.DUMMYFUNCTION("""COMPUTED_VALUE"""),"lunch")</f>
        <v>lunch</v>
      </c>
      <c r="C494" s="6" t="str">
        <f>IFERROR(__xludf.DUMMYFUNCTION("""COMPUTED_VALUE"""),"employee J")</f>
        <v>employee J</v>
      </c>
      <c r="D494" s="7">
        <f>IFERROR(__xludf.DUMMYFUNCTION("""COMPUTED_VALUE"""),79.66)</f>
        <v>79.66</v>
      </c>
      <c r="E494" s="6" t="str">
        <f>IFERROR(__xludf.DUMMYFUNCTION("""COMPUTED_VALUE"""),"No")</f>
        <v>No</v>
      </c>
      <c r="F494" s="8" t="str">
        <f>IFERROR(__xludf.DUMMYFUNCTION("""COMPUTED_VALUE"""),"No")</f>
        <v>No</v>
      </c>
    </row>
    <row r="495">
      <c r="A495" s="5">
        <f>IFERROR(__xludf.DUMMYFUNCTION("""COMPUTED_VALUE"""),44668.0)</f>
        <v>44668</v>
      </c>
      <c r="B495" s="6" t="str">
        <f>IFERROR(__xludf.DUMMYFUNCTION("""COMPUTED_VALUE"""),"dinner")</f>
        <v>dinner</v>
      </c>
      <c r="C495" s="6" t="str">
        <f>IFERROR(__xludf.DUMMYFUNCTION("""COMPUTED_VALUE"""),"employee B")</f>
        <v>employee B</v>
      </c>
      <c r="D495" s="7">
        <f>IFERROR(__xludf.DUMMYFUNCTION("""COMPUTED_VALUE"""),63.86)</f>
        <v>63.86</v>
      </c>
      <c r="E495" s="6" t="str">
        <f>IFERROR(__xludf.DUMMYFUNCTION("""COMPUTED_VALUE"""),"No")</f>
        <v>No</v>
      </c>
      <c r="F495" s="8" t="str">
        <f>IFERROR(__xludf.DUMMYFUNCTION("""COMPUTED_VALUE"""),"No")</f>
        <v>No</v>
      </c>
    </row>
    <row r="496">
      <c r="A496" s="5">
        <f>IFERROR(__xludf.DUMMYFUNCTION("""COMPUTED_VALUE"""),44668.0)</f>
        <v>44668</v>
      </c>
      <c r="B496" s="6" t="str">
        <f>IFERROR(__xludf.DUMMYFUNCTION("""COMPUTED_VALUE"""),"dinner")</f>
        <v>dinner</v>
      </c>
      <c r="C496" s="6" t="str">
        <f>IFERROR(__xludf.DUMMYFUNCTION("""COMPUTED_VALUE"""),"employee L")</f>
        <v>employee L</v>
      </c>
      <c r="D496" s="7">
        <f>IFERROR(__xludf.DUMMYFUNCTION("""COMPUTED_VALUE"""),42.59)</f>
        <v>42.59</v>
      </c>
      <c r="E496" s="6" t="str">
        <f>IFERROR(__xludf.DUMMYFUNCTION("""COMPUTED_VALUE"""),"No")</f>
        <v>No</v>
      </c>
      <c r="F496" s="8" t="str">
        <f>IFERROR(__xludf.DUMMYFUNCTION("""COMPUTED_VALUE"""),"No")</f>
        <v>No</v>
      </c>
    </row>
    <row r="497">
      <c r="A497" s="5">
        <f>IFERROR(__xludf.DUMMYFUNCTION("""COMPUTED_VALUE"""),44668.0)</f>
        <v>44668</v>
      </c>
      <c r="B497" s="6" t="str">
        <f>IFERROR(__xludf.DUMMYFUNCTION("""COMPUTED_VALUE"""),"dinner")</f>
        <v>dinner</v>
      </c>
      <c r="C497" s="6" t="str">
        <f>IFERROR(__xludf.DUMMYFUNCTION("""COMPUTED_VALUE"""),"employee I")</f>
        <v>employee I</v>
      </c>
      <c r="D497" s="7">
        <f>IFERROR(__xludf.DUMMYFUNCTION("""COMPUTED_VALUE"""),63.86)</f>
        <v>63.86</v>
      </c>
      <c r="E497" s="6" t="str">
        <f>IFERROR(__xludf.DUMMYFUNCTION("""COMPUTED_VALUE"""),"No")</f>
        <v>No</v>
      </c>
      <c r="F497" s="8" t="str">
        <f>IFERROR(__xludf.DUMMYFUNCTION("""COMPUTED_VALUE"""),"No")</f>
        <v>No</v>
      </c>
    </row>
    <row r="498">
      <c r="A498" s="5">
        <f>IFERROR(__xludf.DUMMYFUNCTION("""COMPUTED_VALUE"""),44669.0)</f>
        <v>44669</v>
      </c>
      <c r="B498" s="6" t="str">
        <f>IFERROR(__xludf.DUMMYFUNCTION("""COMPUTED_VALUE"""),"lunch")</f>
        <v>lunch</v>
      </c>
      <c r="C498" s="6" t="str">
        <f>IFERROR(__xludf.DUMMYFUNCTION("""COMPUTED_VALUE"""),"employee Q")</f>
        <v>employee Q</v>
      </c>
      <c r="D498" s="7">
        <f>IFERROR(__xludf.DUMMYFUNCTION("""COMPUTED_VALUE"""),39.68)</f>
        <v>39.68</v>
      </c>
      <c r="E498" s="6" t="str">
        <f>IFERROR(__xludf.DUMMYFUNCTION("""COMPUTED_VALUE"""),"No")</f>
        <v>No</v>
      </c>
      <c r="F498" s="8" t="str">
        <f>IFERROR(__xludf.DUMMYFUNCTION("""COMPUTED_VALUE"""),"No")</f>
        <v>No</v>
      </c>
    </row>
    <row r="499">
      <c r="A499" s="5">
        <f>IFERROR(__xludf.DUMMYFUNCTION("""COMPUTED_VALUE"""),44669.0)</f>
        <v>44669</v>
      </c>
      <c r="B499" s="6" t="str">
        <f>IFERROR(__xludf.DUMMYFUNCTION("""COMPUTED_VALUE"""),"dinner")</f>
        <v>dinner</v>
      </c>
      <c r="C499" s="6" t="str">
        <f>IFERROR(__xludf.DUMMYFUNCTION("""COMPUTED_VALUE"""),"employee J")</f>
        <v>employee J</v>
      </c>
      <c r="D499" s="7">
        <f>IFERROR(__xludf.DUMMYFUNCTION("""COMPUTED_VALUE"""),60.92)</f>
        <v>60.92</v>
      </c>
      <c r="E499" s="6" t="str">
        <f>IFERROR(__xludf.DUMMYFUNCTION("""COMPUTED_VALUE"""),"No")</f>
        <v>No</v>
      </c>
      <c r="F499" s="8" t="str">
        <f>IFERROR(__xludf.DUMMYFUNCTION("""COMPUTED_VALUE"""),"No")</f>
        <v>No</v>
      </c>
    </row>
    <row r="500">
      <c r="A500" s="5">
        <f>IFERROR(__xludf.DUMMYFUNCTION("""COMPUTED_VALUE"""),44669.0)</f>
        <v>44669</v>
      </c>
      <c r="B500" s="6" t="str">
        <f>IFERROR(__xludf.DUMMYFUNCTION("""COMPUTED_VALUE"""),"dinner")</f>
        <v>dinner</v>
      </c>
      <c r="C500" s="6" t="str">
        <f>IFERROR(__xludf.DUMMYFUNCTION("""COMPUTED_VALUE"""),"employee A")</f>
        <v>employee A</v>
      </c>
      <c r="D500" s="7">
        <f>IFERROR(__xludf.DUMMYFUNCTION("""COMPUTED_VALUE"""),60.92)</f>
        <v>60.92</v>
      </c>
      <c r="E500" s="6" t="str">
        <f>IFERROR(__xludf.DUMMYFUNCTION("""COMPUTED_VALUE"""),"No")</f>
        <v>No</v>
      </c>
      <c r="F500" s="8" t="str">
        <f>IFERROR(__xludf.DUMMYFUNCTION("""COMPUTED_VALUE"""),"No")</f>
        <v>No</v>
      </c>
    </row>
    <row r="501">
      <c r="A501" s="5">
        <f>IFERROR(__xludf.DUMMYFUNCTION("""COMPUTED_VALUE"""),44669.0)</f>
        <v>44669</v>
      </c>
      <c r="B501" s="6" t="str">
        <f>IFERROR(__xludf.DUMMYFUNCTION("""COMPUTED_VALUE"""),"dinner")</f>
        <v>dinner</v>
      </c>
      <c r="C501" s="6" t="str">
        <f>IFERROR(__xludf.DUMMYFUNCTION("""COMPUTED_VALUE"""),"employee N")</f>
        <v>employee N</v>
      </c>
      <c r="D501" s="7">
        <f>IFERROR(__xludf.DUMMYFUNCTION("""COMPUTED_VALUE"""),40.61)</f>
        <v>40.61</v>
      </c>
      <c r="E501" s="6" t="str">
        <f>IFERROR(__xludf.DUMMYFUNCTION("""COMPUTED_VALUE"""),"No")</f>
        <v>No</v>
      </c>
      <c r="F501" s="8" t="str">
        <f>IFERROR(__xludf.DUMMYFUNCTION("""COMPUTED_VALUE"""),"No")</f>
        <v>No</v>
      </c>
    </row>
    <row r="502">
      <c r="A502" s="5">
        <f>IFERROR(__xludf.DUMMYFUNCTION("""COMPUTED_VALUE"""),44670.0)</f>
        <v>44670</v>
      </c>
      <c r="B502" s="6" t="str">
        <f>IFERROR(__xludf.DUMMYFUNCTION("""COMPUTED_VALUE"""),"lunch")</f>
        <v>lunch</v>
      </c>
      <c r="C502" s="6" t="str">
        <f>IFERROR(__xludf.DUMMYFUNCTION("""COMPUTED_VALUE"""),"employee J")</f>
        <v>employee J</v>
      </c>
      <c r="D502" s="7">
        <f>IFERROR(__xludf.DUMMYFUNCTION("""COMPUTED_VALUE"""),84.74)</f>
        <v>84.74</v>
      </c>
      <c r="E502" s="6" t="str">
        <f>IFERROR(__xludf.DUMMYFUNCTION("""COMPUTED_VALUE"""),"No")</f>
        <v>No</v>
      </c>
      <c r="F502" s="8" t="str">
        <f>IFERROR(__xludf.DUMMYFUNCTION("""COMPUTED_VALUE"""),"No")</f>
        <v>No</v>
      </c>
    </row>
    <row r="503">
      <c r="A503" s="5">
        <f>IFERROR(__xludf.DUMMYFUNCTION("""COMPUTED_VALUE"""),44670.0)</f>
        <v>44670</v>
      </c>
      <c r="B503" s="6" t="str">
        <f>IFERROR(__xludf.DUMMYFUNCTION("""COMPUTED_VALUE"""),"dinner")</f>
        <v>dinner</v>
      </c>
      <c r="C503" s="6" t="str">
        <f>IFERROR(__xludf.DUMMYFUNCTION("""COMPUTED_VALUE"""),"employee J")</f>
        <v>employee J</v>
      </c>
      <c r="D503" s="7">
        <f>IFERROR(__xludf.DUMMYFUNCTION("""COMPUTED_VALUE"""),78.43)</f>
        <v>78.43</v>
      </c>
      <c r="E503" s="6" t="str">
        <f>IFERROR(__xludf.DUMMYFUNCTION("""COMPUTED_VALUE"""),"No")</f>
        <v>No</v>
      </c>
      <c r="F503" s="8" t="str">
        <f>IFERROR(__xludf.DUMMYFUNCTION("""COMPUTED_VALUE"""),"No")</f>
        <v>No</v>
      </c>
    </row>
    <row r="504">
      <c r="A504" s="5">
        <f>IFERROR(__xludf.DUMMYFUNCTION("""COMPUTED_VALUE"""),44670.0)</f>
        <v>44670</v>
      </c>
      <c r="B504" s="6" t="str">
        <f>IFERROR(__xludf.DUMMYFUNCTION("""COMPUTED_VALUE"""),"dinner")</f>
        <v>dinner</v>
      </c>
      <c r="C504" s="6" t="str">
        <f>IFERROR(__xludf.DUMMYFUNCTION("""COMPUTED_VALUE"""),"employee I")</f>
        <v>employee I</v>
      </c>
      <c r="D504" s="7">
        <f>IFERROR(__xludf.DUMMYFUNCTION("""COMPUTED_VALUE"""),61.0)</f>
        <v>61</v>
      </c>
      <c r="E504" s="6" t="str">
        <f>IFERROR(__xludf.DUMMYFUNCTION("""COMPUTED_VALUE"""),"No")</f>
        <v>No</v>
      </c>
      <c r="F504" s="8" t="str">
        <f>IFERROR(__xludf.DUMMYFUNCTION("""COMPUTED_VALUE"""),"No")</f>
        <v>No</v>
      </c>
    </row>
    <row r="505">
      <c r="A505" s="5">
        <f>IFERROR(__xludf.DUMMYFUNCTION("""COMPUTED_VALUE"""),44670.0)</f>
        <v>44670</v>
      </c>
      <c r="B505" s="6" t="str">
        <f>IFERROR(__xludf.DUMMYFUNCTION("""COMPUTED_VALUE"""),"dinner")</f>
        <v>dinner</v>
      </c>
      <c r="C505" s="6" t="str">
        <f>IFERROR(__xludf.DUMMYFUNCTION("""COMPUTED_VALUE"""),"employee L")</f>
        <v>employee L</v>
      </c>
      <c r="D505" s="7">
        <f>IFERROR(__xludf.DUMMYFUNCTION("""COMPUTED_VALUE"""),8.71)</f>
        <v>8.71</v>
      </c>
      <c r="E505" s="6" t="str">
        <f>IFERROR(__xludf.DUMMYFUNCTION("""COMPUTED_VALUE"""),"No")</f>
        <v>No</v>
      </c>
      <c r="F505" s="8" t="str">
        <f>IFERROR(__xludf.DUMMYFUNCTION("""COMPUTED_VALUE"""),"No")</f>
        <v>No</v>
      </c>
    </row>
    <row r="506">
      <c r="A506" s="5">
        <f>IFERROR(__xludf.DUMMYFUNCTION("""COMPUTED_VALUE"""),44671.0)</f>
        <v>44671</v>
      </c>
      <c r="B506" s="6" t="str">
        <f>IFERROR(__xludf.DUMMYFUNCTION("""COMPUTED_VALUE"""),"lunch")</f>
        <v>lunch</v>
      </c>
      <c r="C506" s="6" t="str">
        <f>IFERROR(__xludf.DUMMYFUNCTION("""COMPUTED_VALUE"""),"employee Q")</f>
        <v>employee Q</v>
      </c>
      <c r="D506" s="7">
        <f>IFERROR(__xludf.DUMMYFUNCTION("""COMPUTED_VALUE"""),40.31)</f>
        <v>40.31</v>
      </c>
      <c r="E506" s="6" t="str">
        <f>IFERROR(__xludf.DUMMYFUNCTION("""COMPUTED_VALUE"""),"No")</f>
        <v>No</v>
      </c>
      <c r="F506" s="8" t="str">
        <f>IFERROR(__xludf.DUMMYFUNCTION("""COMPUTED_VALUE"""),"No")</f>
        <v>No</v>
      </c>
    </row>
    <row r="507">
      <c r="A507" s="5">
        <f>IFERROR(__xludf.DUMMYFUNCTION("""COMPUTED_VALUE"""),44671.0)</f>
        <v>44671</v>
      </c>
      <c r="B507" s="6" t="str">
        <f>IFERROR(__xludf.DUMMYFUNCTION("""COMPUTED_VALUE"""),"dinner")</f>
        <v>dinner</v>
      </c>
      <c r="C507" s="6" t="str">
        <f>IFERROR(__xludf.DUMMYFUNCTION("""COMPUTED_VALUE"""),"employee N")</f>
        <v>employee N</v>
      </c>
      <c r="D507" s="7">
        <f>IFERROR(__xludf.DUMMYFUNCTION("""COMPUTED_VALUE"""),71.23)</f>
        <v>71.23</v>
      </c>
      <c r="E507" s="6" t="str">
        <f>IFERROR(__xludf.DUMMYFUNCTION("""COMPUTED_VALUE"""),"No")</f>
        <v>No</v>
      </c>
      <c r="F507" s="8" t="str">
        <f>IFERROR(__xludf.DUMMYFUNCTION("""COMPUTED_VALUE"""),"No")</f>
        <v>No</v>
      </c>
    </row>
    <row r="508">
      <c r="A508" s="5">
        <f>IFERROR(__xludf.DUMMYFUNCTION("""COMPUTED_VALUE"""),44671.0)</f>
        <v>44671</v>
      </c>
      <c r="B508" s="6" t="str">
        <f>IFERROR(__xludf.DUMMYFUNCTION("""COMPUTED_VALUE"""),"dinner")</f>
        <v>dinner</v>
      </c>
      <c r="C508" s="6" t="str">
        <f>IFERROR(__xludf.DUMMYFUNCTION("""COMPUTED_VALUE"""),"employee I")</f>
        <v>employee I</v>
      </c>
      <c r="D508" s="7">
        <f>IFERROR(__xludf.DUMMYFUNCTION("""COMPUTED_VALUE"""),58.66)</f>
        <v>58.66</v>
      </c>
      <c r="E508" s="6" t="str">
        <f>IFERROR(__xludf.DUMMYFUNCTION("""COMPUTED_VALUE"""),"No")</f>
        <v>No</v>
      </c>
      <c r="F508" s="8" t="str">
        <f>IFERROR(__xludf.DUMMYFUNCTION("""COMPUTED_VALUE"""),"No")</f>
        <v>No</v>
      </c>
    </row>
    <row r="509">
      <c r="A509" s="5">
        <f>IFERROR(__xludf.DUMMYFUNCTION("""COMPUTED_VALUE"""),44671.0)</f>
        <v>44671</v>
      </c>
      <c r="B509" s="6" t="str">
        <f>IFERROR(__xludf.DUMMYFUNCTION("""COMPUTED_VALUE"""),"dinner")</f>
        <v>dinner</v>
      </c>
      <c r="C509" s="6" t="str">
        <f>IFERROR(__xludf.DUMMYFUNCTION("""COMPUTED_VALUE"""),"employee Q")</f>
        <v>employee Q</v>
      </c>
      <c r="D509" s="7">
        <f>IFERROR(__xludf.DUMMYFUNCTION("""COMPUTED_VALUE"""),54.47)</f>
        <v>54.47</v>
      </c>
      <c r="E509" s="6" t="str">
        <f>IFERROR(__xludf.DUMMYFUNCTION("""COMPUTED_VALUE"""),"No")</f>
        <v>No</v>
      </c>
      <c r="F509" s="8" t="str">
        <f>IFERROR(__xludf.DUMMYFUNCTION("""COMPUTED_VALUE"""),"No")</f>
        <v>No</v>
      </c>
    </row>
    <row r="510">
      <c r="A510" s="5">
        <f>IFERROR(__xludf.DUMMYFUNCTION("""COMPUTED_VALUE"""),44672.0)</f>
        <v>44672</v>
      </c>
      <c r="B510" s="6" t="str">
        <f>IFERROR(__xludf.DUMMYFUNCTION("""COMPUTED_VALUE"""),"lunch")</f>
        <v>lunch</v>
      </c>
      <c r="C510" s="6" t="str">
        <f>IFERROR(__xludf.DUMMYFUNCTION("""COMPUTED_VALUE"""),"employee J")</f>
        <v>employee J</v>
      </c>
      <c r="D510" s="7">
        <f>IFERROR(__xludf.DUMMYFUNCTION("""COMPUTED_VALUE"""),90.84)</f>
        <v>90.84</v>
      </c>
      <c r="E510" s="6" t="str">
        <f>IFERROR(__xludf.DUMMYFUNCTION("""COMPUTED_VALUE"""),"No")</f>
        <v>No</v>
      </c>
      <c r="F510" s="8" t="str">
        <f>IFERROR(__xludf.DUMMYFUNCTION("""COMPUTED_VALUE"""),"No")</f>
        <v>No</v>
      </c>
    </row>
    <row r="511">
      <c r="A511" s="5">
        <f>IFERROR(__xludf.DUMMYFUNCTION("""COMPUTED_VALUE"""),44672.0)</f>
        <v>44672</v>
      </c>
      <c r="B511" s="6" t="str">
        <f>IFERROR(__xludf.DUMMYFUNCTION("""COMPUTED_VALUE"""),"dinner")</f>
        <v>dinner</v>
      </c>
      <c r="C511" s="6" t="str">
        <f>IFERROR(__xludf.DUMMYFUNCTION("""COMPUTED_VALUE"""),"employee B")</f>
        <v>employee B</v>
      </c>
      <c r="D511" s="7">
        <f>IFERROR(__xludf.DUMMYFUNCTION("""COMPUTED_VALUE"""),42.53)</f>
        <v>42.53</v>
      </c>
      <c r="E511" s="6" t="str">
        <f>IFERROR(__xludf.DUMMYFUNCTION("""COMPUTED_VALUE"""),"No")</f>
        <v>No</v>
      </c>
      <c r="F511" s="8" t="str">
        <f>IFERROR(__xludf.DUMMYFUNCTION("""COMPUTED_VALUE"""),"No")</f>
        <v>No</v>
      </c>
    </row>
    <row r="512">
      <c r="A512" s="5">
        <f>IFERROR(__xludf.DUMMYFUNCTION("""COMPUTED_VALUE"""),44672.0)</f>
        <v>44672</v>
      </c>
      <c r="B512" s="6" t="str">
        <f>IFERROR(__xludf.DUMMYFUNCTION("""COMPUTED_VALUE"""),"dinner")</f>
        <v>dinner</v>
      </c>
      <c r="C512" s="6" t="str">
        <f>IFERROR(__xludf.DUMMYFUNCTION("""COMPUTED_VALUE"""),"employee A")</f>
        <v>employee A</v>
      </c>
      <c r="D512" s="7">
        <f>IFERROR(__xludf.DUMMYFUNCTION("""COMPUTED_VALUE"""),42.53)</f>
        <v>42.53</v>
      </c>
      <c r="E512" s="6" t="str">
        <f>IFERROR(__xludf.DUMMYFUNCTION("""COMPUTED_VALUE"""),"No")</f>
        <v>No</v>
      </c>
      <c r="F512" s="8" t="str">
        <f>IFERROR(__xludf.DUMMYFUNCTION("""COMPUTED_VALUE"""),"No")</f>
        <v>No</v>
      </c>
    </row>
    <row r="513">
      <c r="A513" s="5">
        <f>IFERROR(__xludf.DUMMYFUNCTION("""COMPUTED_VALUE"""),44672.0)</f>
        <v>44672</v>
      </c>
      <c r="B513" s="6" t="str">
        <f>IFERROR(__xludf.DUMMYFUNCTION("""COMPUTED_VALUE"""),"dinner")</f>
        <v>dinner</v>
      </c>
      <c r="C513" s="6" t="str">
        <f>IFERROR(__xludf.DUMMYFUNCTION("""COMPUTED_VALUE"""),"employee I")</f>
        <v>employee I</v>
      </c>
      <c r="D513" s="7">
        <f>IFERROR(__xludf.DUMMYFUNCTION("""COMPUTED_VALUE"""),33.02)</f>
        <v>33.02</v>
      </c>
      <c r="E513" s="6" t="str">
        <f>IFERROR(__xludf.DUMMYFUNCTION("""COMPUTED_VALUE"""),"No")</f>
        <v>No</v>
      </c>
      <c r="F513" s="8" t="str">
        <f>IFERROR(__xludf.DUMMYFUNCTION("""COMPUTED_VALUE"""),"No")</f>
        <v>No</v>
      </c>
    </row>
    <row r="514">
      <c r="A514" s="5">
        <f>IFERROR(__xludf.DUMMYFUNCTION("""COMPUTED_VALUE"""),44673.0)</f>
        <v>44673</v>
      </c>
      <c r="B514" s="6" t="str">
        <f>IFERROR(__xludf.DUMMYFUNCTION("""COMPUTED_VALUE"""),"lunch")</f>
        <v>lunch</v>
      </c>
      <c r="C514" s="6" t="str">
        <f>IFERROR(__xludf.DUMMYFUNCTION("""COMPUTED_VALUE"""),"employee J")</f>
        <v>employee J</v>
      </c>
      <c r="D514" s="7">
        <f>IFERROR(__xludf.DUMMYFUNCTION("""COMPUTED_VALUE"""),82.08)</f>
        <v>82.08</v>
      </c>
      <c r="E514" s="6" t="str">
        <f>IFERROR(__xludf.DUMMYFUNCTION("""COMPUTED_VALUE"""),"No")</f>
        <v>No</v>
      </c>
      <c r="F514" s="8" t="str">
        <f>IFERROR(__xludf.DUMMYFUNCTION("""COMPUTED_VALUE"""),"No")</f>
        <v>No</v>
      </c>
    </row>
    <row r="515">
      <c r="A515" s="5">
        <f>IFERROR(__xludf.DUMMYFUNCTION("""COMPUTED_VALUE"""),44673.0)</f>
        <v>44673</v>
      </c>
      <c r="B515" s="6" t="str">
        <f>IFERROR(__xludf.DUMMYFUNCTION("""COMPUTED_VALUE"""),"lunch")</f>
        <v>lunch</v>
      </c>
      <c r="C515" s="6" t="str">
        <f>IFERROR(__xludf.DUMMYFUNCTION("""COMPUTED_VALUE"""),"employee L")</f>
        <v>employee L</v>
      </c>
      <c r="D515" s="7">
        <f>IFERROR(__xludf.DUMMYFUNCTION("""COMPUTED_VALUE"""),82.09)</f>
        <v>82.09</v>
      </c>
      <c r="E515" s="6" t="str">
        <f>IFERROR(__xludf.DUMMYFUNCTION("""COMPUTED_VALUE"""),"No")</f>
        <v>No</v>
      </c>
      <c r="F515" s="8" t="str">
        <f>IFERROR(__xludf.DUMMYFUNCTION("""COMPUTED_VALUE"""),"No")</f>
        <v>No</v>
      </c>
    </row>
    <row r="516">
      <c r="A516" s="5">
        <f>IFERROR(__xludf.DUMMYFUNCTION("""COMPUTED_VALUE"""),44673.0)</f>
        <v>44673</v>
      </c>
      <c r="B516" s="6" t="str">
        <f>IFERROR(__xludf.DUMMYFUNCTION("""COMPUTED_VALUE"""),"dinner")</f>
        <v>dinner</v>
      </c>
      <c r="C516" s="6" t="str">
        <f>IFERROR(__xludf.DUMMYFUNCTION("""COMPUTED_VALUE"""),"employee B")</f>
        <v>employee B</v>
      </c>
      <c r="D516" s="7">
        <f>IFERROR(__xludf.DUMMYFUNCTION("""COMPUTED_VALUE"""),88.66)</f>
        <v>88.66</v>
      </c>
      <c r="E516" s="6" t="str">
        <f>IFERROR(__xludf.DUMMYFUNCTION("""COMPUTED_VALUE"""),"No")</f>
        <v>No</v>
      </c>
      <c r="F516" s="8" t="str">
        <f>IFERROR(__xludf.DUMMYFUNCTION("""COMPUTED_VALUE"""),"No")</f>
        <v>No</v>
      </c>
    </row>
    <row r="517">
      <c r="A517" s="5">
        <f>IFERROR(__xludf.DUMMYFUNCTION("""COMPUTED_VALUE"""),44673.0)</f>
        <v>44673</v>
      </c>
      <c r="B517" s="6" t="str">
        <f>IFERROR(__xludf.DUMMYFUNCTION("""COMPUTED_VALUE"""),"dinner")</f>
        <v>dinner</v>
      </c>
      <c r="C517" s="6" t="str">
        <f>IFERROR(__xludf.DUMMYFUNCTION("""COMPUTED_VALUE"""),"employee L")</f>
        <v>employee L</v>
      </c>
      <c r="D517" s="7">
        <f>IFERROR(__xludf.DUMMYFUNCTION("""COMPUTED_VALUE"""),88.67)</f>
        <v>88.67</v>
      </c>
      <c r="E517" s="6" t="str">
        <f>IFERROR(__xludf.DUMMYFUNCTION("""COMPUTED_VALUE"""),"No")</f>
        <v>No</v>
      </c>
      <c r="F517" s="8" t="str">
        <f>IFERROR(__xludf.DUMMYFUNCTION("""COMPUTED_VALUE"""),"No")</f>
        <v>No</v>
      </c>
    </row>
    <row r="518">
      <c r="A518" s="5">
        <f>IFERROR(__xludf.DUMMYFUNCTION("""COMPUTED_VALUE"""),44673.0)</f>
        <v>44673</v>
      </c>
      <c r="B518" s="6" t="str">
        <f>IFERROR(__xludf.DUMMYFUNCTION("""COMPUTED_VALUE"""),"dinner")</f>
        <v>dinner</v>
      </c>
      <c r="C518" s="6" t="str">
        <f>IFERROR(__xludf.DUMMYFUNCTION("""COMPUTED_VALUE"""),"employee N")</f>
        <v>employee N</v>
      </c>
      <c r="D518" s="7">
        <f>IFERROR(__xludf.DUMMYFUNCTION("""COMPUTED_VALUE"""),88.67)</f>
        <v>88.67</v>
      </c>
      <c r="E518" s="6" t="str">
        <f>IFERROR(__xludf.DUMMYFUNCTION("""COMPUTED_VALUE"""),"No")</f>
        <v>No</v>
      </c>
      <c r="F518" s="8" t="str">
        <f>IFERROR(__xludf.DUMMYFUNCTION("""COMPUTED_VALUE"""),"No")</f>
        <v>No</v>
      </c>
    </row>
    <row r="519">
      <c r="A519" s="5">
        <f>IFERROR(__xludf.DUMMYFUNCTION("""COMPUTED_VALUE"""),44674.0)</f>
        <v>44674</v>
      </c>
      <c r="B519" s="6" t="str">
        <f>IFERROR(__xludf.DUMMYFUNCTION("""COMPUTED_VALUE"""),"lunch")</f>
        <v>lunch</v>
      </c>
      <c r="C519" s="6" t="str">
        <f>IFERROR(__xludf.DUMMYFUNCTION("""COMPUTED_VALUE"""),"employee L")</f>
        <v>employee L</v>
      </c>
      <c r="D519" s="7">
        <f>IFERROR(__xludf.DUMMYFUNCTION("""COMPUTED_VALUE"""),102.61)</f>
        <v>102.61</v>
      </c>
      <c r="E519" s="6" t="str">
        <f>IFERROR(__xludf.DUMMYFUNCTION("""COMPUTED_VALUE"""),"No")</f>
        <v>No</v>
      </c>
      <c r="F519" s="8" t="str">
        <f>IFERROR(__xludf.DUMMYFUNCTION("""COMPUTED_VALUE"""),"No")</f>
        <v>No</v>
      </c>
    </row>
    <row r="520">
      <c r="A520" s="5">
        <f>IFERROR(__xludf.DUMMYFUNCTION("""COMPUTED_VALUE"""),44674.0)</f>
        <v>44674</v>
      </c>
      <c r="B520" s="6" t="str">
        <f>IFERROR(__xludf.DUMMYFUNCTION("""COMPUTED_VALUE"""),"lunch")</f>
        <v>lunch</v>
      </c>
      <c r="C520" s="6" t="str">
        <f>IFERROR(__xludf.DUMMYFUNCTION("""COMPUTED_VALUE"""),"employee K")</f>
        <v>employee K</v>
      </c>
      <c r="D520" s="7">
        <f>IFERROR(__xludf.DUMMYFUNCTION("""COMPUTED_VALUE"""),102.61)</f>
        <v>102.61</v>
      </c>
      <c r="E520" s="6" t="str">
        <f>IFERROR(__xludf.DUMMYFUNCTION("""COMPUTED_VALUE"""),"No")</f>
        <v>No</v>
      </c>
      <c r="F520" s="8" t="str">
        <f>IFERROR(__xludf.DUMMYFUNCTION("""COMPUTED_VALUE"""),"No")</f>
        <v>No</v>
      </c>
    </row>
    <row r="521">
      <c r="A521" s="5">
        <f>IFERROR(__xludf.DUMMYFUNCTION("""COMPUTED_VALUE"""),44674.0)</f>
        <v>44674</v>
      </c>
      <c r="B521" s="6" t="str">
        <f>IFERROR(__xludf.DUMMYFUNCTION("""COMPUTED_VALUE"""),"dinner")</f>
        <v>dinner</v>
      </c>
      <c r="C521" s="6" t="str">
        <f>IFERROR(__xludf.DUMMYFUNCTION("""COMPUTED_VALUE"""),"employee B")</f>
        <v>employee B</v>
      </c>
      <c r="D521" s="7">
        <f>IFERROR(__xludf.DUMMYFUNCTION("""COMPUTED_VALUE"""),77.67)</f>
        <v>77.67</v>
      </c>
      <c r="E521" s="6" t="str">
        <f>IFERROR(__xludf.DUMMYFUNCTION("""COMPUTED_VALUE"""),"No")</f>
        <v>No</v>
      </c>
      <c r="F521" s="8" t="str">
        <f>IFERROR(__xludf.DUMMYFUNCTION("""COMPUTED_VALUE"""),"No")</f>
        <v>No</v>
      </c>
    </row>
    <row r="522">
      <c r="A522" s="5">
        <f>IFERROR(__xludf.DUMMYFUNCTION("""COMPUTED_VALUE"""),44674.0)</f>
        <v>44674</v>
      </c>
      <c r="B522" s="6" t="str">
        <f>IFERROR(__xludf.DUMMYFUNCTION("""COMPUTED_VALUE"""),"dinner")</f>
        <v>dinner</v>
      </c>
      <c r="C522" s="6" t="str">
        <f>IFERROR(__xludf.DUMMYFUNCTION("""COMPUTED_VALUE"""),"employee L")</f>
        <v>employee L</v>
      </c>
      <c r="D522" s="7">
        <f>IFERROR(__xludf.DUMMYFUNCTION("""COMPUTED_VALUE"""),77.67)</f>
        <v>77.67</v>
      </c>
      <c r="E522" s="6" t="str">
        <f>IFERROR(__xludf.DUMMYFUNCTION("""COMPUTED_VALUE"""),"No")</f>
        <v>No</v>
      </c>
      <c r="F522" s="8" t="str">
        <f>IFERROR(__xludf.DUMMYFUNCTION("""COMPUTED_VALUE"""),"No")</f>
        <v>No</v>
      </c>
    </row>
    <row r="523">
      <c r="A523" s="5">
        <f>IFERROR(__xludf.DUMMYFUNCTION("""COMPUTED_VALUE"""),44674.0)</f>
        <v>44674</v>
      </c>
      <c r="B523" s="6" t="str">
        <f>IFERROR(__xludf.DUMMYFUNCTION("""COMPUTED_VALUE"""),"dinner")</f>
        <v>dinner</v>
      </c>
      <c r="C523" s="6" t="str">
        <f>IFERROR(__xludf.DUMMYFUNCTION("""COMPUTED_VALUE"""),"employee N")</f>
        <v>employee N</v>
      </c>
      <c r="D523" s="7">
        <f>IFERROR(__xludf.DUMMYFUNCTION("""COMPUTED_VALUE"""),77.67)</f>
        <v>77.67</v>
      </c>
      <c r="E523" s="6" t="str">
        <f>IFERROR(__xludf.DUMMYFUNCTION("""COMPUTED_VALUE"""),"No")</f>
        <v>No</v>
      </c>
      <c r="F523" s="8" t="str">
        <f>IFERROR(__xludf.DUMMYFUNCTION("""COMPUTED_VALUE"""),"No")</f>
        <v>No</v>
      </c>
    </row>
    <row r="524">
      <c r="A524" s="5">
        <f>IFERROR(__xludf.DUMMYFUNCTION("""COMPUTED_VALUE"""),44675.0)</f>
        <v>44675</v>
      </c>
      <c r="B524" s="6" t="str">
        <f>IFERROR(__xludf.DUMMYFUNCTION("""COMPUTED_VALUE"""),"lunch")</f>
        <v>lunch</v>
      </c>
      <c r="C524" s="6" t="str">
        <f>IFERROR(__xludf.DUMMYFUNCTION("""COMPUTED_VALUE"""),"employee B")</f>
        <v>employee B</v>
      </c>
      <c r="D524" s="7">
        <f>IFERROR(__xludf.DUMMYFUNCTION("""COMPUTED_VALUE"""),205.64)</f>
        <v>205.64</v>
      </c>
      <c r="E524" s="6" t="str">
        <f>IFERROR(__xludf.DUMMYFUNCTION("""COMPUTED_VALUE"""),"No")</f>
        <v>No</v>
      </c>
      <c r="F524" s="8" t="str">
        <f>IFERROR(__xludf.DUMMYFUNCTION("""COMPUTED_VALUE"""),"No")</f>
        <v>No</v>
      </c>
    </row>
    <row r="525">
      <c r="A525" s="5">
        <f>IFERROR(__xludf.DUMMYFUNCTION("""COMPUTED_VALUE"""),44675.0)</f>
        <v>44675</v>
      </c>
      <c r="B525" s="6" t="str">
        <f>IFERROR(__xludf.DUMMYFUNCTION("""COMPUTED_VALUE"""),"lunch")</f>
        <v>lunch</v>
      </c>
      <c r="C525" s="6" t="str">
        <f>IFERROR(__xludf.DUMMYFUNCTION("""COMPUTED_VALUE"""),"employee L")</f>
        <v>employee L</v>
      </c>
      <c r="D525" s="7">
        <f>IFERROR(__xludf.DUMMYFUNCTION("""COMPUTED_VALUE"""),88.17)</f>
        <v>88.17</v>
      </c>
      <c r="E525" s="6" t="str">
        <f>IFERROR(__xludf.DUMMYFUNCTION("""COMPUTED_VALUE"""),"No")</f>
        <v>No</v>
      </c>
      <c r="F525" s="8" t="str">
        <f>IFERROR(__xludf.DUMMYFUNCTION("""COMPUTED_VALUE"""),"No")</f>
        <v>No</v>
      </c>
    </row>
    <row r="526">
      <c r="A526" s="5">
        <f>IFERROR(__xludf.DUMMYFUNCTION("""COMPUTED_VALUE"""),44675.0)</f>
        <v>44675</v>
      </c>
      <c r="B526" s="6" t="str">
        <f>IFERROR(__xludf.DUMMYFUNCTION("""COMPUTED_VALUE"""),"lunch")</f>
        <v>lunch</v>
      </c>
      <c r="C526" s="6" t="str">
        <f>IFERROR(__xludf.DUMMYFUNCTION("""COMPUTED_VALUE"""),"employee J")</f>
        <v>employee J</v>
      </c>
      <c r="D526" s="7">
        <f>IFERROR(__xludf.DUMMYFUNCTION("""COMPUTED_VALUE"""),117.51)</f>
        <v>117.51</v>
      </c>
      <c r="E526" s="6" t="str">
        <f>IFERROR(__xludf.DUMMYFUNCTION("""COMPUTED_VALUE"""),"No")</f>
        <v>No</v>
      </c>
      <c r="F526" s="8" t="str">
        <f>IFERROR(__xludf.DUMMYFUNCTION("""COMPUTED_VALUE"""),"No")</f>
        <v>No</v>
      </c>
    </row>
    <row r="527">
      <c r="A527" s="5">
        <f>IFERROR(__xludf.DUMMYFUNCTION("""COMPUTED_VALUE"""),44675.0)</f>
        <v>44675</v>
      </c>
      <c r="B527" s="6" t="str">
        <f>IFERROR(__xludf.DUMMYFUNCTION("""COMPUTED_VALUE"""),"dinner")</f>
        <v>dinner</v>
      </c>
      <c r="C527" s="6" t="str">
        <f>IFERROR(__xludf.DUMMYFUNCTION("""COMPUTED_VALUE"""),"employee B")</f>
        <v>employee B</v>
      </c>
      <c r="D527" s="7">
        <f>IFERROR(__xludf.DUMMYFUNCTION("""COMPUTED_VALUE"""),57.94)</f>
        <v>57.94</v>
      </c>
      <c r="E527" s="6" t="str">
        <f>IFERROR(__xludf.DUMMYFUNCTION("""COMPUTED_VALUE"""),"No")</f>
        <v>No</v>
      </c>
      <c r="F527" s="8" t="str">
        <f>IFERROR(__xludf.DUMMYFUNCTION("""COMPUTED_VALUE"""),"No")</f>
        <v>No</v>
      </c>
    </row>
    <row r="528">
      <c r="A528" s="5">
        <f>IFERROR(__xludf.DUMMYFUNCTION("""COMPUTED_VALUE"""),44675.0)</f>
        <v>44675</v>
      </c>
      <c r="B528" s="6" t="str">
        <f>IFERROR(__xludf.DUMMYFUNCTION("""COMPUTED_VALUE"""),"dinner")</f>
        <v>dinner</v>
      </c>
      <c r="C528" s="6" t="str">
        <f>IFERROR(__xludf.DUMMYFUNCTION("""COMPUTED_VALUE"""),"employee J")</f>
        <v>employee J</v>
      </c>
      <c r="D528" s="7">
        <f>IFERROR(__xludf.DUMMYFUNCTION("""COMPUTED_VALUE"""),74.49)</f>
        <v>74.49</v>
      </c>
      <c r="E528" s="6" t="str">
        <f>IFERROR(__xludf.DUMMYFUNCTION("""COMPUTED_VALUE"""),"No")</f>
        <v>No</v>
      </c>
      <c r="F528" s="8" t="str">
        <f>IFERROR(__xludf.DUMMYFUNCTION("""COMPUTED_VALUE"""),"No")</f>
        <v>No</v>
      </c>
    </row>
    <row r="529">
      <c r="A529" s="5">
        <f>IFERROR(__xludf.DUMMYFUNCTION("""COMPUTED_VALUE"""),44675.0)</f>
        <v>44675</v>
      </c>
      <c r="B529" s="6" t="str">
        <f>IFERROR(__xludf.DUMMYFUNCTION("""COMPUTED_VALUE"""),"dinner")</f>
        <v>dinner</v>
      </c>
      <c r="C529" s="6" t="str">
        <f>IFERROR(__xludf.DUMMYFUNCTION("""COMPUTED_VALUE"""),"employee L")</f>
        <v>employee L</v>
      </c>
      <c r="D529" s="7">
        <f>IFERROR(__xludf.DUMMYFUNCTION("""COMPUTED_VALUE"""),74.49)</f>
        <v>74.49</v>
      </c>
      <c r="E529" s="6" t="str">
        <f>IFERROR(__xludf.DUMMYFUNCTION("""COMPUTED_VALUE"""),"No")</f>
        <v>No</v>
      </c>
      <c r="F529" s="8" t="str">
        <f>IFERROR(__xludf.DUMMYFUNCTION("""COMPUTED_VALUE"""),"No")</f>
        <v>No</v>
      </c>
    </row>
    <row r="530">
      <c r="A530" s="5">
        <f>IFERROR(__xludf.DUMMYFUNCTION("""COMPUTED_VALUE"""),44676.0)</f>
        <v>44676</v>
      </c>
      <c r="B530" s="6" t="str">
        <f>IFERROR(__xludf.DUMMYFUNCTION("""COMPUTED_VALUE"""),"lunch")</f>
        <v>lunch</v>
      </c>
      <c r="C530" s="6" t="str">
        <f>IFERROR(__xludf.DUMMYFUNCTION("""COMPUTED_VALUE"""),"employee J")</f>
        <v>employee J</v>
      </c>
      <c r="D530" s="7">
        <f>IFERROR(__xludf.DUMMYFUNCTION("""COMPUTED_VALUE"""),51.85)</f>
        <v>51.85</v>
      </c>
      <c r="E530" s="6" t="str">
        <f>IFERROR(__xludf.DUMMYFUNCTION("""COMPUTED_VALUE"""),"No")</f>
        <v>No</v>
      </c>
      <c r="F530" s="8" t="str">
        <f>IFERROR(__xludf.DUMMYFUNCTION("""COMPUTED_VALUE"""),"No")</f>
        <v>No</v>
      </c>
    </row>
    <row r="531">
      <c r="A531" s="5">
        <f>IFERROR(__xludf.DUMMYFUNCTION("""COMPUTED_VALUE"""),44676.0)</f>
        <v>44676</v>
      </c>
      <c r="B531" s="6" t="str">
        <f>IFERROR(__xludf.DUMMYFUNCTION("""COMPUTED_VALUE"""),"lunch")</f>
        <v>lunch</v>
      </c>
      <c r="C531" s="6" t="str">
        <f>IFERROR(__xludf.DUMMYFUNCTION("""COMPUTED_VALUE"""),"employee A")</f>
        <v>employee A</v>
      </c>
      <c r="D531" s="7">
        <f>IFERROR(__xludf.DUMMYFUNCTION("""COMPUTED_VALUE"""),51.85)</f>
        <v>51.85</v>
      </c>
      <c r="E531" s="6" t="str">
        <f>IFERROR(__xludf.DUMMYFUNCTION("""COMPUTED_VALUE"""),"No")</f>
        <v>No</v>
      </c>
      <c r="F531" s="8" t="str">
        <f>IFERROR(__xludf.DUMMYFUNCTION("""COMPUTED_VALUE"""),"No")</f>
        <v>No</v>
      </c>
    </row>
    <row r="532">
      <c r="A532" s="5">
        <f>IFERROR(__xludf.DUMMYFUNCTION("""COMPUTED_VALUE"""),44676.0)</f>
        <v>44676</v>
      </c>
      <c r="B532" s="6" t="str">
        <f>IFERROR(__xludf.DUMMYFUNCTION("""COMPUTED_VALUE"""),"dinner")</f>
        <v>dinner</v>
      </c>
      <c r="C532" s="6" t="str">
        <f>IFERROR(__xludf.DUMMYFUNCTION("""COMPUTED_VALUE"""),"employee J")</f>
        <v>employee J</v>
      </c>
      <c r="D532" s="7">
        <f>IFERROR(__xludf.DUMMYFUNCTION("""COMPUTED_VALUE"""),81.26)</f>
        <v>81.26</v>
      </c>
      <c r="E532" s="6" t="str">
        <f>IFERROR(__xludf.DUMMYFUNCTION("""COMPUTED_VALUE"""),"No")</f>
        <v>No</v>
      </c>
      <c r="F532" s="8" t="str">
        <f>IFERROR(__xludf.DUMMYFUNCTION("""COMPUTED_VALUE"""),"No")</f>
        <v>No</v>
      </c>
    </row>
    <row r="533">
      <c r="A533" s="5">
        <f>IFERROR(__xludf.DUMMYFUNCTION("""COMPUTED_VALUE"""),44676.0)</f>
        <v>44676</v>
      </c>
      <c r="B533" s="6" t="str">
        <f>IFERROR(__xludf.DUMMYFUNCTION("""COMPUTED_VALUE"""),"dinner")</f>
        <v>dinner</v>
      </c>
      <c r="C533" s="6" t="str">
        <f>IFERROR(__xludf.DUMMYFUNCTION("""COMPUTED_VALUE"""),"employee A")</f>
        <v>employee A</v>
      </c>
      <c r="D533" s="7">
        <f>IFERROR(__xludf.DUMMYFUNCTION("""COMPUTED_VALUE"""),81.26)</f>
        <v>81.26</v>
      </c>
      <c r="E533" s="6" t="str">
        <f>IFERROR(__xludf.DUMMYFUNCTION("""COMPUTED_VALUE"""),"No")</f>
        <v>No</v>
      </c>
      <c r="F533" s="8" t="str">
        <f>IFERROR(__xludf.DUMMYFUNCTION("""COMPUTED_VALUE"""),"No")</f>
        <v>No</v>
      </c>
    </row>
    <row r="534">
      <c r="A534" s="5">
        <f>IFERROR(__xludf.DUMMYFUNCTION("""COMPUTED_VALUE"""),44676.0)</f>
        <v>44676</v>
      </c>
      <c r="B534" s="6" t="str">
        <f>IFERROR(__xludf.DUMMYFUNCTION("""COMPUTED_VALUE"""),"dinner")</f>
        <v>dinner</v>
      </c>
      <c r="C534" s="6" t="str">
        <f>IFERROR(__xludf.DUMMYFUNCTION("""COMPUTED_VALUE"""),"employee G")</f>
        <v>employee G</v>
      </c>
      <c r="D534" s="7">
        <f>IFERROR(__xludf.DUMMYFUNCTION("""COMPUTED_VALUE"""),0.0)</f>
        <v>0</v>
      </c>
      <c r="E534" s="9" t="str">
        <f>IFERROR(__xludf.DUMMYFUNCTION("""COMPUTED_VALUE"""),"Yes")</f>
        <v>Yes</v>
      </c>
      <c r="F534" s="8" t="str">
        <f>IFERROR(__xludf.DUMMYFUNCTION("""COMPUTED_VALUE"""),"No")</f>
        <v>No</v>
      </c>
    </row>
    <row r="535">
      <c r="A535" s="5">
        <f>IFERROR(__xludf.DUMMYFUNCTION("""COMPUTED_VALUE"""),44677.0)</f>
        <v>44677</v>
      </c>
      <c r="B535" s="6" t="str">
        <f>IFERROR(__xludf.DUMMYFUNCTION("""COMPUTED_VALUE"""),"lunch")</f>
        <v>lunch</v>
      </c>
      <c r="C535" s="6" t="str">
        <f>IFERROR(__xludf.DUMMYFUNCTION("""COMPUTED_VALUE"""),"employee A")</f>
        <v>employee A</v>
      </c>
      <c r="D535" s="7">
        <f>IFERROR(__xludf.DUMMYFUNCTION("""COMPUTED_VALUE"""),141.9)</f>
        <v>141.9</v>
      </c>
      <c r="E535" s="6" t="str">
        <f>IFERROR(__xludf.DUMMYFUNCTION("""COMPUTED_VALUE"""),"No")</f>
        <v>No</v>
      </c>
      <c r="F535" s="8" t="str">
        <f>IFERROR(__xludf.DUMMYFUNCTION("""COMPUTED_VALUE"""),"No")</f>
        <v>No</v>
      </c>
    </row>
    <row r="536">
      <c r="A536" s="5">
        <f>IFERROR(__xludf.DUMMYFUNCTION("""COMPUTED_VALUE"""),44677.0)</f>
        <v>44677</v>
      </c>
      <c r="B536" s="6" t="str">
        <f>IFERROR(__xludf.DUMMYFUNCTION("""COMPUTED_VALUE"""),"dinner")</f>
        <v>dinner</v>
      </c>
      <c r="C536" s="6" t="str">
        <f>IFERROR(__xludf.DUMMYFUNCTION("""COMPUTED_VALUE"""),"employee J")</f>
        <v>employee J</v>
      </c>
      <c r="D536" s="7">
        <f>IFERROR(__xludf.DUMMYFUNCTION("""COMPUTED_VALUE"""),46.06)</f>
        <v>46.06</v>
      </c>
      <c r="E536" s="6" t="str">
        <f>IFERROR(__xludf.DUMMYFUNCTION("""COMPUTED_VALUE"""),"No")</f>
        <v>No</v>
      </c>
      <c r="F536" s="8" t="str">
        <f>IFERROR(__xludf.DUMMYFUNCTION("""COMPUTED_VALUE"""),"No")</f>
        <v>No</v>
      </c>
    </row>
    <row r="537">
      <c r="A537" s="5">
        <f>IFERROR(__xludf.DUMMYFUNCTION("""COMPUTED_VALUE"""),44677.0)</f>
        <v>44677</v>
      </c>
      <c r="B537" s="6" t="str">
        <f>IFERROR(__xludf.DUMMYFUNCTION("""COMPUTED_VALUE"""),"dinner")</f>
        <v>dinner</v>
      </c>
      <c r="C537" s="6" t="str">
        <f>IFERROR(__xludf.DUMMYFUNCTION("""COMPUTED_VALUE"""),"employee A")</f>
        <v>employee A</v>
      </c>
      <c r="D537" s="7">
        <f>IFERROR(__xludf.DUMMYFUNCTION("""COMPUTED_VALUE"""),46.06)</f>
        <v>46.06</v>
      </c>
      <c r="E537" s="6" t="str">
        <f>IFERROR(__xludf.DUMMYFUNCTION("""COMPUTED_VALUE"""),"No")</f>
        <v>No</v>
      </c>
      <c r="F537" s="8" t="str">
        <f>IFERROR(__xludf.DUMMYFUNCTION("""COMPUTED_VALUE"""),"No")</f>
        <v>No</v>
      </c>
    </row>
    <row r="538">
      <c r="A538" s="5">
        <f>IFERROR(__xludf.DUMMYFUNCTION("""COMPUTED_VALUE"""),44677.0)</f>
        <v>44677</v>
      </c>
      <c r="B538" s="6" t="str">
        <f>IFERROR(__xludf.DUMMYFUNCTION("""COMPUTED_VALUE"""),"dinner")</f>
        <v>dinner</v>
      </c>
      <c r="C538" s="6" t="str">
        <f>IFERROR(__xludf.DUMMYFUNCTION("""COMPUTED_VALUE"""),"employee G")</f>
        <v>employee G</v>
      </c>
      <c r="D538" s="7">
        <f>IFERROR(__xludf.DUMMYFUNCTION("""COMPUTED_VALUE"""),0.0)</f>
        <v>0</v>
      </c>
      <c r="E538" s="9" t="str">
        <f>IFERROR(__xludf.DUMMYFUNCTION("""COMPUTED_VALUE"""),"Yes")</f>
        <v>Yes</v>
      </c>
      <c r="F538" s="8" t="str">
        <f>IFERROR(__xludf.DUMMYFUNCTION("""COMPUTED_VALUE"""),"No")</f>
        <v>No</v>
      </c>
    </row>
    <row r="539">
      <c r="A539" s="5">
        <f>IFERROR(__xludf.DUMMYFUNCTION("""COMPUTED_VALUE"""),44678.0)</f>
        <v>44678</v>
      </c>
      <c r="B539" s="6" t="str">
        <f>IFERROR(__xludf.DUMMYFUNCTION("""COMPUTED_VALUE"""),"lunch")</f>
        <v>lunch</v>
      </c>
      <c r="C539" s="6" t="str">
        <f>IFERROR(__xludf.DUMMYFUNCTION("""COMPUTED_VALUE"""),"employee J")</f>
        <v>employee J</v>
      </c>
      <c r="D539" s="7">
        <f>IFERROR(__xludf.DUMMYFUNCTION("""COMPUTED_VALUE"""),91.25)</f>
        <v>91.25</v>
      </c>
      <c r="E539" s="6" t="str">
        <f>IFERROR(__xludf.DUMMYFUNCTION("""COMPUTED_VALUE"""),"No")</f>
        <v>No</v>
      </c>
      <c r="F539" s="8" t="str">
        <f>IFERROR(__xludf.DUMMYFUNCTION("""COMPUTED_VALUE"""),"No")</f>
        <v>No</v>
      </c>
    </row>
    <row r="540">
      <c r="A540" s="5">
        <f>IFERROR(__xludf.DUMMYFUNCTION("""COMPUTED_VALUE"""),44678.0)</f>
        <v>44678</v>
      </c>
      <c r="B540" s="6" t="str">
        <f>IFERROR(__xludf.DUMMYFUNCTION("""COMPUTED_VALUE"""),"lunch")</f>
        <v>lunch</v>
      </c>
      <c r="C540" s="6" t="str">
        <f>IFERROR(__xludf.DUMMYFUNCTION("""COMPUTED_VALUE"""),"employee M")</f>
        <v>employee M</v>
      </c>
      <c r="D540" s="7">
        <f>IFERROR(__xludf.DUMMYFUNCTION("""COMPUTED_VALUE"""),0.0)</f>
        <v>0</v>
      </c>
      <c r="E540" s="9" t="str">
        <f>IFERROR(__xludf.DUMMYFUNCTION("""COMPUTED_VALUE"""),"Yes")</f>
        <v>Yes</v>
      </c>
      <c r="F540" s="8" t="str">
        <f>IFERROR(__xludf.DUMMYFUNCTION("""COMPUTED_VALUE"""),"No")</f>
        <v>No</v>
      </c>
    </row>
    <row r="541">
      <c r="A541" s="5">
        <f>IFERROR(__xludf.DUMMYFUNCTION("""COMPUTED_VALUE"""),44678.0)</f>
        <v>44678</v>
      </c>
      <c r="B541" s="6" t="str">
        <f>IFERROR(__xludf.DUMMYFUNCTION("""COMPUTED_VALUE"""),"dinner")</f>
        <v>dinner</v>
      </c>
      <c r="C541" s="6" t="str">
        <f>IFERROR(__xludf.DUMMYFUNCTION("""COMPUTED_VALUE"""),"employee J")</f>
        <v>employee J</v>
      </c>
      <c r="D541" s="7">
        <f>IFERROR(__xludf.DUMMYFUNCTION("""COMPUTED_VALUE"""),41.63)</f>
        <v>41.63</v>
      </c>
      <c r="E541" s="6" t="str">
        <f>IFERROR(__xludf.DUMMYFUNCTION("""COMPUTED_VALUE"""),"No")</f>
        <v>No</v>
      </c>
      <c r="F541" s="8" t="str">
        <f>IFERROR(__xludf.DUMMYFUNCTION("""COMPUTED_VALUE"""),"No")</f>
        <v>No</v>
      </c>
    </row>
    <row r="542">
      <c r="A542" s="5">
        <f>IFERROR(__xludf.DUMMYFUNCTION("""COMPUTED_VALUE"""),44678.0)</f>
        <v>44678</v>
      </c>
      <c r="B542" s="6" t="str">
        <f>IFERROR(__xludf.DUMMYFUNCTION("""COMPUTED_VALUE"""),"dinner")</f>
        <v>dinner</v>
      </c>
      <c r="C542" s="6" t="str">
        <f>IFERROR(__xludf.DUMMYFUNCTION("""COMPUTED_VALUE"""),"employee A")</f>
        <v>employee A</v>
      </c>
      <c r="D542" s="7">
        <f>IFERROR(__xludf.DUMMYFUNCTION("""COMPUTED_VALUE"""),41.63)</f>
        <v>41.63</v>
      </c>
      <c r="E542" s="6" t="str">
        <f>IFERROR(__xludf.DUMMYFUNCTION("""COMPUTED_VALUE"""),"No")</f>
        <v>No</v>
      </c>
      <c r="F542" s="8" t="str">
        <f>IFERROR(__xludf.DUMMYFUNCTION("""COMPUTED_VALUE"""),"No")</f>
        <v>No</v>
      </c>
    </row>
    <row r="543">
      <c r="A543" s="5">
        <f>IFERROR(__xludf.DUMMYFUNCTION("""COMPUTED_VALUE"""),44678.0)</f>
        <v>44678</v>
      </c>
      <c r="B543" s="6" t="str">
        <f>IFERROR(__xludf.DUMMYFUNCTION("""COMPUTED_VALUE"""),"dinner")</f>
        <v>dinner</v>
      </c>
      <c r="C543" s="6" t="str">
        <f>IFERROR(__xludf.DUMMYFUNCTION("""COMPUTED_VALUE"""),"employee N")</f>
        <v>employee N</v>
      </c>
      <c r="D543" s="7">
        <f>IFERROR(__xludf.DUMMYFUNCTION("""COMPUTED_VALUE"""),13.88)</f>
        <v>13.88</v>
      </c>
      <c r="E543" s="6" t="str">
        <f>IFERROR(__xludf.DUMMYFUNCTION("""COMPUTED_VALUE"""),"No")</f>
        <v>No</v>
      </c>
      <c r="F543" s="8" t="str">
        <f>IFERROR(__xludf.DUMMYFUNCTION("""COMPUTED_VALUE"""),"No")</f>
        <v>No</v>
      </c>
    </row>
    <row r="544">
      <c r="A544" s="5">
        <f>IFERROR(__xludf.DUMMYFUNCTION("""COMPUTED_VALUE"""),44679.0)</f>
        <v>44679</v>
      </c>
      <c r="B544" s="6" t="str">
        <f>IFERROR(__xludf.DUMMYFUNCTION("""COMPUTED_VALUE"""),"lunch")</f>
        <v>lunch</v>
      </c>
      <c r="C544" s="6" t="str">
        <f>IFERROR(__xludf.DUMMYFUNCTION("""COMPUTED_VALUE"""),"employee A")</f>
        <v>employee A</v>
      </c>
      <c r="D544" s="7">
        <f>IFERROR(__xludf.DUMMYFUNCTION("""COMPUTED_VALUE"""),71.27)</f>
        <v>71.27</v>
      </c>
      <c r="E544" s="6" t="str">
        <f>IFERROR(__xludf.DUMMYFUNCTION("""COMPUTED_VALUE"""),"No")</f>
        <v>No</v>
      </c>
      <c r="F544" s="8" t="str">
        <f>IFERROR(__xludf.DUMMYFUNCTION("""COMPUTED_VALUE"""),"No")</f>
        <v>No</v>
      </c>
    </row>
    <row r="545">
      <c r="A545" s="5">
        <f>IFERROR(__xludf.DUMMYFUNCTION("""COMPUTED_VALUE"""),44679.0)</f>
        <v>44679</v>
      </c>
      <c r="B545" s="6" t="str">
        <f>IFERROR(__xludf.DUMMYFUNCTION("""COMPUTED_VALUE"""),"dinner")</f>
        <v>dinner</v>
      </c>
      <c r="C545" s="6" t="str">
        <f>IFERROR(__xludf.DUMMYFUNCTION("""COMPUTED_VALUE"""),"employee N")</f>
        <v>employee N</v>
      </c>
      <c r="D545" s="7">
        <f>IFERROR(__xludf.DUMMYFUNCTION("""COMPUTED_VALUE"""),72.31)</f>
        <v>72.31</v>
      </c>
      <c r="E545" s="6" t="str">
        <f>IFERROR(__xludf.DUMMYFUNCTION("""COMPUTED_VALUE"""),"No")</f>
        <v>No</v>
      </c>
      <c r="F545" s="8" t="str">
        <f>IFERROR(__xludf.DUMMYFUNCTION("""COMPUTED_VALUE"""),"No")</f>
        <v>No</v>
      </c>
    </row>
    <row r="546">
      <c r="A546" s="5">
        <f>IFERROR(__xludf.DUMMYFUNCTION("""COMPUTED_VALUE"""),44679.0)</f>
        <v>44679</v>
      </c>
      <c r="B546" s="6" t="str">
        <f>IFERROR(__xludf.DUMMYFUNCTION("""COMPUTED_VALUE"""),"dinner")</f>
        <v>dinner</v>
      </c>
      <c r="C546" s="6" t="str">
        <f>IFERROR(__xludf.DUMMYFUNCTION("""COMPUTED_VALUE"""),"employee I")</f>
        <v>employee I</v>
      </c>
      <c r="D546" s="7">
        <f>IFERROR(__xludf.DUMMYFUNCTION("""COMPUTED_VALUE"""),60.26)</f>
        <v>60.26</v>
      </c>
      <c r="E546" s="6" t="str">
        <f>IFERROR(__xludf.DUMMYFUNCTION("""COMPUTED_VALUE"""),"No")</f>
        <v>No</v>
      </c>
      <c r="F546" s="8" t="str">
        <f>IFERROR(__xludf.DUMMYFUNCTION("""COMPUTED_VALUE"""),"No")</f>
        <v>No</v>
      </c>
    </row>
    <row r="547">
      <c r="A547" s="5">
        <f>IFERROR(__xludf.DUMMYFUNCTION("""COMPUTED_VALUE"""),44679.0)</f>
        <v>44679</v>
      </c>
      <c r="B547" s="6" t="str">
        <f>IFERROR(__xludf.DUMMYFUNCTION("""COMPUTED_VALUE"""),"dinner")</f>
        <v>dinner</v>
      </c>
      <c r="C547" s="6" t="str">
        <f>IFERROR(__xludf.DUMMYFUNCTION("""COMPUTED_VALUE"""),"employee M")</f>
        <v>employee M</v>
      </c>
      <c r="D547" s="7">
        <f>IFERROR(__xludf.DUMMYFUNCTION("""COMPUTED_VALUE"""),56.25)</f>
        <v>56.25</v>
      </c>
      <c r="E547" s="6" t="str">
        <f>IFERROR(__xludf.DUMMYFUNCTION("""COMPUTED_VALUE"""),"No")</f>
        <v>No</v>
      </c>
      <c r="F547" s="8" t="str">
        <f>IFERROR(__xludf.DUMMYFUNCTION("""COMPUTED_VALUE"""),"No")</f>
        <v>No</v>
      </c>
    </row>
    <row r="548">
      <c r="A548" s="5">
        <f>IFERROR(__xludf.DUMMYFUNCTION("""COMPUTED_VALUE"""),44680.0)</f>
        <v>44680</v>
      </c>
      <c r="B548" s="6" t="str">
        <f>IFERROR(__xludf.DUMMYFUNCTION("""COMPUTED_VALUE"""),"lunch")</f>
        <v>lunch</v>
      </c>
      <c r="C548" s="6" t="str">
        <f>IFERROR(__xludf.DUMMYFUNCTION("""COMPUTED_VALUE"""),"employee B")</f>
        <v>employee B</v>
      </c>
      <c r="D548" s="7">
        <f>IFERROR(__xludf.DUMMYFUNCTION("""COMPUTED_VALUE"""),60.1)</f>
        <v>60.1</v>
      </c>
      <c r="E548" s="6" t="str">
        <f>IFERROR(__xludf.DUMMYFUNCTION("""COMPUTED_VALUE"""),"No")</f>
        <v>No</v>
      </c>
      <c r="F548" s="8" t="str">
        <f>IFERROR(__xludf.DUMMYFUNCTION("""COMPUTED_VALUE"""),"No")</f>
        <v>No</v>
      </c>
    </row>
    <row r="549">
      <c r="A549" s="5">
        <f>IFERROR(__xludf.DUMMYFUNCTION("""COMPUTED_VALUE"""),44680.0)</f>
        <v>44680</v>
      </c>
      <c r="B549" s="6" t="str">
        <f>IFERROR(__xludf.DUMMYFUNCTION("""COMPUTED_VALUE"""),"lunch")</f>
        <v>lunch</v>
      </c>
      <c r="C549" s="6" t="str">
        <f>IFERROR(__xludf.DUMMYFUNCTION("""COMPUTED_VALUE"""),"employee M")</f>
        <v>employee M</v>
      </c>
      <c r="D549" s="7">
        <f>IFERROR(__xludf.DUMMYFUNCTION("""COMPUTED_VALUE"""),48.04)</f>
        <v>48.04</v>
      </c>
      <c r="E549" s="6" t="str">
        <f>IFERROR(__xludf.DUMMYFUNCTION("""COMPUTED_VALUE"""),"No")</f>
        <v>No</v>
      </c>
      <c r="F549" s="8" t="str">
        <f>IFERROR(__xludf.DUMMYFUNCTION("""COMPUTED_VALUE"""),"No")</f>
        <v>No</v>
      </c>
    </row>
    <row r="550">
      <c r="A550" s="5">
        <f>IFERROR(__xludf.DUMMYFUNCTION("""COMPUTED_VALUE"""),44680.0)</f>
        <v>44680</v>
      </c>
      <c r="B550" s="6" t="str">
        <f>IFERROR(__xludf.DUMMYFUNCTION("""COMPUTED_VALUE"""),"dinner")</f>
        <v>dinner</v>
      </c>
      <c r="C550" s="6" t="str">
        <f>IFERROR(__xludf.DUMMYFUNCTION("""COMPUTED_VALUE"""),"employee B")</f>
        <v>employee B</v>
      </c>
      <c r="D550" s="7">
        <f>IFERROR(__xludf.DUMMYFUNCTION("""COMPUTED_VALUE"""),86.56)</f>
        <v>86.56</v>
      </c>
      <c r="E550" s="6" t="str">
        <f>IFERROR(__xludf.DUMMYFUNCTION("""COMPUTED_VALUE"""),"No")</f>
        <v>No</v>
      </c>
      <c r="F550" s="8" t="str">
        <f>IFERROR(__xludf.DUMMYFUNCTION("""COMPUTED_VALUE"""),"No")</f>
        <v>No</v>
      </c>
    </row>
    <row r="551">
      <c r="A551" s="5">
        <f>IFERROR(__xludf.DUMMYFUNCTION("""COMPUTED_VALUE"""),44680.0)</f>
        <v>44680</v>
      </c>
      <c r="B551" s="6" t="str">
        <f>IFERROR(__xludf.DUMMYFUNCTION("""COMPUTED_VALUE"""),"dinner")</f>
        <v>dinner</v>
      </c>
      <c r="C551" s="6" t="str">
        <f>IFERROR(__xludf.DUMMYFUNCTION("""COMPUTED_VALUE"""),"employee J")</f>
        <v>employee J</v>
      </c>
      <c r="D551" s="7">
        <f>IFERROR(__xludf.DUMMYFUNCTION("""COMPUTED_VALUE"""),38.47)</f>
        <v>38.47</v>
      </c>
      <c r="E551" s="6" t="str">
        <f>IFERROR(__xludf.DUMMYFUNCTION("""COMPUTED_VALUE"""),"No")</f>
        <v>No</v>
      </c>
      <c r="F551" s="8" t="str">
        <f>IFERROR(__xludf.DUMMYFUNCTION("""COMPUTED_VALUE"""),"No")</f>
        <v>No</v>
      </c>
    </row>
    <row r="552">
      <c r="A552" s="5">
        <f>IFERROR(__xludf.DUMMYFUNCTION("""COMPUTED_VALUE"""),44680.0)</f>
        <v>44680</v>
      </c>
      <c r="B552" s="6" t="str">
        <f>IFERROR(__xludf.DUMMYFUNCTION("""COMPUTED_VALUE"""),"dinner")</f>
        <v>dinner</v>
      </c>
      <c r="C552" s="6" t="str">
        <f>IFERROR(__xludf.DUMMYFUNCTION("""COMPUTED_VALUE"""),"employee I")</f>
        <v>employee I</v>
      </c>
      <c r="D552" s="7">
        <f>IFERROR(__xludf.DUMMYFUNCTION("""COMPUTED_VALUE"""),62.51)</f>
        <v>62.51</v>
      </c>
      <c r="E552" s="6" t="str">
        <f>IFERROR(__xludf.DUMMYFUNCTION("""COMPUTED_VALUE"""),"No")</f>
        <v>No</v>
      </c>
      <c r="F552" s="8" t="str">
        <f>IFERROR(__xludf.DUMMYFUNCTION("""COMPUTED_VALUE"""),"No")</f>
        <v>No</v>
      </c>
    </row>
    <row r="553">
      <c r="A553" s="5">
        <f>IFERROR(__xludf.DUMMYFUNCTION("""COMPUTED_VALUE"""),44681.0)</f>
        <v>44681</v>
      </c>
      <c r="B553" s="6" t="str">
        <f>IFERROR(__xludf.DUMMYFUNCTION("""COMPUTED_VALUE"""),"lunch")</f>
        <v>lunch</v>
      </c>
      <c r="C553" s="6" t="str">
        <f>IFERROR(__xludf.DUMMYFUNCTION("""COMPUTED_VALUE"""),"employee B")</f>
        <v>employee B</v>
      </c>
      <c r="D553" s="7">
        <f>IFERROR(__xludf.DUMMYFUNCTION("""COMPUTED_VALUE"""),68.89)</f>
        <v>68.89</v>
      </c>
      <c r="E553" s="6" t="str">
        <f>IFERROR(__xludf.DUMMYFUNCTION("""COMPUTED_VALUE"""),"No")</f>
        <v>No</v>
      </c>
      <c r="F553" s="8" t="str">
        <f>IFERROR(__xludf.DUMMYFUNCTION("""COMPUTED_VALUE"""),"No")</f>
        <v>No</v>
      </c>
    </row>
    <row r="554">
      <c r="A554" s="5">
        <f>IFERROR(__xludf.DUMMYFUNCTION("""COMPUTED_VALUE"""),44681.0)</f>
        <v>44681</v>
      </c>
      <c r="B554" s="6" t="str">
        <f>IFERROR(__xludf.DUMMYFUNCTION("""COMPUTED_VALUE"""),"lunch")</f>
        <v>lunch</v>
      </c>
      <c r="C554" s="6" t="str">
        <f>IFERROR(__xludf.DUMMYFUNCTION("""COMPUTED_VALUE"""),"employee G")</f>
        <v>employee G</v>
      </c>
      <c r="D554" s="7">
        <f>IFERROR(__xludf.DUMMYFUNCTION("""COMPUTED_VALUE"""),0.0)</f>
        <v>0</v>
      </c>
      <c r="E554" s="9" t="str">
        <f>IFERROR(__xludf.DUMMYFUNCTION("""COMPUTED_VALUE"""),"Yes")</f>
        <v>Yes</v>
      </c>
      <c r="F554" s="8" t="str">
        <f>IFERROR(__xludf.DUMMYFUNCTION("""COMPUTED_VALUE"""),"No")</f>
        <v>No</v>
      </c>
    </row>
    <row r="555">
      <c r="A555" s="5">
        <f>IFERROR(__xludf.DUMMYFUNCTION("""COMPUTED_VALUE"""),44681.0)</f>
        <v>44681</v>
      </c>
      <c r="B555" s="6" t="str">
        <f>IFERROR(__xludf.DUMMYFUNCTION("""COMPUTED_VALUE"""),"lunch")</f>
        <v>lunch</v>
      </c>
      <c r="C555" s="6" t="str">
        <f>IFERROR(__xludf.DUMMYFUNCTION("""COMPUTED_VALUE"""),"employee J")</f>
        <v>employee J</v>
      </c>
      <c r="D555" s="7">
        <f>IFERROR(__xludf.DUMMYFUNCTION("""COMPUTED_VALUE"""),124.01)</f>
        <v>124.01</v>
      </c>
      <c r="E555" s="6" t="str">
        <f>IFERROR(__xludf.DUMMYFUNCTION("""COMPUTED_VALUE"""),"No")</f>
        <v>No</v>
      </c>
      <c r="F555" s="8" t="str">
        <f>IFERROR(__xludf.DUMMYFUNCTION("""COMPUTED_VALUE"""),"No")</f>
        <v>No</v>
      </c>
    </row>
    <row r="556">
      <c r="A556" s="5">
        <f>IFERROR(__xludf.DUMMYFUNCTION("""COMPUTED_VALUE"""),44681.0)</f>
        <v>44681</v>
      </c>
      <c r="B556" s="6" t="str">
        <f>IFERROR(__xludf.DUMMYFUNCTION("""COMPUTED_VALUE"""),"lunch")</f>
        <v>lunch</v>
      </c>
      <c r="C556" s="6" t="str">
        <f>IFERROR(__xludf.DUMMYFUNCTION("""COMPUTED_VALUE"""),"employee M")</f>
        <v>employee M</v>
      </c>
      <c r="D556" s="7">
        <f>IFERROR(__xludf.DUMMYFUNCTION("""COMPUTED_VALUE"""),124.01)</f>
        <v>124.01</v>
      </c>
      <c r="E556" s="6" t="str">
        <f>IFERROR(__xludf.DUMMYFUNCTION("""COMPUTED_VALUE"""),"No")</f>
        <v>No</v>
      </c>
      <c r="F556" s="8" t="str">
        <f>IFERROR(__xludf.DUMMYFUNCTION("""COMPUTED_VALUE"""),"No")</f>
        <v>No</v>
      </c>
    </row>
    <row r="557">
      <c r="A557" s="5">
        <f>IFERROR(__xludf.DUMMYFUNCTION("""COMPUTED_VALUE"""),44681.0)</f>
        <v>44681</v>
      </c>
      <c r="B557" s="6" t="str">
        <f>IFERROR(__xludf.DUMMYFUNCTION("""COMPUTED_VALUE"""),"dinner")</f>
        <v>dinner</v>
      </c>
      <c r="C557" s="6" t="str">
        <f>IFERROR(__xludf.DUMMYFUNCTION("""COMPUTED_VALUE"""),"employee M")</f>
        <v>employee M</v>
      </c>
      <c r="D557" s="7">
        <f>IFERROR(__xludf.DUMMYFUNCTION("""COMPUTED_VALUE"""),112.78)</f>
        <v>112.78</v>
      </c>
      <c r="E557" s="6" t="str">
        <f>IFERROR(__xludf.DUMMYFUNCTION("""COMPUTED_VALUE"""),"No")</f>
        <v>No</v>
      </c>
      <c r="F557" s="8" t="str">
        <f>IFERROR(__xludf.DUMMYFUNCTION("""COMPUTED_VALUE"""),"No")</f>
        <v>No</v>
      </c>
    </row>
    <row r="558">
      <c r="A558" s="5">
        <f>IFERROR(__xludf.DUMMYFUNCTION("""COMPUTED_VALUE"""),44681.0)</f>
        <v>44681</v>
      </c>
      <c r="B558" s="6" t="str">
        <f>IFERROR(__xludf.DUMMYFUNCTION("""COMPUTED_VALUE"""),"dinner")</f>
        <v>dinner</v>
      </c>
      <c r="C558" s="6" t="str">
        <f>IFERROR(__xludf.DUMMYFUNCTION("""COMPUTED_VALUE"""),"employee N")</f>
        <v>employee N</v>
      </c>
      <c r="D558" s="7">
        <f>IFERROR(__xludf.DUMMYFUNCTION("""COMPUTED_VALUE"""),112.78)</f>
        <v>112.78</v>
      </c>
      <c r="E558" s="6" t="str">
        <f>IFERROR(__xludf.DUMMYFUNCTION("""COMPUTED_VALUE"""),"No")</f>
        <v>No</v>
      </c>
      <c r="F558" s="8" t="str">
        <f>IFERROR(__xludf.DUMMYFUNCTION("""COMPUTED_VALUE"""),"No")</f>
        <v>No</v>
      </c>
    </row>
    <row r="559">
      <c r="A559" s="5">
        <f>IFERROR(__xludf.DUMMYFUNCTION("""COMPUTED_VALUE"""),44681.0)</f>
        <v>44681</v>
      </c>
      <c r="B559" s="6" t="str">
        <f>IFERROR(__xludf.DUMMYFUNCTION("""COMPUTED_VALUE"""),"dinner")</f>
        <v>dinner</v>
      </c>
      <c r="C559" s="6" t="str">
        <f>IFERROR(__xludf.DUMMYFUNCTION("""COMPUTED_VALUE"""),"employee I")</f>
        <v>employee I</v>
      </c>
      <c r="D559" s="7">
        <f>IFERROR(__xludf.DUMMYFUNCTION("""COMPUTED_VALUE"""),87.71)</f>
        <v>87.71</v>
      </c>
      <c r="E559" s="6" t="str">
        <f>IFERROR(__xludf.DUMMYFUNCTION("""COMPUTED_VALUE"""),"No")</f>
        <v>No</v>
      </c>
      <c r="F559" s="8" t="str">
        <f>IFERROR(__xludf.DUMMYFUNCTION("""COMPUTED_VALUE"""),"No")</f>
        <v>No</v>
      </c>
    </row>
    <row r="560">
      <c r="A560" s="5">
        <f>IFERROR(__xludf.DUMMYFUNCTION("""COMPUTED_VALUE"""),44682.0)</f>
        <v>44682</v>
      </c>
      <c r="B560" s="6" t="str">
        <f>IFERROR(__xludf.DUMMYFUNCTION("""COMPUTED_VALUE"""),"lunch")</f>
        <v>lunch</v>
      </c>
      <c r="C560" s="6" t="str">
        <f>IFERROR(__xludf.DUMMYFUNCTION("""COMPUTED_VALUE"""),"employee B")</f>
        <v>employee B</v>
      </c>
      <c r="D560" s="7">
        <f>IFERROR(__xludf.DUMMYFUNCTION("""COMPUTED_VALUE"""),59.0)</f>
        <v>59</v>
      </c>
      <c r="E560" s="6" t="str">
        <f>IFERROR(__xludf.DUMMYFUNCTION("""COMPUTED_VALUE"""),"No")</f>
        <v>No</v>
      </c>
      <c r="F560" s="8" t="str">
        <f>IFERROR(__xludf.DUMMYFUNCTION("""COMPUTED_VALUE"""),"No")</f>
        <v>No</v>
      </c>
    </row>
    <row r="561">
      <c r="A561" s="5">
        <f>IFERROR(__xludf.DUMMYFUNCTION("""COMPUTED_VALUE"""),44682.0)</f>
        <v>44682</v>
      </c>
      <c r="B561" s="6" t="str">
        <f>IFERROR(__xludf.DUMMYFUNCTION("""COMPUTED_VALUE"""),"lunch")</f>
        <v>lunch</v>
      </c>
      <c r="C561" s="6" t="str">
        <f>IFERROR(__xludf.DUMMYFUNCTION("""COMPUTED_VALUE"""),"employee M")</f>
        <v>employee M</v>
      </c>
      <c r="D561" s="7">
        <f>IFERROR(__xludf.DUMMYFUNCTION("""COMPUTED_VALUE"""),79.42)</f>
        <v>79.42</v>
      </c>
      <c r="E561" s="6" t="str">
        <f>IFERROR(__xludf.DUMMYFUNCTION("""COMPUTED_VALUE"""),"No")</f>
        <v>No</v>
      </c>
      <c r="F561" s="8" t="str">
        <f>IFERROR(__xludf.DUMMYFUNCTION("""COMPUTED_VALUE"""),"No")</f>
        <v>No</v>
      </c>
    </row>
    <row r="562">
      <c r="A562" s="5">
        <f>IFERROR(__xludf.DUMMYFUNCTION("""COMPUTED_VALUE"""),44682.0)</f>
        <v>44682</v>
      </c>
      <c r="B562" s="6" t="str">
        <f>IFERROR(__xludf.DUMMYFUNCTION("""COMPUTED_VALUE"""),"lunch")</f>
        <v>lunch</v>
      </c>
      <c r="C562" s="6" t="str">
        <f>IFERROR(__xludf.DUMMYFUNCTION("""COMPUTED_VALUE"""),"employee J")</f>
        <v>employee J</v>
      </c>
      <c r="D562" s="7">
        <f>IFERROR(__xludf.DUMMYFUNCTION("""COMPUTED_VALUE"""),53.89)</f>
        <v>53.89</v>
      </c>
      <c r="E562" s="6" t="str">
        <f>IFERROR(__xludf.DUMMYFUNCTION("""COMPUTED_VALUE"""),"No")</f>
        <v>No</v>
      </c>
      <c r="F562" s="8" t="str">
        <f>IFERROR(__xludf.DUMMYFUNCTION("""COMPUTED_VALUE"""),"No")</f>
        <v>No</v>
      </c>
    </row>
    <row r="563">
      <c r="A563" s="5">
        <f>IFERROR(__xludf.DUMMYFUNCTION("""COMPUTED_VALUE"""),44682.0)</f>
        <v>44682</v>
      </c>
      <c r="B563" s="6" t="str">
        <f>IFERROR(__xludf.DUMMYFUNCTION("""COMPUTED_VALUE"""),"lunch")</f>
        <v>lunch</v>
      </c>
      <c r="C563" s="6" t="str">
        <f>IFERROR(__xludf.DUMMYFUNCTION("""COMPUTED_VALUE"""),"employee G")</f>
        <v>employee G</v>
      </c>
      <c r="D563" s="7">
        <f>IFERROR(__xludf.DUMMYFUNCTION("""COMPUTED_VALUE"""),56.73)</f>
        <v>56.73</v>
      </c>
      <c r="E563" s="6" t="str">
        <f>IFERROR(__xludf.DUMMYFUNCTION("""COMPUTED_VALUE"""),"No")</f>
        <v>No</v>
      </c>
      <c r="F563" s="8" t="str">
        <f>IFERROR(__xludf.DUMMYFUNCTION("""COMPUTED_VALUE"""),"No")</f>
        <v>No</v>
      </c>
    </row>
    <row r="564">
      <c r="A564" s="5">
        <f>IFERROR(__xludf.DUMMYFUNCTION("""COMPUTED_VALUE"""),44682.0)</f>
        <v>44682</v>
      </c>
      <c r="B564" s="6" t="str">
        <f>IFERROR(__xludf.DUMMYFUNCTION("""COMPUTED_VALUE"""),"dinner")</f>
        <v>dinner</v>
      </c>
      <c r="C564" s="6" t="str">
        <f>IFERROR(__xludf.DUMMYFUNCTION("""COMPUTED_VALUE"""),"employee J")</f>
        <v>employee J</v>
      </c>
      <c r="D564" s="7">
        <f>IFERROR(__xludf.DUMMYFUNCTION("""COMPUTED_VALUE"""),46.22)</f>
        <v>46.22</v>
      </c>
      <c r="E564" s="6" t="str">
        <f>IFERROR(__xludf.DUMMYFUNCTION("""COMPUTED_VALUE"""),"No")</f>
        <v>No</v>
      </c>
      <c r="F564" s="8" t="str">
        <f>IFERROR(__xludf.DUMMYFUNCTION("""COMPUTED_VALUE"""),"No")</f>
        <v>No</v>
      </c>
    </row>
    <row r="565">
      <c r="A565" s="5">
        <f>IFERROR(__xludf.DUMMYFUNCTION("""COMPUTED_VALUE"""),44682.0)</f>
        <v>44682</v>
      </c>
      <c r="B565" s="6" t="str">
        <f>IFERROR(__xludf.DUMMYFUNCTION("""COMPUTED_VALUE"""),"dinner")</f>
        <v>dinner</v>
      </c>
      <c r="C565" s="6" t="str">
        <f>IFERROR(__xludf.DUMMYFUNCTION("""COMPUTED_VALUE"""),"employee M")</f>
        <v>employee M</v>
      </c>
      <c r="D565" s="7">
        <f>IFERROR(__xludf.DUMMYFUNCTION("""COMPUTED_VALUE"""),46.22)</f>
        <v>46.22</v>
      </c>
      <c r="E565" s="6" t="str">
        <f>IFERROR(__xludf.DUMMYFUNCTION("""COMPUTED_VALUE"""),"No")</f>
        <v>No</v>
      </c>
      <c r="F565" s="8" t="str">
        <f>IFERROR(__xludf.DUMMYFUNCTION("""COMPUTED_VALUE"""),"No")</f>
        <v>No</v>
      </c>
    </row>
    <row r="566">
      <c r="A566" s="5">
        <f>IFERROR(__xludf.DUMMYFUNCTION("""COMPUTED_VALUE"""),44682.0)</f>
        <v>44682</v>
      </c>
      <c r="B566" s="6" t="str">
        <f>IFERROR(__xludf.DUMMYFUNCTION("""COMPUTED_VALUE"""),"dinner")</f>
        <v>dinner</v>
      </c>
      <c r="C566" s="6" t="str">
        <f>IFERROR(__xludf.DUMMYFUNCTION("""COMPUTED_VALUE"""),"employee G")</f>
        <v>employee G</v>
      </c>
      <c r="D566" s="7">
        <f>IFERROR(__xludf.DUMMYFUNCTION("""COMPUTED_VALUE"""),46.22)</f>
        <v>46.22</v>
      </c>
      <c r="E566" s="6" t="str">
        <f>IFERROR(__xludf.DUMMYFUNCTION("""COMPUTED_VALUE"""),"No")</f>
        <v>No</v>
      </c>
      <c r="F566" s="8" t="str">
        <f>IFERROR(__xludf.DUMMYFUNCTION("""COMPUTED_VALUE"""),"No")</f>
        <v>No</v>
      </c>
    </row>
    <row r="567">
      <c r="A567" s="5">
        <f>IFERROR(__xludf.DUMMYFUNCTION("""COMPUTED_VALUE"""),44683.0)</f>
        <v>44683</v>
      </c>
      <c r="B567" s="6" t="str">
        <f>IFERROR(__xludf.DUMMYFUNCTION("""COMPUTED_VALUE"""),"lunch")</f>
        <v>lunch</v>
      </c>
      <c r="C567" s="6" t="str">
        <f>IFERROR(__xludf.DUMMYFUNCTION("""COMPUTED_VALUE"""),"employee J")</f>
        <v>employee J</v>
      </c>
      <c r="D567" s="7">
        <f>IFERROR(__xludf.DUMMYFUNCTION("""COMPUTED_VALUE"""),79.26)</f>
        <v>79.26</v>
      </c>
      <c r="E567" s="6" t="str">
        <f>IFERROR(__xludf.DUMMYFUNCTION("""COMPUTED_VALUE"""),"No")</f>
        <v>No</v>
      </c>
      <c r="F567" s="8" t="str">
        <f>IFERROR(__xludf.DUMMYFUNCTION("""COMPUTED_VALUE"""),"No")</f>
        <v>No</v>
      </c>
    </row>
    <row r="568">
      <c r="A568" s="5">
        <f>IFERROR(__xludf.DUMMYFUNCTION("""COMPUTED_VALUE"""),44683.0)</f>
        <v>44683</v>
      </c>
      <c r="B568" s="6" t="str">
        <f>IFERROR(__xludf.DUMMYFUNCTION("""COMPUTED_VALUE"""),"dinner")</f>
        <v>dinner</v>
      </c>
      <c r="C568" s="6" t="str">
        <f>IFERROR(__xludf.DUMMYFUNCTION("""COMPUTED_VALUE"""),"employee J")</f>
        <v>employee J</v>
      </c>
      <c r="D568" s="7">
        <f>IFERROR(__xludf.DUMMYFUNCTION("""COMPUTED_VALUE"""),56.12)</f>
        <v>56.12</v>
      </c>
      <c r="E568" s="6" t="str">
        <f>IFERROR(__xludf.DUMMYFUNCTION("""COMPUTED_VALUE"""),"No")</f>
        <v>No</v>
      </c>
      <c r="F568" s="8" t="str">
        <f>IFERROR(__xludf.DUMMYFUNCTION("""COMPUTED_VALUE"""),"No")</f>
        <v>No</v>
      </c>
    </row>
    <row r="569">
      <c r="A569" s="5">
        <f>IFERROR(__xludf.DUMMYFUNCTION("""COMPUTED_VALUE"""),44683.0)</f>
        <v>44683</v>
      </c>
      <c r="B569" s="6" t="str">
        <f>IFERROR(__xludf.DUMMYFUNCTION("""COMPUTED_VALUE"""),"dinner")</f>
        <v>dinner</v>
      </c>
      <c r="C569" s="6" t="str">
        <f>IFERROR(__xludf.DUMMYFUNCTION("""COMPUTED_VALUE"""),"employee N")</f>
        <v>employee N</v>
      </c>
      <c r="D569" s="7">
        <f>IFERROR(__xludf.DUMMYFUNCTION("""COMPUTED_VALUE"""),56.12)</f>
        <v>56.12</v>
      </c>
      <c r="E569" s="6" t="str">
        <f>IFERROR(__xludf.DUMMYFUNCTION("""COMPUTED_VALUE"""),"No")</f>
        <v>No</v>
      </c>
      <c r="F569" s="8" t="str">
        <f>IFERROR(__xludf.DUMMYFUNCTION("""COMPUTED_VALUE"""),"No")</f>
        <v>No</v>
      </c>
    </row>
    <row r="570">
      <c r="A570" s="5">
        <f>IFERROR(__xludf.DUMMYFUNCTION("""COMPUTED_VALUE"""),44683.0)</f>
        <v>44683</v>
      </c>
      <c r="B570" s="6" t="str">
        <f>IFERROR(__xludf.DUMMYFUNCTION("""COMPUTED_VALUE"""),"dinner")</f>
        <v>dinner</v>
      </c>
      <c r="C570" s="6" t="str">
        <f>IFERROR(__xludf.DUMMYFUNCTION("""COMPUTED_VALUE"""),"employee G")</f>
        <v>employee G</v>
      </c>
      <c r="D570" s="7">
        <f>IFERROR(__xludf.DUMMYFUNCTION("""COMPUTED_VALUE"""),43.64)</f>
        <v>43.64</v>
      </c>
      <c r="E570" s="6" t="str">
        <f>IFERROR(__xludf.DUMMYFUNCTION("""COMPUTED_VALUE"""),"No")</f>
        <v>No</v>
      </c>
      <c r="F570" s="8" t="str">
        <f>IFERROR(__xludf.DUMMYFUNCTION("""COMPUTED_VALUE"""),"No")</f>
        <v>No</v>
      </c>
    </row>
    <row r="571">
      <c r="A571" s="5">
        <f>IFERROR(__xludf.DUMMYFUNCTION("""COMPUTED_VALUE"""),44684.0)</f>
        <v>44684</v>
      </c>
      <c r="B571" s="6" t="str">
        <f>IFERROR(__xludf.DUMMYFUNCTION("""COMPUTED_VALUE"""),"lunch")</f>
        <v>lunch</v>
      </c>
      <c r="C571" s="6" t="str">
        <f>IFERROR(__xludf.DUMMYFUNCTION("""COMPUTED_VALUE"""),"employee A")</f>
        <v>employee A</v>
      </c>
      <c r="D571" s="7">
        <f>IFERROR(__xludf.DUMMYFUNCTION("""COMPUTED_VALUE"""),86.32)</f>
        <v>86.32</v>
      </c>
      <c r="E571" s="6" t="str">
        <f>IFERROR(__xludf.DUMMYFUNCTION("""COMPUTED_VALUE"""),"No")</f>
        <v>No</v>
      </c>
      <c r="F571" s="8" t="str">
        <f>IFERROR(__xludf.DUMMYFUNCTION("""COMPUTED_VALUE"""),"No")</f>
        <v>No</v>
      </c>
    </row>
    <row r="572">
      <c r="A572" s="5">
        <f>IFERROR(__xludf.DUMMYFUNCTION("""COMPUTED_VALUE"""),44684.0)</f>
        <v>44684</v>
      </c>
      <c r="B572" s="6" t="str">
        <f>IFERROR(__xludf.DUMMYFUNCTION("""COMPUTED_VALUE"""),"dinner")</f>
        <v>dinner</v>
      </c>
      <c r="C572" s="6" t="str">
        <f>IFERROR(__xludf.DUMMYFUNCTION("""COMPUTED_VALUE"""),"employee A")</f>
        <v>employee A</v>
      </c>
      <c r="D572" s="7">
        <f>IFERROR(__xludf.DUMMYFUNCTION("""COMPUTED_VALUE"""),39.6)</f>
        <v>39.6</v>
      </c>
      <c r="E572" s="6" t="str">
        <f>IFERROR(__xludf.DUMMYFUNCTION("""COMPUTED_VALUE"""),"No")</f>
        <v>No</v>
      </c>
      <c r="F572" s="8" t="str">
        <f>IFERROR(__xludf.DUMMYFUNCTION("""COMPUTED_VALUE"""),"No")</f>
        <v>No</v>
      </c>
    </row>
    <row r="573">
      <c r="A573" s="5">
        <f>IFERROR(__xludf.DUMMYFUNCTION("""COMPUTED_VALUE"""),44684.0)</f>
        <v>44684</v>
      </c>
      <c r="B573" s="6" t="str">
        <f>IFERROR(__xludf.DUMMYFUNCTION("""COMPUTED_VALUE"""),"dinner")</f>
        <v>dinner</v>
      </c>
      <c r="C573" s="6" t="str">
        <f>IFERROR(__xludf.DUMMYFUNCTION("""COMPUTED_VALUE"""),"employee I")</f>
        <v>employee I</v>
      </c>
      <c r="D573" s="7">
        <f>IFERROR(__xludf.DUMMYFUNCTION("""COMPUTED_VALUE"""),30.79)</f>
        <v>30.79</v>
      </c>
      <c r="E573" s="6" t="str">
        <f>IFERROR(__xludf.DUMMYFUNCTION("""COMPUTED_VALUE"""),"No")</f>
        <v>No</v>
      </c>
      <c r="F573" s="8" t="str">
        <f>IFERROR(__xludf.DUMMYFUNCTION("""COMPUTED_VALUE"""),"No")</f>
        <v>No</v>
      </c>
    </row>
    <row r="574">
      <c r="A574" s="5">
        <f>IFERROR(__xludf.DUMMYFUNCTION("""COMPUTED_VALUE"""),44684.0)</f>
        <v>44684</v>
      </c>
      <c r="B574" s="6" t="str">
        <f>IFERROR(__xludf.DUMMYFUNCTION("""COMPUTED_VALUE"""),"dinner")</f>
        <v>dinner</v>
      </c>
      <c r="C574" s="6" t="str">
        <f>IFERROR(__xludf.DUMMYFUNCTION("""COMPUTED_VALUE"""),"employee G")</f>
        <v>employee G</v>
      </c>
      <c r="D574" s="7">
        <f>IFERROR(__xludf.DUMMYFUNCTION("""COMPUTED_VALUE"""),30.78)</f>
        <v>30.78</v>
      </c>
      <c r="E574" s="6" t="str">
        <f>IFERROR(__xludf.DUMMYFUNCTION("""COMPUTED_VALUE"""),"No")</f>
        <v>No</v>
      </c>
      <c r="F574" s="8" t="str">
        <f>IFERROR(__xludf.DUMMYFUNCTION("""COMPUTED_VALUE"""),"No")</f>
        <v>No</v>
      </c>
    </row>
    <row r="575">
      <c r="A575" s="5">
        <f>IFERROR(__xludf.DUMMYFUNCTION("""COMPUTED_VALUE"""),44685.0)</f>
        <v>44685</v>
      </c>
      <c r="B575" s="6" t="str">
        <f>IFERROR(__xludf.DUMMYFUNCTION("""COMPUTED_VALUE"""),"lunch")</f>
        <v>lunch</v>
      </c>
      <c r="C575" s="6" t="str">
        <f>IFERROR(__xludf.DUMMYFUNCTION("""COMPUTED_VALUE"""),"employee A")</f>
        <v>employee A</v>
      </c>
      <c r="D575" s="7">
        <f>IFERROR(__xludf.DUMMYFUNCTION("""COMPUTED_VALUE"""),78.52)</f>
        <v>78.52</v>
      </c>
      <c r="E575" s="6" t="str">
        <f>IFERROR(__xludf.DUMMYFUNCTION("""COMPUTED_VALUE"""),"No")</f>
        <v>No</v>
      </c>
      <c r="F575" s="8" t="str">
        <f>IFERROR(__xludf.DUMMYFUNCTION("""COMPUTED_VALUE"""),"No")</f>
        <v>No</v>
      </c>
    </row>
    <row r="576">
      <c r="A576" s="5">
        <f>IFERROR(__xludf.DUMMYFUNCTION("""COMPUTED_VALUE"""),44685.0)</f>
        <v>44685</v>
      </c>
      <c r="B576" s="6" t="str">
        <f>IFERROR(__xludf.DUMMYFUNCTION("""COMPUTED_VALUE"""),"dinner")</f>
        <v>dinner</v>
      </c>
      <c r="C576" s="6" t="str">
        <f>IFERROR(__xludf.DUMMYFUNCTION("""COMPUTED_VALUE"""),"employee A")</f>
        <v>employee A</v>
      </c>
      <c r="D576" s="7">
        <f>IFERROR(__xludf.DUMMYFUNCTION("""COMPUTED_VALUE"""),72.61)</f>
        <v>72.61</v>
      </c>
      <c r="E576" s="6" t="str">
        <f>IFERROR(__xludf.DUMMYFUNCTION("""COMPUTED_VALUE"""),"No")</f>
        <v>No</v>
      </c>
      <c r="F576" s="8" t="str">
        <f>IFERROR(__xludf.DUMMYFUNCTION("""COMPUTED_VALUE"""),"No")</f>
        <v>No</v>
      </c>
    </row>
    <row r="577">
      <c r="A577" s="5">
        <f>IFERROR(__xludf.DUMMYFUNCTION("""COMPUTED_VALUE"""),44685.0)</f>
        <v>44685</v>
      </c>
      <c r="B577" s="6" t="str">
        <f>IFERROR(__xludf.DUMMYFUNCTION("""COMPUTED_VALUE"""),"dinner")</f>
        <v>dinner</v>
      </c>
      <c r="C577" s="6" t="str">
        <f>IFERROR(__xludf.DUMMYFUNCTION("""COMPUTED_VALUE"""),"employee M")</f>
        <v>employee M</v>
      </c>
      <c r="D577" s="7">
        <f>IFERROR(__xludf.DUMMYFUNCTION("""COMPUTED_VALUE"""),72.61)</f>
        <v>72.61</v>
      </c>
      <c r="E577" s="6" t="str">
        <f>IFERROR(__xludf.DUMMYFUNCTION("""COMPUTED_VALUE"""),"No")</f>
        <v>No</v>
      </c>
      <c r="F577" s="8" t="str">
        <f>IFERROR(__xludf.DUMMYFUNCTION("""COMPUTED_VALUE"""),"No")</f>
        <v>No</v>
      </c>
    </row>
    <row r="578">
      <c r="A578" s="5">
        <f>IFERROR(__xludf.DUMMYFUNCTION("""COMPUTED_VALUE"""),44685.0)</f>
        <v>44685</v>
      </c>
      <c r="B578" s="6" t="str">
        <f>IFERROR(__xludf.DUMMYFUNCTION("""COMPUTED_VALUE"""),"dinner")</f>
        <v>dinner</v>
      </c>
      <c r="C578" s="6" t="str">
        <f>IFERROR(__xludf.DUMMYFUNCTION("""COMPUTED_VALUE"""),"employee I")</f>
        <v>employee I</v>
      </c>
      <c r="D578" s="7">
        <f>IFERROR(__xludf.DUMMYFUNCTION("""COMPUTED_VALUE"""),24.21)</f>
        <v>24.21</v>
      </c>
      <c r="E578" s="6" t="str">
        <f>IFERROR(__xludf.DUMMYFUNCTION("""COMPUTED_VALUE"""),"No")</f>
        <v>No</v>
      </c>
      <c r="F578" s="8" t="str">
        <f>IFERROR(__xludf.DUMMYFUNCTION("""COMPUTED_VALUE"""),"No")</f>
        <v>No</v>
      </c>
    </row>
    <row r="579">
      <c r="A579" s="5">
        <f>IFERROR(__xludf.DUMMYFUNCTION("""COMPUTED_VALUE"""),44686.0)</f>
        <v>44686</v>
      </c>
      <c r="B579" s="6" t="str">
        <f>IFERROR(__xludf.DUMMYFUNCTION("""COMPUTED_VALUE"""),"lunch")</f>
        <v>lunch</v>
      </c>
      <c r="C579" s="6" t="str">
        <f>IFERROR(__xludf.DUMMYFUNCTION("""COMPUTED_VALUE"""),"employee L")</f>
        <v>employee L</v>
      </c>
      <c r="D579" s="7">
        <f>IFERROR(__xludf.DUMMYFUNCTION("""COMPUTED_VALUE"""),116.1)</f>
        <v>116.1</v>
      </c>
      <c r="E579" s="6" t="str">
        <f>IFERROR(__xludf.DUMMYFUNCTION("""COMPUTED_VALUE"""),"No")</f>
        <v>No</v>
      </c>
      <c r="F579" s="8" t="str">
        <f>IFERROR(__xludf.DUMMYFUNCTION("""COMPUTED_VALUE"""),"No")</f>
        <v>No</v>
      </c>
    </row>
    <row r="580">
      <c r="A580" s="5">
        <f>IFERROR(__xludf.DUMMYFUNCTION("""COMPUTED_VALUE"""),44686.0)</f>
        <v>44686</v>
      </c>
      <c r="B580" s="6" t="str">
        <f>IFERROR(__xludf.DUMMYFUNCTION("""COMPUTED_VALUE"""),"dinner")</f>
        <v>dinner</v>
      </c>
      <c r="C580" s="6" t="str">
        <f>IFERROR(__xludf.DUMMYFUNCTION("""COMPUTED_VALUE"""),"employee J")</f>
        <v>employee J</v>
      </c>
      <c r="D580" s="7">
        <f>IFERROR(__xludf.DUMMYFUNCTION("""COMPUTED_VALUE"""),40.07)</f>
        <v>40.07</v>
      </c>
      <c r="E580" s="6" t="str">
        <f>IFERROR(__xludf.DUMMYFUNCTION("""COMPUTED_VALUE"""),"No")</f>
        <v>No</v>
      </c>
      <c r="F580" s="8" t="str">
        <f>IFERROR(__xludf.DUMMYFUNCTION("""COMPUTED_VALUE"""),"No")</f>
        <v>No</v>
      </c>
    </row>
    <row r="581">
      <c r="A581" s="5">
        <f>IFERROR(__xludf.DUMMYFUNCTION("""COMPUTED_VALUE"""),44686.0)</f>
        <v>44686</v>
      </c>
      <c r="B581" s="6" t="str">
        <f>IFERROR(__xludf.DUMMYFUNCTION("""COMPUTED_VALUE"""),"dinner")</f>
        <v>dinner</v>
      </c>
      <c r="C581" s="6" t="str">
        <f>IFERROR(__xludf.DUMMYFUNCTION("""COMPUTED_VALUE"""),"employee A")</f>
        <v>employee A</v>
      </c>
      <c r="D581" s="7">
        <f>IFERROR(__xludf.DUMMYFUNCTION("""COMPUTED_VALUE"""),45.08)</f>
        <v>45.08</v>
      </c>
      <c r="E581" s="6" t="str">
        <f>IFERROR(__xludf.DUMMYFUNCTION("""COMPUTED_VALUE"""),"No")</f>
        <v>No</v>
      </c>
      <c r="F581" s="8" t="str">
        <f>IFERROR(__xludf.DUMMYFUNCTION("""COMPUTED_VALUE"""),"No")</f>
        <v>No</v>
      </c>
    </row>
    <row r="582">
      <c r="A582" s="5">
        <f>IFERROR(__xludf.DUMMYFUNCTION("""COMPUTED_VALUE"""),44686.0)</f>
        <v>44686</v>
      </c>
      <c r="B582" s="6" t="str">
        <f>IFERROR(__xludf.DUMMYFUNCTION("""COMPUTED_VALUE"""),"dinner")</f>
        <v>dinner</v>
      </c>
      <c r="C582" s="6" t="str">
        <f>IFERROR(__xludf.DUMMYFUNCTION("""COMPUTED_VALUE"""),"employee G")</f>
        <v>employee G</v>
      </c>
      <c r="D582" s="7">
        <f>IFERROR(__xludf.DUMMYFUNCTION("""COMPUTED_VALUE"""),35.06)</f>
        <v>35.06</v>
      </c>
      <c r="E582" s="6" t="str">
        <f>IFERROR(__xludf.DUMMYFUNCTION("""COMPUTED_VALUE"""),"No")</f>
        <v>No</v>
      </c>
      <c r="F582" s="8" t="str">
        <f>IFERROR(__xludf.DUMMYFUNCTION("""COMPUTED_VALUE"""),"No")</f>
        <v>No</v>
      </c>
    </row>
    <row r="583">
      <c r="A583" s="5">
        <f>IFERROR(__xludf.DUMMYFUNCTION("""COMPUTED_VALUE"""),44687.0)</f>
        <v>44687</v>
      </c>
      <c r="B583" s="6" t="str">
        <f>IFERROR(__xludf.DUMMYFUNCTION("""COMPUTED_VALUE"""),"lunch")</f>
        <v>lunch</v>
      </c>
      <c r="C583" s="6" t="str">
        <f>IFERROR(__xludf.DUMMYFUNCTION("""COMPUTED_VALUE"""),"employee J")</f>
        <v>employee J</v>
      </c>
      <c r="D583" s="7">
        <f>IFERROR(__xludf.DUMMYFUNCTION("""COMPUTED_VALUE"""),137.16)</f>
        <v>137.16</v>
      </c>
      <c r="E583" s="6" t="str">
        <f>IFERROR(__xludf.DUMMYFUNCTION("""COMPUTED_VALUE"""),"No")</f>
        <v>No</v>
      </c>
      <c r="F583" s="8" t="str">
        <f>IFERROR(__xludf.DUMMYFUNCTION("""COMPUTED_VALUE"""),"No")</f>
        <v>No</v>
      </c>
    </row>
    <row r="584">
      <c r="A584" s="5">
        <f>IFERROR(__xludf.DUMMYFUNCTION("""COMPUTED_VALUE"""),44687.0)</f>
        <v>44687</v>
      </c>
      <c r="B584" s="6" t="str">
        <f>IFERROR(__xludf.DUMMYFUNCTION("""COMPUTED_VALUE"""),"lunch")</f>
        <v>lunch</v>
      </c>
      <c r="C584" s="6" t="str">
        <f>IFERROR(__xludf.DUMMYFUNCTION("""COMPUTED_VALUE"""),"employee P")</f>
        <v>employee P</v>
      </c>
      <c r="D584" s="7">
        <f>IFERROR(__xludf.DUMMYFUNCTION("""COMPUTED_VALUE"""),0.0)</f>
        <v>0</v>
      </c>
      <c r="E584" s="9" t="str">
        <f>IFERROR(__xludf.DUMMYFUNCTION("""COMPUTED_VALUE"""),"Yes")</f>
        <v>Yes</v>
      </c>
      <c r="F584" s="8" t="str">
        <f>IFERROR(__xludf.DUMMYFUNCTION("""COMPUTED_VALUE"""),"No")</f>
        <v>No</v>
      </c>
    </row>
    <row r="585">
      <c r="A585" s="5">
        <f>IFERROR(__xludf.DUMMYFUNCTION("""COMPUTED_VALUE"""),44687.0)</f>
        <v>44687</v>
      </c>
      <c r="B585" s="6" t="str">
        <f>IFERROR(__xludf.DUMMYFUNCTION("""COMPUTED_VALUE"""),"dinner")</f>
        <v>dinner</v>
      </c>
      <c r="C585" s="6" t="str">
        <f>IFERROR(__xludf.DUMMYFUNCTION("""COMPUTED_VALUE"""),"employee B")</f>
        <v>employee B</v>
      </c>
      <c r="D585" s="7">
        <f>IFERROR(__xludf.DUMMYFUNCTION("""COMPUTED_VALUE"""),114.57)</f>
        <v>114.57</v>
      </c>
      <c r="E585" s="6" t="str">
        <f>IFERROR(__xludf.DUMMYFUNCTION("""COMPUTED_VALUE"""),"No")</f>
        <v>No</v>
      </c>
      <c r="F585" s="8" t="str">
        <f>IFERROR(__xludf.DUMMYFUNCTION("""COMPUTED_VALUE"""),"No")</f>
        <v>No</v>
      </c>
    </row>
    <row r="586">
      <c r="A586" s="5">
        <f>IFERROR(__xludf.DUMMYFUNCTION("""COMPUTED_VALUE"""),44687.0)</f>
        <v>44687</v>
      </c>
      <c r="B586" s="6" t="str">
        <f>IFERROR(__xludf.DUMMYFUNCTION("""COMPUTED_VALUE"""),"dinner")</f>
        <v>dinner</v>
      </c>
      <c r="C586" s="6" t="str">
        <f>IFERROR(__xludf.DUMMYFUNCTION("""COMPUTED_VALUE"""),"employee M")</f>
        <v>employee M</v>
      </c>
      <c r="D586" s="7">
        <f>IFERROR(__xludf.DUMMYFUNCTION("""COMPUTED_VALUE"""),114.57)</f>
        <v>114.57</v>
      </c>
      <c r="E586" s="6" t="str">
        <f>IFERROR(__xludf.DUMMYFUNCTION("""COMPUTED_VALUE"""),"No")</f>
        <v>No</v>
      </c>
      <c r="F586" s="8" t="str">
        <f>IFERROR(__xludf.DUMMYFUNCTION("""COMPUTED_VALUE"""),"No")</f>
        <v>No</v>
      </c>
    </row>
    <row r="587">
      <c r="A587" s="5">
        <f>IFERROR(__xludf.DUMMYFUNCTION("""COMPUTED_VALUE"""),44687.0)</f>
        <v>44687</v>
      </c>
      <c r="B587" s="6" t="str">
        <f>IFERROR(__xludf.DUMMYFUNCTION("""COMPUTED_VALUE"""),"dinner")</f>
        <v>dinner</v>
      </c>
      <c r="C587" s="6" t="str">
        <f>IFERROR(__xludf.DUMMYFUNCTION("""COMPUTED_VALUE"""),"employee I")</f>
        <v>employee I</v>
      </c>
      <c r="D587" s="7">
        <f>IFERROR(__xludf.DUMMYFUNCTION("""COMPUTED_VALUE"""),89.09)</f>
        <v>89.09</v>
      </c>
      <c r="E587" s="6" t="str">
        <f>IFERROR(__xludf.DUMMYFUNCTION("""COMPUTED_VALUE"""),"No")</f>
        <v>No</v>
      </c>
      <c r="F587" s="8" t="str">
        <f>IFERROR(__xludf.DUMMYFUNCTION("""COMPUTED_VALUE"""),"No")</f>
        <v>No</v>
      </c>
    </row>
    <row r="588">
      <c r="A588" s="5">
        <f>IFERROR(__xludf.DUMMYFUNCTION("""COMPUTED_VALUE"""),44688.0)</f>
        <v>44688</v>
      </c>
      <c r="B588" s="6" t="str">
        <f>IFERROR(__xludf.DUMMYFUNCTION("""COMPUTED_VALUE"""),"lunch")</f>
        <v>lunch</v>
      </c>
      <c r="C588" s="6" t="str">
        <f>IFERROR(__xludf.DUMMYFUNCTION("""COMPUTED_VALUE"""),"employee B")</f>
        <v>employee B</v>
      </c>
      <c r="D588" s="7">
        <f>IFERROR(__xludf.DUMMYFUNCTION("""COMPUTED_VALUE"""),134.12)</f>
        <v>134.12</v>
      </c>
      <c r="E588" s="6" t="str">
        <f>IFERROR(__xludf.DUMMYFUNCTION("""COMPUTED_VALUE"""),"No")</f>
        <v>No</v>
      </c>
      <c r="F588" s="8" t="str">
        <f>IFERROR(__xludf.DUMMYFUNCTION("""COMPUTED_VALUE"""),"No")</f>
        <v>No</v>
      </c>
    </row>
    <row r="589">
      <c r="A589" s="5">
        <f>IFERROR(__xludf.DUMMYFUNCTION("""COMPUTED_VALUE"""),44688.0)</f>
        <v>44688</v>
      </c>
      <c r="B589" s="6" t="str">
        <f>IFERROR(__xludf.DUMMYFUNCTION("""COMPUTED_VALUE"""),"lunch")</f>
        <v>lunch</v>
      </c>
      <c r="C589" s="6" t="str">
        <f>IFERROR(__xludf.DUMMYFUNCTION("""COMPUTED_VALUE"""),"employee L")</f>
        <v>employee L</v>
      </c>
      <c r="D589" s="7">
        <f>IFERROR(__xludf.DUMMYFUNCTION("""COMPUTED_VALUE"""),95.79)</f>
        <v>95.79</v>
      </c>
      <c r="E589" s="6" t="str">
        <f>IFERROR(__xludf.DUMMYFUNCTION("""COMPUTED_VALUE"""),"No")</f>
        <v>No</v>
      </c>
      <c r="F589" s="8" t="str">
        <f>IFERROR(__xludf.DUMMYFUNCTION("""COMPUTED_VALUE"""),"No")</f>
        <v>No</v>
      </c>
    </row>
    <row r="590">
      <c r="A590" s="5">
        <f>IFERROR(__xludf.DUMMYFUNCTION("""COMPUTED_VALUE"""),44688.0)</f>
        <v>44688</v>
      </c>
      <c r="B590" s="6" t="str">
        <f>IFERROR(__xludf.DUMMYFUNCTION("""COMPUTED_VALUE"""),"lunch")</f>
        <v>lunch</v>
      </c>
      <c r="C590" s="6" t="str">
        <f>IFERROR(__xludf.DUMMYFUNCTION("""COMPUTED_VALUE"""),"employee G")</f>
        <v>employee G</v>
      </c>
      <c r="D590" s="7">
        <f>IFERROR(__xludf.DUMMYFUNCTION("""COMPUTED_VALUE"""),95.79)</f>
        <v>95.79</v>
      </c>
      <c r="E590" s="6" t="str">
        <f>IFERROR(__xludf.DUMMYFUNCTION("""COMPUTED_VALUE"""),"No")</f>
        <v>No</v>
      </c>
      <c r="F590" s="8" t="str">
        <f>IFERROR(__xludf.DUMMYFUNCTION("""COMPUTED_VALUE"""),"No")</f>
        <v>No</v>
      </c>
    </row>
    <row r="591">
      <c r="A591" s="5">
        <f>IFERROR(__xludf.DUMMYFUNCTION("""COMPUTED_VALUE"""),44688.0)</f>
        <v>44688</v>
      </c>
      <c r="B591" s="6" t="str">
        <f>IFERROR(__xludf.DUMMYFUNCTION("""COMPUTED_VALUE"""),"dinner")</f>
        <v>dinner</v>
      </c>
      <c r="C591" s="6" t="str">
        <f>IFERROR(__xludf.DUMMYFUNCTION("""COMPUTED_VALUE"""),"employee J")</f>
        <v>employee J</v>
      </c>
      <c r="D591" s="7">
        <f>IFERROR(__xludf.DUMMYFUNCTION("""COMPUTED_VALUE"""),63.35)</f>
        <v>63.35</v>
      </c>
      <c r="E591" s="6" t="str">
        <f>IFERROR(__xludf.DUMMYFUNCTION("""COMPUTED_VALUE"""),"No")</f>
        <v>No</v>
      </c>
      <c r="F591" s="8" t="str">
        <f>IFERROR(__xludf.DUMMYFUNCTION("""COMPUTED_VALUE"""),"No")</f>
        <v>No</v>
      </c>
    </row>
    <row r="592">
      <c r="A592" s="5">
        <f>IFERROR(__xludf.DUMMYFUNCTION("""COMPUTED_VALUE"""),44688.0)</f>
        <v>44688</v>
      </c>
      <c r="B592" s="6" t="str">
        <f>IFERROR(__xludf.DUMMYFUNCTION("""COMPUTED_VALUE"""),"dinner")</f>
        <v>dinner</v>
      </c>
      <c r="C592" s="6" t="str">
        <f>IFERROR(__xludf.DUMMYFUNCTION("""COMPUTED_VALUE"""),"employee L")</f>
        <v>employee L</v>
      </c>
      <c r="D592" s="7">
        <f>IFERROR(__xludf.DUMMYFUNCTION("""COMPUTED_VALUE"""),63.35)</f>
        <v>63.35</v>
      </c>
      <c r="E592" s="6" t="str">
        <f>IFERROR(__xludf.DUMMYFUNCTION("""COMPUTED_VALUE"""),"No")</f>
        <v>No</v>
      </c>
      <c r="F592" s="8" t="str">
        <f>IFERROR(__xludf.DUMMYFUNCTION("""COMPUTED_VALUE"""),"No")</f>
        <v>No</v>
      </c>
    </row>
    <row r="593">
      <c r="A593" s="5">
        <f>IFERROR(__xludf.DUMMYFUNCTION("""COMPUTED_VALUE"""),44688.0)</f>
        <v>44688</v>
      </c>
      <c r="B593" s="6" t="str">
        <f>IFERROR(__xludf.DUMMYFUNCTION("""COMPUTED_VALUE"""),"dinner")</f>
        <v>dinner</v>
      </c>
      <c r="C593" s="6" t="str">
        <f>IFERROR(__xludf.DUMMYFUNCTION("""COMPUTED_VALUE"""),"employee I")</f>
        <v>employee I</v>
      </c>
      <c r="D593" s="7">
        <f>IFERROR(__xludf.DUMMYFUNCTION("""COMPUTED_VALUE"""),49.27)</f>
        <v>49.27</v>
      </c>
      <c r="E593" s="6" t="str">
        <f>IFERROR(__xludf.DUMMYFUNCTION("""COMPUTED_VALUE"""),"No")</f>
        <v>No</v>
      </c>
      <c r="F593" s="8" t="str">
        <f>IFERROR(__xludf.DUMMYFUNCTION("""COMPUTED_VALUE"""),"No")</f>
        <v>No</v>
      </c>
    </row>
    <row r="594">
      <c r="A594" s="5">
        <f>IFERROR(__xludf.DUMMYFUNCTION("""COMPUTED_VALUE"""),44689.0)</f>
        <v>44689</v>
      </c>
      <c r="B594" s="6" t="str">
        <f>IFERROR(__xludf.DUMMYFUNCTION("""COMPUTED_VALUE"""),"lunch")</f>
        <v>lunch</v>
      </c>
      <c r="C594" s="6" t="str">
        <f>IFERROR(__xludf.DUMMYFUNCTION("""COMPUTED_VALUE"""),"employee B")</f>
        <v>employee B</v>
      </c>
      <c r="D594" s="7">
        <f>IFERROR(__xludf.DUMMYFUNCTION("""COMPUTED_VALUE"""),59.38)</f>
        <v>59.38</v>
      </c>
      <c r="E594" s="6" t="str">
        <f>IFERROR(__xludf.DUMMYFUNCTION("""COMPUTED_VALUE"""),"No")</f>
        <v>No</v>
      </c>
      <c r="F594" s="8" t="str">
        <f>IFERROR(__xludf.DUMMYFUNCTION("""COMPUTED_VALUE"""),"No")</f>
        <v>No</v>
      </c>
    </row>
    <row r="595">
      <c r="A595" s="5">
        <f>IFERROR(__xludf.DUMMYFUNCTION("""COMPUTED_VALUE"""),44689.0)</f>
        <v>44689</v>
      </c>
      <c r="B595" s="6" t="str">
        <f>IFERROR(__xludf.DUMMYFUNCTION("""COMPUTED_VALUE"""),"lunch")</f>
        <v>lunch</v>
      </c>
      <c r="C595" s="6" t="str">
        <f>IFERROR(__xludf.DUMMYFUNCTION("""COMPUTED_VALUE"""),"employee L")</f>
        <v>employee L</v>
      </c>
      <c r="D595" s="7">
        <f>IFERROR(__xludf.DUMMYFUNCTION("""COMPUTED_VALUE"""),83.13)</f>
        <v>83.13</v>
      </c>
      <c r="E595" s="6" t="str">
        <f>IFERROR(__xludf.DUMMYFUNCTION("""COMPUTED_VALUE"""),"No")</f>
        <v>No</v>
      </c>
      <c r="F595" s="8" t="str">
        <f>IFERROR(__xludf.DUMMYFUNCTION("""COMPUTED_VALUE"""),"No")</f>
        <v>No</v>
      </c>
    </row>
    <row r="596">
      <c r="A596" s="5">
        <f>IFERROR(__xludf.DUMMYFUNCTION("""COMPUTED_VALUE"""),44689.0)</f>
        <v>44689</v>
      </c>
      <c r="B596" s="6" t="str">
        <f>IFERROR(__xludf.DUMMYFUNCTION("""COMPUTED_VALUE"""),"lunch")</f>
        <v>lunch</v>
      </c>
      <c r="C596" s="6" t="str">
        <f>IFERROR(__xludf.DUMMYFUNCTION("""COMPUTED_VALUE"""),"employee G")</f>
        <v>employee G</v>
      </c>
      <c r="D596" s="7">
        <f>IFERROR(__xludf.DUMMYFUNCTION("""COMPUTED_VALUE"""),59.38)</f>
        <v>59.38</v>
      </c>
      <c r="E596" s="6" t="str">
        <f>IFERROR(__xludf.DUMMYFUNCTION("""COMPUTED_VALUE"""),"No")</f>
        <v>No</v>
      </c>
      <c r="F596" s="8" t="str">
        <f>IFERROR(__xludf.DUMMYFUNCTION("""COMPUTED_VALUE"""),"No")</f>
        <v>No</v>
      </c>
    </row>
    <row r="597">
      <c r="A597" s="5">
        <f>IFERROR(__xludf.DUMMYFUNCTION("""COMPUTED_VALUE"""),44689.0)</f>
        <v>44689</v>
      </c>
      <c r="B597" s="6" t="str">
        <f>IFERROR(__xludf.DUMMYFUNCTION("""COMPUTED_VALUE"""),"lunch")</f>
        <v>lunch</v>
      </c>
      <c r="C597" s="6" t="str">
        <f>IFERROR(__xludf.DUMMYFUNCTION("""COMPUTED_VALUE"""),"employee J")</f>
        <v>employee J</v>
      </c>
      <c r="D597" s="7">
        <f>IFERROR(__xludf.DUMMYFUNCTION("""COMPUTED_VALUE"""),55.46)</f>
        <v>55.46</v>
      </c>
      <c r="E597" s="6" t="str">
        <f>IFERROR(__xludf.DUMMYFUNCTION("""COMPUTED_VALUE"""),"No")</f>
        <v>No</v>
      </c>
      <c r="F597" s="8" t="str">
        <f>IFERROR(__xludf.DUMMYFUNCTION("""COMPUTED_VALUE"""),"No")</f>
        <v>No</v>
      </c>
    </row>
    <row r="598">
      <c r="A598" s="5">
        <f>IFERROR(__xludf.DUMMYFUNCTION("""COMPUTED_VALUE"""),44689.0)</f>
        <v>44689</v>
      </c>
      <c r="B598" s="6" t="str">
        <f>IFERROR(__xludf.DUMMYFUNCTION("""COMPUTED_VALUE"""),"dinner")</f>
        <v>dinner</v>
      </c>
      <c r="C598" s="6" t="str">
        <f>IFERROR(__xludf.DUMMYFUNCTION("""COMPUTED_VALUE"""),"employee B")</f>
        <v>employee B</v>
      </c>
      <c r="D598" s="7">
        <f>IFERROR(__xludf.DUMMYFUNCTION("""COMPUTED_VALUE"""),89.5)</f>
        <v>89.5</v>
      </c>
      <c r="E598" s="6" t="str">
        <f>IFERROR(__xludf.DUMMYFUNCTION("""COMPUTED_VALUE"""),"No")</f>
        <v>No</v>
      </c>
      <c r="F598" s="8" t="str">
        <f>IFERROR(__xludf.DUMMYFUNCTION("""COMPUTED_VALUE"""),"No")</f>
        <v>No</v>
      </c>
    </row>
    <row r="599">
      <c r="A599" s="5">
        <f>IFERROR(__xludf.DUMMYFUNCTION("""COMPUTED_VALUE"""),44689.0)</f>
        <v>44689</v>
      </c>
      <c r="B599" s="6" t="str">
        <f>IFERROR(__xludf.DUMMYFUNCTION("""COMPUTED_VALUE"""),"dinner")</f>
        <v>dinner</v>
      </c>
      <c r="C599" s="6" t="str">
        <f>IFERROR(__xludf.DUMMYFUNCTION("""COMPUTED_VALUE"""),"employee L")</f>
        <v>employee L</v>
      </c>
      <c r="D599" s="7">
        <f>IFERROR(__xludf.DUMMYFUNCTION("""COMPUTED_VALUE"""),69.63)</f>
        <v>69.63</v>
      </c>
      <c r="E599" s="6" t="str">
        <f>IFERROR(__xludf.DUMMYFUNCTION("""COMPUTED_VALUE"""),"No")</f>
        <v>No</v>
      </c>
      <c r="F599" s="8" t="str">
        <f>IFERROR(__xludf.DUMMYFUNCTION("""COMPUTED_VALUE"""),"No")</f>
        <v>No</v>
      </c>
    </row>
    <row r="600">
      <c r="A600" s="5">
        <f>IFERROR(__xludf.DUMMYFUNCTION("""COMPUTED_VALUE"""),44689.0)</f>
        <v>44689</v>
      </c>
      <c r="B600" s="6" t="str">
        <f>IFERROR(__xludf.DUMMYFUNCTION("""COMPUTED_VALUE"""),"dinner")</f>
        <v>dinner</v>
      </c>
      <c r="C600" s="6" t="str">
        <f>IFERROR(__xludf.DUMMYFUNCTION("""COMPUTED_VALUE"""),"employee G")</f>
        <v>employee G</v>
      </c>
      <c r="D600" s="7">
        <f>IFERROR(__xludf.DUMMYFUNCTION("""COMPUTED_VALUE"""),89.5)</f>
        <v>89.5</v>
      </c>
      <c r="E600" s="6" t="str">
        <f>IFERROR(__xludf.DUMMYFUNCTION("""COMPUTED_VALUE"""),"No")</f>
        <v>No</v>
      </c>
      <c r="F600" s="8" t="str">
        <f>IFERROR(__xludf.DUMMYFUNCTION("""COMPUTED_VALUE"""),"No")</f>
        <v>No</v>
      </c>
    </row>
    <row r="601">
      <c r="A601" s="5">
        <f>IFERROR(__xludf.DUMMYFUNCTION("""COMPUTED_VALUE"""),44690.0)</f>
        <v>44690</v>
      </c>
      <c r="B601" s="6" t="str">
        <f>IFERROR(__xludf.DUMMYFUNCTION("""COMPUTED_VALUE"""),"lunch")</f>
        <v>lunch</v>
      </c>
      <c r="C601" s="6" t="str">
        <f>IFERROR(__xludf.DUMMYFUNCTION("""COMPUTED_VALUE"""),"employee J")</f>
        <v>employee J</v>
      </c>
      <c r="D601" s="7">
        <f>IFERROR(__xludf.DUMMYFUNCTION("""COMPUTED_VALUE"""),85.39)</f>
        <v>85.39</v>
      </c>
      <c r="E601" s="6" t="str">
        <f>IFERROR(__xludf.DUMMYFUNCTION("""COMPUTED_VALUE"""),"No")</f>
        <v>No</v>
      </c>
      <c r="F601" s="8" t="str">
        <f>IFERROR(__xludf.DUMMYFUNCTION("""COMPUTED_VALUE"""),"No")</f>
        <v>No</v>
      </c>
    </row>
    <row r="602">
      <c r="A602" s="5">
        <f>IFERROR(__xludf.DUMMYFUNCTION("""COMPUTED_VALUE"""),44690.0)</f>
        <v>44690</v>
      </c>
      <c r="B602" s="6" t="str">
        <f>IFERROR(__xludf.DUMMYFUNCTION("""COMPUTED_VALUE"""),"dinner")</f>
        <v>dinner</v>
      </c>
      <c r="C602" s="6" t="str">
        <f>IFERROR(__xludf.DUMMYFUNCTION("""COMPUTED_VALUE"""),"employee J")</f>
        <v>employee J</v>
      </c>
      <c r="D602" s="7">
        <f>IFERROR(__xludf.DUMMYFUNCTION("""COMPUTED_VALUE"""),68.2)</f>
        <v>68.2</v>
      </c>
      <c r="E602" s="6" t="str">
        <f>IFERROR(__xludf.DUMMYFUNCTION("""COMPUTED_VALUE"""),"No")</f>
        <v>No</v>
      </c>
      <c r="F602" s="8" t="str">
        <f>IFERROR(__xludf.DUMMYFUNCTION("""COMPUTED_VALUE"""),"No")</f>
        <v>No</v>
      </c>
    </row>
    <row r="603">
      <c r="A603" s="5">
        <f>IFERROR(__xludf.DUMMYFUNCTION("""COMPUTED_VALUE"""),44690.0)</f>
        <v>44690</v>
      </c>
      <c r="B603" s="6" t="str">
        <f>IFERROR(__xludf.DUMMYFUNCTION("""COMPUTED_VALUE"""),"dinner")</f>
        <v>dinner</v>
      </c>
      <c r="C603" s="6" t="str">
        <f>IFERROR(__xludf.DUMMYFUNCTION("""COMPUTED_VALUE"""),"employee A")</f>
        <v>employee A</v>
      </c>
      <c r="D603" s="7">
        <f>IFERROR(__xludf.DUMMYFUNCTION("""COMPUTED_VALUE"""),76.67)</f>
        <v>76.67</v>
      </c>
      <c r="E603" s="6" t="str">
        <f>IFERROR(__xludf.DUMMYFUNCTION("""COMPUTED_VALUE"""),"No")</f>
        <v>No</v>
      </c>
      <c r="F603" s="8" t="str">
        <f>IFERROR(__xludf.DUMMYFUNCTION("""COMPUTED_VALUE"""),"No")</f>
        <v>No</v>
      </c>
    </row>
    <row r="604">
      <c r="A604" s="5">
        <f>IFERROR(__xludf.DUMMYFUNCTION("""COMPUTED_VALUE"""),44690.0)</f>
        <v>44690</v>
      </c>
      <c r="B604" s="6" t="str">
        <f>IFERROR(__xludf.DUMMYFUNCTION("""COMPUTED_VALUE"""),"dinner")</f>
        <v>dinner</v>
      </c>
      <c r="C604" s="6" t="str">
        <f>IFERROR(__xludf.DUMMYFUNCTION("""COMPUTED_VALUE"""),"employee G")</f>
        <v>employee G</v>
      </c>
      <c r="D604" s="7">
        <f>IFERROR(__xludf.DUMMYFUNCTION("""COMPUTED_VALUE"""),51.15)</f>
        <v>51.15</v>
      </c>
      <c r="E604" s="6" t="str">
        <f>IFERROR(__xludf.DUMMYFUNCTION("""COMPUTED_VALUE"""),"No")</f>
        <v>No</v>
      </c>
      <c r="F604" s="8" t="str">
        <f>IFERROR(__xludf.DUMMYFUNCTION("""COMPUTED_VALUE"""),"No")</f>
        <v>No</v>
      </c>
    </row>
    <row r="605">
      <c r="A605" s="5">
        <f>IFERROR(__xludf.DUMMYFUNCTION("""COMPUTED_VALUE"""),44691.0)</f>
        <v>44691</v>
      </c>
      <c r="B605" s="6" t="str">
        <f>IFERROR(__xludf.DUMMYFUNCTION("""COMPUTED_VALUE"""),"lunch")</f>
        <v>lunch</v>
      </c>
      <c r="C605" s="6" t="str">
        <f>IFERROR(__xludf.DUMMYFUNCTION("""COMPUTED_VALUE"""),"employee A")</f>
        <v>employee A</v>
      </c>
      <c r="D605" s="7">
        <f>IFERROR(__xludf.DUMMYFUNCTION("""COMPUTED_VALUE"""),132.62)</f>
        <v>132.62</v>
      </c>
      <c r="E605" s="6" t="str">
        <f>IFERROR(__xludf.DUMMYFUNCTION("""COMPUTED_VALUE"""),"No")</f>
        <v>No</v>
      </c>
      <c r="F605" s="8" t="str">
        <f>IFERROR(__xludf.DUMMYFUNCTION("""COMPUTED_VALUE"""),"No")</f>
        <v>No</v>
      </c>
    </row>
    <row r="606">
      <c r="A606" s="5">
        <f>IFERROR(__xludf.DUMMYFUNCTION("""COMPUTED_VALUE"""),44691.0)</f>
        <v>44691</v>
      </c>
      <c r="B606" s="6" t="str">
        <f>IFERROR(__xludf.DUMMYFUNCTION("""COMPUTED_VALUE"""),"dinner")</f>
        <v>dinner</v>
      </c>
      <c r="C606" s="6" t="str">
        <f>IFERROR(__xludf.DUMMYFUNCTION("""COMPUTED_VALUE"""),"employee J")</f>
        <v>employee J</v>
      </c>
      <c r="D606" s="7">
        <f>IFERROR(__xludf.DUMMYFUNCTION("""COMPUTED_VALUE"""),67.13)</f>
        <v>67.13</v>
      </c>
      <c r="E606" s="6" t="str">
        <f>IFERROR(__xludf.DUMMYFUNCTION("""COMPUTED_VALUE"""),"No")</f>
        <v>No</v>
      </c>
      <c r="F606" s="8" t="str">
        <f>IFERROR(__xludf.DUMMYFUNCTION("""COMPUTED_VALUE"""),"No")</f>
        <v>No</v>
      </c>
    </row>
    <row r="607">
      <c r="A607" s="5">
        <f>IFERROR(__xludf.DUMMYFUNCTION("""COMPUTED_VALUE"""),44691.0)</f>
        <v>44691</v>
      </c>
      <c r="B607" s="6" t="str">
        <f>IFERROR(__xludf.DUMMYFUNCTION("""COMPUTED_VALUE"""),"dinner")</f>
        <v>dinner</v>
      </c>
      <c r="C607" s="6" t="str">
        <f>IFERROR(__xludf.DUMMYFUNCTION("""COMPUTED_VALUE"""),"employee P")</f>
        <v>employee P</v>
      </c>
      <c r="D607" s="7">
        <f>IFERROR(__xludf.DUMMYFUNCTION("""COMPUTED_VALUE"""),0.0)</f>
        <v>0</v>
      </c>
      <c r="E607" s="9" t="str">
        <f>IFERROR(__xludf.DUMMYFUNCTION("""COMPUTED_VALUE"""),"Yes")</f>
        <v>Yes</v>
      </c>
      <c r="F607" s="8" t="str">
        <f>IFERROR(__xludf.DUMMYFUNCTION("""COMPUTED_VALUE"""),"No")</f>
        <v>No</v>
      </c>
    </row>
    <row r="608">
      <c r="A608" s="5">
        <f>IFERROR(__xludf.DUMMYFUNCTION("""COMPUTED_VALUE"""),44691.0)</f>
        <v>44691</v>
      </c>
      <c r="B608" s="6" t="str">
        <f>IFERROR(__xludf.DUMMYFUNCTION("""COMPUTED_VALUE"""),"dinner")</f>
        <v>dinner</v>
      </c>
      <c r="C608" s="6" t="str">
        <f>IFERROR(__xludf.DUMMYFUNCTION("""COMPUTED_VALUE"""),"employee I")</f>
        <v>employee I</v>
      </c>
      <c r="D608" s="7">
        <f>IFERROR(__xludf.DUMMYFUNCTION("""COMPUTED_VALUE"""),52.21)</f>
        <v>52.21</v>
      </c>
      <c r="E608" s="6" t="str">
        <f>IFERROR(__xludf.DUMMYFUNCTION("""COMPUTED_VALUE"""),"No")</f>
        <v>No</v>
      </c>
      <c r="F608" s="8" t="str">
        <f>IFERROR(__xludf.DUMMYFUNCTION("""COMPUTED_VALUE"""),"No")</f>
        <v>No</v>
      </c>
    </row>
    <row r="609">
      <c r="A609" s="5">
        <f>IFERROR(__xludf.DUMMYFUNCTION("""COMPUTED_VALUE"""),44692.0)</f>
        <v>44692</v>
      </c>
      <c r="B609" s="6" t="str">
        <f>IFERROR(__xludf.DUMMYFUNCTION("""COMPUTED_VALUE"""),"lunch")</f>
        <v>lunch</v>
      </c>
      <c r="C609" s="6" t="str">
        <f>IFERROR(__xludf.DUMMYFUNCTION("""COMPUTED_VALUE"""),"employee A")</f>
        <v>employee A</v>
      </c>
      <c r="D609" s="7">
        <f>IFERROR(__xludf.DUMMYFUNCTION("""COMPUTED_VALUE"""),128.69)</f>
        <v>128.69</v>
      </c>
      <c r="E609" s="6" t="str">
        <f>IFERROR(__xludf.DUMMYFUNCTION("""COMPUTED_VALUE"""),"No")</f>
        <v>No</v>
      </c>
      <c r="F609" s="8" t="str">
        <f>IFERROR(__xludf.DUMMYFUNCTION("""COMPUTED_VALUE"""),"No")</f>
        <v>No</v>
      </c>
    </row>
    <row r="610">
      <c r="A610" s="5">
        <f>IFERROR(__xludf.DUMMYFUNCTION("""COMPUTED_VALUE"""),44692.0)</f>
        <v>44692</v>
      </c>
      <c r="B610" s="6" t="str">
        <f>IFERROR(__xludf.DUMMYFUNCTION("""COMPUTED_VALUE"""),"dinner")</f>
        <v>dinner</v>
      </c>
      <c r="C610" s="6" t="str">
        <f>IFERROR(__xludf.DUMMYFUNCTION("""COMPUTED_VALUE"""),"employee I")</f>
        <v>employee I</v>
      </c>
      <c r="D610" s="7">
        <f>IFERROR(__xludf.DUMMYFUNCTION("""COMPUTED_VALUE"""),49.07)</f>
        <v>49.07</v>
      </c>
      <c r="E610" s="6" t="str">
        <f>IFERROR(__xludf.DUMMYFUNCTION("""COMPUTED_VALUE"""),"No")</f>
        <v>No</v>
      </c>
      <c r="F610" s="8" t="str">
        <f>IFERROR(__xludf.DUMMYFUNCTION("""COMPUTED_VALUE"""),"No")</f>
        <v>No</v>
      </c>
    </row>
    <row r="611">
      <c r="A611" s="5">
        <f>IFERROR(__xludf.DUMMYFUNCTION("""COMPUTED_VALUE"""),44692.0)</f>
        <v>44692</v>
      </c>
      <c r="B611" s="6" t="str">
        <f>IFERROR(__xludf.DUMMYFUNCTION("""COMPUTED_VALUE"""),"dinner")</f>
        <v>dinner</v>
      </c>
      <c r="C611" s="6" t="str">
        <f>IFERROR(__xludf.DUMMYFUNCTION("""COMPUTED_VALUE"""),"employee J")</f>
        <v>employee J</v>
      </c>
      <c r="D611" s="7">
        <f>IFERROR(__xludf.DUMMYFUNCTION("""COMPUTED_VALUE"""),35.06)</f>
        <v>35.06</v>
      </c>
      <c r="E611" s="6" t="str">
        <f>IFERROR(__xludf.DUMMYFUNCTION("""COMPUTED_VALUE"""),"No")</f>
        <v>No</v>
      </c>
      <c r="F611" s="8" t="str">
        <f>IFERROR(__xludf.DUMMYFUNCTION("""COMPUTED_VALUE"""),"No")</f>
        <v>No</v>
      </c>
    </row>
    <row r="612">
      <c r="A612" s="5">
        <f>IFERROR(__xludf.DUMMYFUNCTION("""COMPUTED_VALUE"""),44692.0)</f>
        <v>44692</v>
      </c>
      <c r="B612" s="6" t="str">
        <f>IFERROR(__xludf.DUMMYFUNCTION("""COMPUTED_VALUE"""),"dinner")</f>
        <v>dinner</v>
      </c>
      <c r="C612" s="6" t="str">
        <f>IFERROR(__xludf.DUMMYFUNCTION("""COMPUTED_VALUE"""),"employee A")</f>
        <v>employee A</v>
      </c>
      <c r="D612" s="7">
        <f>IFERROR(__xludf.DUMMYFUNCTION("""COMPUTED_VALUE"""),63.09)</f>
        <v>63.09</v>
      </c>
      <c r="E612" s="6" t="str">
        <f>IFERROR(__xludf.DUMMYFUNCTION("""COMPUTED_VALUE"""),"No")</f>
        <v>No</v>
      </c>
      <c r="F612" s="8" t="str">
        <f>IFERROR(__xludf.DUMMYFUNCTION("""COMPUTED_VALUE"""),"No")</f>
        <v>No</v>
      </c>
    </row>
    <row r="613">
      <c r="A613" s="5">
        <f>IFERROR(__xludf.DUMMYFUNCTION("""COMPUTED_VALUE"""),44693.0)</f>
        <v>44693</v>
      </c>
      <c r="B613" s="6" t="str">
        <f>IFERROR(__xludf.DUMMYFUNCTION("""COMPUTED_VALUE"""),"lunch")</f>
        <v>lunch</v>
      </c>
      <c r="C613" s="6" t="str">
        <f>IFERROR(__xludf.DUMMYFUNCTION("""COMPUTED_VALUE"""),"employee L")</f>
        <v>employee L</v>
      </c>
      <c r="D613" s="7">
        <f>IFERROR(__xludf.DUMMYFUNCTION("""COMPUTED_VALUE"""),112.17)</f>
        <v>112.17</v>
      </c>
      <c r="E613" s="6" t="str">
        <f>IFERROR(__xludf.DUMMYFUNCTION("""COMPUTED_VALUE"""),"No")</f>
        <v>No</v>
      </c>
      <c r="F613" s="8" t="str">
        <f>IFERROR(__xludf.DUMMYFUNCTION("""COMPUTED_VALUE"""),"No")</f>
        <v>No</v>
      </c>
    </row>
    <row r="614">
      <c r="A614" s="5">
        <f>IFERROR(__xludf.DUMMYFUNCTION("""COMPUTED_VALUE"""),44693.0)</f>
        <v>44693</v>
      </c>
      <c r="B614" s="6" t="str">
        <f>IFERROR(__xludf.DUMMYFUNCTION("""COMPUTED_VALUE"""),"dinner")</f>
        <v>dinner</v>
      </c>
      <c r="C614" s="6" t="str">
        <f>IFERROR(__xludf.DUMMYFUNCTION("""COMPUTED_VALUE"""),"employee L")</f>
        <v>employee L</v>
      </c>
      <c r="D614" s="7">
        <f>IFERROR(__xludf.DUMMYFUNCTION("""COMPUTED_VALUE"""),17.28)</f>
        <v>17.28</v>
      </c>
      <c r="E614" s="6" t="str">
        <f>IFERROR(__xludf.DUMMYFUNCTION("""COMPUTED_VALUE"""),"No")</f>
        <v>No</v>
      </c>
      <c r="F614" s="8" t="str">
        <f>IFERROR(__xludf.DUMMYFUNCTION("""COMPUTED_VALUE"""),"No")</f>
        <v>No</v>
      </c>
    </row>
    <row r="615">
      <c r="A615" s="5">
        <f>IFERROR(__xludf.DUMMYFUNCTION("""COMPUTED_VALUE"""),44693.0)</f>
        <v>44693</v>
      </c>
      <c r="B615" s="6" t="str">
        <f>IFERROR(__xludf.DUMMYFUNCTION("""COMPUTED_VALUE"""),"dinner")</f>
        <v>dinner</v>
      </c>
      <c r="C615" s="6" t="str">
        <f>IFERROR(__xludf.DUMMYFUNCTION("""COMPUTED_VALUE"""),"employee J")</f>
        <v>employee J</v>
      </c>
      <c r="D615" s="7">
        <f>IFERROR(__xludf.DUMMYFUNCTION("""COMPUTED_VALUE"""),77.78)</f>
        <v>77.78</v>
      </c>
      <c r="E615" s="6" t="str">
        <f>IFERROR(__xludf.DUMMYFUNCTION("""COMPUTED_VALUE"""),"No")</f>
        <v>No</v>
      </c>
      <c r="F615" s="8" t="str">
        <f>IFERROR(__xludf.DUMMYFUNCTION("""COMPUTED_VALUE"""),"No")</f>
        <v>No</v>
      </c>
    </row>
    <row r="616">
      <c r="A616" s="5">
        <f>IFERROR(__xludf.DUMMYFUNCTION("""COMPUTED_VALUE"""),44693.0)</f>
        <v>44693</v>
      </c>
      <c r="B616" s="6" t="str">
        <f>IFERROR(__xludf.DUMMYFUNCTION("""COMPUTED_VALUE"""),"dinner")</f>
        <v>dinner</v>
      </c>
      <c r="C616" s="6" t="str">
        <f>IFERROR(__xludf.DUMMYFUNCTION("""COMPUTED_VALUE"""),"employee I")</f>
        <v>employee I</v>
      </c>
      <c r="D616" s="7">
        <f>IFERROR(__xludf.DUMMYFUNCTION("""COMPUTED_VALUE"""),60.49)</f>
        <v>60.49</v>
      </c>
      <c r="E616" s="6" t="str">
        <f>IFERROR(__xludf.DUMMYFUNCTION("""COMPUTED_VALUE"""),"No")</f>
        <v>No</v>
      </c>
      <c r="F616" s="8" t="str">
        <f>IFERROR(__xludf.DUMMYFUNCTION("""COMPUTED_VALUE"""),"No")</f>
        <v>No</v>
      </c>
    </row>
    <row r="617">
      <c r="A617" s="5">
        <f>IFERROR(__xludf.DUMMYFUNCTION("""COMPUTED_VALUE"""),44693.0)</f>
        <v>44693</v>
      </c>
      <c r="B617" s="6" t="str">
        <f>IFERROR(__xludf.DUMMYFUNCTION("""COMPUTED_VALUE"""),"dinner")</f>
        <v>dinner</v>
      </c>
      <c r="C617" s="6" t="str">
        <f>IFERROR(__xludf.DUMMYFUNCTION("""COMPUTED_VALUE"""),"employee A")</f>
        <v>employee A</v>
      </c>
      <c r="D617" s="7">
        <f>IFERROR(__xludf.DUMMYFUNCTION("""COMPUTED_VALUE"""),60.49)</f>
        <v>60.49</v>
      </c>
      <c r="E617" s="6" t="str">
        <f>IFERROR(__xludf.DUMMYFUNCTION("""COMPUTED_VALUE"""),"No")</f>
        <v>No</v>
      </c>
      <c r="F617" s="8" t="str">
        <f>IFERROR(__xludf.DUMMYFUNCTION("""COMPUTED_VALUE"""),"No")</f>
        <v>No</v>
      </c>
    </row>
    <row r="618">
      <c r="A618" s="5">
        <f>IFERROR(__xludf.DUMMYFUNCTION("""COMPUTED_VALUE"""),44694.0)</f>
        <v>44694</v>
      </c>
      <c r="B618" s="6" t="str">
        <f>IFERROR(__xludf.DUMMYFUNCTION("""COMPUTED_VALUE"""),"lunch")</f>
        <v>lunch</v>
      </c>
      <c r="C618" s="6" t="str">
        <f>IFERROR(__xludf.DUMMYFUNCTION("""COMPUTED_VALUE"""),"employee B")</f>
        <v>employee B</v>
      </c>
      <c r="D618" s="7">
        <f>IFERROR(__xludf.DUMMYFUNCTION("""COMPUTED_VALUE"""),136.45)</f>
        <v>136.45</v>
      </c>
      <c r="E618" s="6" t="str">
        <f>IFERROR(__xludf.DUMMYFUNCTION("""COMPUTED_VALUE"""),"No")</f>
        <v>No</v>
      </c>
      <c r="F618" s="8" t="str">
        <f>IFERROR(__xludf.DUMMYFUNCTION("""COMPUTED_VALUE"""),"No")</f>
        <v>No</v>
      </c>
    </row>
    <row r="619">
      <c r="A619" s="5">
        <f>IFERROR(__xludf.DUMMYFUNCTION("""COMPUTED_VALUE"""),44694.0)</f>
        <v>44694</v>
      </c>
      <c r="B619" s="6" t="str">
        <f>IFERROR(__xludf.DUMMYFUNCTION("""COMPUTED_VALUE"""),"lunch")</f>
        <v>lunch</v>
      </c>
      <c r="C619" s="6" t="str">
        <f>IFERROR(__xludf.DUMMYFUNCTION("""COMPUTED_VALUE"""),"employee P")</f>
        <v>employee P</v>
      </c>
      <c r="D619" s="7">
        <f>IFERROR(__xludf.DUMMYFUNCTION("""COMPUTED_VALUE"""),0.0)</f>
        <v>0</v>
      </c>
      <c r="E619" s="9" t="str">
        <f>IFERROR(__xludf.DUMMYFUNCTION("""COMPUTED_VALUE"""),"Yes")</f>
        <v>Yes</v>
      </c>
      <c r="F619" s="8" t="str">
        <f>IFERROR(__xludf.DUMMYFUNCTION("""COMPUTED_VALUE"""),"No")</f>
        <v>No</v>
      </c>
    </row>
    <row r="620">
      <c r="A620" s="5">
        <f>IFERROR(__xludf.DUMMYFUNCTION("""COMPUTED_VALUE"""),44694.0)</f>
        <v>44694</v>
      </c>
      <c r="B620" s="6" t="str">
        <f>IFERROR(__xludf.DUMMYFUNCTION("""COMPUTED_VALUE"""),"dinner")</f>
        <v>dinner</v>
      </c>
      <c r="C620" s="6" t="str">
        <f>IFERROR(__xludf.DUMMYFUNCTION("""COMPUTED_VALUE"""),"employee J")</f>
        <v>employee J</v>
      </c>
      <c r="D620" s="7">
        <f>IFERROR(__xludf.DUMMYFUNCTION("""COMPUTED_VALUE"""),99.55)</f>
        <v>99.55</v>
      </c>
      <c r="E620" s="6" t="str">
        <f>IFERROR(__xludf.DUMMYFUNCTION("""COMPUTED_VALUE"""),"No")</f>
        <v>No</v>
      </c>
      <c r="F620" s="8" t="str">
        <f>IFERROR(__xludf.DUMMYFUNCTION("""COMPUTED_VALUE"""),"No")</f>
        <v>No</v>
      </c>
    </row>
    <row r="621">
      <c r="A621" s="5">
        <f>IFERROR(__xludf.DUMMYFUNCTION("""COMPUTED_VALUE"""),44694.0)</f>
        <v>44694</v>
      </c>
      <c r="B621" s="6" t="str">
        <f>IFERROR(__xludf.DUMMYFUNCTION("""COMPUTED_VALUE"""),"dinner")</f>
        <v>dinner</v>
      </c>
      <c r="C621" s="6" t="str">
        <f>IFERROR(__xludf.DUMMYFUNCTION("""COMPUTED_VALUE"""),"employee L")</f>
        <v>employee L</v>
      </c>
      <c r="D621" s="7">
        <f>IFERROR(__xludf.DUMMYFUNCTION("""COMPUTED_VALUE"""),99.55)</f>
        <v>99.55</v>
      </c>
      <c r="E621" s="6" t="str">
        <f>IFERROR(__xludf.DUMMYFUNCTION("""COMPUTED_VALUE"""),"No")</f>
        <v>No</v>
      </c>
      <c r="F621" s="8" t="str">
        <f>IFERROR(__xludf.DUMMYFUNCTION("""COMPUTED_VALUE"""),"No")</f>
        <v>No</v>
      </c>
    </row>
    <row r="622">
      <c r="A622" s="5">
        <f>IFERROR(__xludf.DUMMYFUNCTION("""COMPUTED_VALUE"""),44694.0)</f>
        <v>44694</v>
      </c>
      <c r="B622" s="6" t="str">
        <f>IFERROR(__xludf.DUMMYFUNCTION("""COMPUTED_VALUE"""),"dinner")</f>
        <v>dinner</v>
      </c>
      <c r="C622" s="6" t="str">
        <f>IFERROR(__xludf.DUMMYFUNCTION("""COMPUTED_VALUE"""),"employee G")</f>
        <v>employee G</v>
      </c>
      <c r="D622" s="7">
        <f>IFERROR(__xludf.DUMMYFUNCTION("""COMPUTED_VALUE"""),44.25)</f>
        <v>44.25</v>
      </c>
      <c r="E622" s="6" t="str">
        <f>IFERROR(__xludf.DUMMYFUNCTION("""COMPUTED_VALUE"""),"No")</f>
        <v>No</v>
      </c>
      <c r="F622" s="8" t="str">
        <f>IFERROR(__xludf.DUMMYFUNCTION("""COMPUTED_VALUE"""),"No")</f>
        <v>No</v>
      </c>
    </row>
    <row r="623">
      <c r="A623" s="5">
        <f>IFERROR(__xludf.DUMMYFUNCTION("""COMPUTED_VALUE"""),44695.0)</f>
        <v>44695</v>
      </c>
      <c r="B623" s="6" t="str">
        <f>IFERROR(__xludf.DUMMYFUNCTION("""COMPUTED_VALUE"""),"lunch")</f>
        <v>lunch</v>
      </c>
      <c r="C623" s="6" t="str">
        <f>IFERROR(__xludf.DUMMYFUNCTION("""COMPUTED_VALUE"""),"employee B")</f>
        <v>employee B</v>
      </c>
      <c r="D623" s="7">
        <f>IFERROR(__xludf.DUMMYFUNCTION("""COMPUTED_VALUE"""),48.82)</f>
        <v>48.82</v>
      </c>
      <c r="E623" s="6" t="str">
        <f>IFERROR(__xludf.DUMMYFUNCTION("""COMPUTED_VALUE"""),"No")</f>
        <v>No</v>
      </c>
      <c r="F623" s="8" t="str">
        <f>IFERROR(__xludf.DUMMYFUNCTION("""COMPUTED_VALUE"""),"No")</f>
        <v>No</v>
      </c>
    </row>
    <row r="624">
      <c r="A624" s="5">
        <f>IFERROR(__xludf.DUMMYFUNCTION("""COMPUTED_VALUE"""),44695.0)</f>
        <v>44695</v>
      </c>
      <c r="B624" s="6" t="str">
        <f>IFERROR(__xludf.DUMMYFUNCTION("""COMPUTED_VALUE"""),"lunch")</f>
        <v>lunch</v>
      </c>
      <c r="C624" s="6" t="str">
        <f>IFERROR(__xludf.DUMMYFUNCTION("""COMPUTED_VALUE"""),"employee L")</f>
        <v>employee L</v>
      </c>
      <c r="D624" s="7">
        <f>IFERROR(__xludf.DUMMYFUNCTION("""COMPUTED_VALUE"""),69.75)</f>
        <v>69.75</v>
      </c>
      <c r="E624" s="6" t="str">
        <f>IFERROR(__xludf.DUMMYFUNCTION("""COMPUTED_VALUE"""),"No")</f>
        <v>No</v>
      </c>
      <c r="F624" s="8" t="str">
        <f>IFERROR(__xludf.DUMMYFUNCTION("""COMPUTED_VALUE"""),"No")</f>
        <v>No</v>
      </c>
    </row>
    <row r="625">
      <c r="A625" s="5">
        <f>IFERROR(__xludf.DUMMYFUNCTION("""COMPUTED_VALUE"""),44695.0)</f>
        <v>44695</v>
      </c>
      <c r="B625" s="6" t="str">
        <f>IFERROR(__xludf.DUMMYFUNCTION("""COMPUTED_VALUE"""),"lunch")</f>
        <v>lunch</v>
      </c>
      <c r="C625" s="6" t="str">
        <f>IFERROR(__xludf.DUMMYFUNCTION("""COMPUTED_VALUE"""),"employee P")</f>
        <v>employee P</v>
      </c>
      <c r="D625" s="7">
        <f>IFERROR(__xludf.DUMMYFUNCTION("""COMPUTED_VALUE"""),69.75)</f>
        <v>69.75</v>
      </c>
      <c r="E625" s="6" t="str">
        <f>IFERROR(__xludf.DUMMYFUNCTION("""COMPUTED_VALUE"""),"No")</f>
        <v>No</v>
      </c>
      <c r="F625" s="8" t="str">
        <f>IFERROR(__xludf.DUMMYFUNCTION("""COMPUTED_VALUE"""),"No")</f>
        <v>No</v>
      </c>
    </row>
    <row r="626">
      <c r="A626" s="5">
        <f>IFERROR(__xludf.DUMMYFUNCTION("""COMPUTED_VALUE"""),44695.0)</f>
        <v>44695</v>
      </c>
      <c r="B626" s="6" t="str">
        <f>IFERROR(__xludf.DUMMYFUNCTION("""COMPUTED_VALUE"""),"dinner")</f>
        <v>dinner</v>
      </c>
      <c r="C626" s="6" t="str">
        <f>IFERROR(__xludf.DUMMYFUNCTION("""COMPUTED_VALUE"""),"employee L")</f>
        <v>employee L</v>
      </c>
      <c r="D626" s="7">
        <f>IFERROR(__xludf.DUMMYFUNCTION("""COMPUTED_VALUE"""),59.66)</f>
        <v>59.66</v>
      </c>
      <c r="E626" s="6" t="str">
        <f>IFERROR(__xludf.DUMMYFUNCTION("""COMPUTED_VALUE"""),"No")</f>
        <v>No</v>
      </c>
      <c r="F626" s="8" t="str">
        <f>IFERROR(__xludf.DUMMYFUNCTION("""COMPUTED_VALUE"""),"No")</f>
        <v>No</v>
      </c>
    </row>
    <row r="627">
      <c r="A627" s="5">
        <f>IFERROR(__xludf.DUMMYFUNCTION("""COMPUTED_VALUE"""),44695.0)</f>
        <v>44695</v>
      </c>
      <c r="B627" s="6" t="str">
        <f>IFERROR(__xludf.DUMMYFUNCTION("""COMPUTED_VALUE"""),"dinner")</f>
        <v>dinner</v>
      </c>
      <c r="C627" s="6" t="str">
        <f>IFERROR(__xludf.DUMMYFUNCTION("""COMPUTED_VALUE"""),"employee P")</f>
        <v>employee P</v>
      </c>
      <c r="D627" s="7">
        <f>IFERROR(__xludf.DUMMYFUNCTION("""COMPUTED_VALUE"""),59.66)</f>
        <v>59.66</v>
      </c>
      <c r="E627" s="6" t="str">
        <f>IFERROR(__xludf.DUMMYFUNCTION("""COMPUTED_VALUE"""),"No")</f>
        <v>No</v>
      </c>
      <c r="F627" s="8" t="str">
        <f>IFERROR(__xludf.DUMMYFUNCTION("""COMPUTED_VALUE"""),"No")</f>
        <v>No</v>
      </c>
    </row>
    <row r="628">
      <c r="A628" s="5">
        <f>IFERROR(__xludf.DUMMYFUNCTION("""COMPUTED_VALUE"""),44695.0)</f>
        <v>44695</v>
      </c>
      <c r="B628" s="6" t="str">
        <f>IFERROR(__xludf.DUMMYFUNCTION("""COMPUTED_VALUE"""),"dinner")</f>
        <v>dinner</v>
      </c>
      <c r="C628" s="6" t="str">
        <f>IFERROR(__xludf.DUMMYFUNCTION("""COMPUTED_VALUE"""),"employee J")</f>
        <v>employee J</v>
      </c>
      <c r="D628" s="7">
        <f>IFERROR(__xludf.DUMMYFUNCTION("""COMPUTED_VALUE"""),59.66)</f>
        <v>59.66</v>
      </c>
      <c r="E628" s="6" t="str">
        <f>IFERROR(__xludf.DUMMYFUNCTION("""COMPUTED_VALUE"""),"No")</f>
        <v>No</v>
      </c>
      <c r="F628" s="8" t="str">
        <f>IFERROR(__xludf.DUMMYFUNCTION("""COMPUTED_VALUE"""),"No")</f>
        <v>No</v>
      </c>
    </row>
    <row r="629">
      <c r="A629" s="5">
        <f>IFERROR(__xludf.DUMMYFUNCTION("""COMPUTED_VALUE"""),44695.0)</f>
        <v>44695</v>
      </c>
      <c r="B629" s="6" t="str">
        <f>IFERROR(__xludf.DUMMYFUNCTION("""COMPUTED_VALUE"""),"dinner")</f>
        <v>dinner</v>
      </c>
      <c r="C629" s="6" t="str">
        <f>IFERROR(__xludf.DUMMYFUNCTION("""COMPUTED_VALUE"""),"employee G")</f>
        <v>employee G</v>
      </c>
      <c r="D629" s="7">
        <f>IFERROR(__xludf.DUMMYFUNCTION("""COMPUTED_VALUE"""),33.15)</f>
        <v>33.15</v>
      </c>
      <c r="E629" s="6" t="str">
        <f>IFERROR(__xludf.DUMMYFUNCTION("""COMPUTED_VALUE"""),"No")</f>
        <v>No</v>
      </c>
      <c r="F629" s="8" t="str">
        <f>IFERROR(__xludf.DUMMYFUNCTION("""COMPUTED_VALUE"""),"No")</f>
        <v>No</v>
      </c>
    </row>
    <row r="630">
      <c r="A630" s="5">
        <f>IFERROR(__xludf.DUMMYFUNCTION("""COMPUTED_VALUE"""),44696.0)</f>
        <v>44696</v>
      </c>
      <c r="B630" s="6" t="str">
        <f>IFERROR(__xludf.DUMMYFUNCTION("""COMPUTED_VALUE"""),"lunch")</f>
        <v>lunch</v>
      </c>
      <c r="C630" s="6" t="str">
        <f>IFERROR(__xludf.DUMMYFUNCTION("""COMPUTED_VALUE"""),"employee B")</f>
        <v>employee B</v>
      </c>
      <c r="D630" s="7">
        <f>IFERROR(__xludf.DUMMYFUNCTION("""COMPUTED_VALUE"""),53.9)</f>
        <v>53.9</v>
      </c>
      <c r="E630" s="6" t="str">
        <f>IFERROR(__xludf.DUMMYFUNCTION("""COMPUTED_VALUE"""),"No")</f>
        <v>No</v>
      </c>
      <c r="F630" s="8" t="str">
        <f>IFERROR(__xludf.DUMMYFUNCTION("""COMPUTED_VALUE"""),"No")</f>
        <v>No</v>
      </c>
    </row>
    <row r="631">
      <c r="A631" s="5">
        <f>IFERROR(__xludf.DUMMYFUNCTION("""COMPUTED_VALUE"""),44696.0)</f>
        <v>44696</v>
      </c>
      <c r="B631" s="6" t="str">
        <f>IFERROR(__xludf.DUMMYFUNCTION("""COMPUTED_VALUE"""),"lunch")</f>
        <v>lunch</v>
      </c>
      <c r="C631" s="6" t="str">
        <f>IFERROR(__xludf.DUMMYFUNCTION("""COMPUTED_VALUE"""),"employee L")</f>
        <v>employee L</v>
      </c>
      <c r="D631" s="7">
        <f>IFERROR(__xludf.DUMMYFUNCTION("""COMPUTED_VALUE"""),75.47)</f>
        <v>75.47</v>
      </c>
      <c r="E631" s="6" t="str">
        <f>IFERROR(__xludf.DUMMYFUNCTION("""COMPUTED_VALUE"""),"No")</f>
        <v>No</v>
      </c>
      <c r="F631" s="8" t="str">
        <f>IFERROR(__xludf.DUMMYFUNCTION("""COMPUTED_VALUE"""),"No")</f>
        <v>No</v>
      </c>
    </row>
    <row r="632">
      <c r="A632" s="5">
        <f>IFERROR(__xludf.DUMMYFUNCTION("""COMPUTED_VALUE"""),44696.0)</f>
        <v>44696</v>
      </c>
      <c r="B632" s="6" t="str">
        <f>IFERROR(__xludf.DUMMYFUNCTION("""COMPUTED_VALUE"""),"lunch")</f>
        <v>lunch</v>
      </c>
      <c r="C632" s="6" t="str">
        <f>IFERROR(__xludf.DUMMYFUNCTION("""COMPUTED_VALUE"""),"employee J")</f>
        <v>employee J</v>
      </c>
      <c r="D632" s="7">
        <f>IFERROR(__xludf.DUMMYFUNCTION("""COMPUTED_VALUE"""),53.9)</f>
        <v>53.9</v>
      </c>
      <c r="E632" s="6" t="str">
        <f>IFERROR(__xludf.DUMMYFUNCTION("""COMPUTED_VALUE"""),"No")</f>
        <v>No</v>
      </c>
      <c r="F632" s="8" t="str">
        <f>IFERROR(__xludf.DUMMYFUNCTION("""COMPUTED_VALUE"""),"No")</f>
        <v>No</v>
      </c>
    </row>
    <row r="633">
      <c r="A633" s="5">
        <f>IFERROR(__xludf.DUMMYFUNCTION("""COMPUTED_VALUE"""),44696.0)</f>
        <v>44696</v>
      </c>
      <c r="B633" s="6" t="str">
        <f>IFERROR(__xludf.DUMMYFUNCTION("""COMPUTED_VALUE"""),"lunch")</f>
        <v>lunch</v>
      </c>
      <c r="C633" s="6" t="str">
        <f>IFERROR(__xludf.DUMMYFUNCTION("""COMPUTED_VALUE"""),"employee G")</f>
        <v>employee G</v>
      </c>
      <c r="D633" s="7">
        <f>IFERROR(__xludf.DUMMYFUNCTION("""COMPUTED_VALUE"""),37.73)</f>
        <v>37.73</v>
      </c>
      <c r="E633" s="6" t="str">
        <f>IFERROR(__xludf.DUMMYFUNCTION("""COMPUTED_VALUE"""),"No")</f>
        <v>No</v>
      </c>
      <c r="F633" s="8" t="str">
        <f>IFERROR(__xludf.DUMMYFUNCTION("""COMPUTED_VALUE"""),"No")</f>
        <v>No</v>
      </c>
    </row>
    <row r="634">
      <c r="A634" s="5">
        <f>IFERROR(__xludf.DUMMYFUNCTION("""COMPUTED_VALUE"""),44696.0)</f>
        <v>44696</v>
      </c>
      <c r="B634" s="6" t="str">
        <f>IFERROR(__xludf.DUMMYFUNCTION("""COMPUTED_VALUE"""),"dinner")</f>
        <v>dinner</v>
      </c>
      <c r="C634" s="6" t="str">
        <f>IFERROR(__xludf.DUMMYFUNCTION("""COMPUTED_VALUE"""),"employee L")</f>
        <v>employee L</v>
      </c>
      <c r="D634" s="7">
        <f>IFERROR(__xludf.DUMMYFUNCTION("""COMPUTED_VALUE"""),30.14)</f>
        <v>30.14</v>
      </c>
      <c r="E634" s="6" t="str">
        <f>IFERROR(__xludf.DUMMYFUNCTION("""COMPUTED_VALUE"""),"No")</f>
        <v>No</v>
      </c>
      <c r="F634" s="8" t="str">
        <f>IFERROR(__xludf.DUMMYFUNCTION("""COMPUTED_VALUE"""),"No")</f>
        <v>No</v>
      </c>
    </row>
    <row r="635">
      <c r="A635" s="5">
        <f>IFERROR(__xludf.DUMMYFUNCTION("""COMPUTED_VALUE"""),44696.0)</f>
        <v>44696</v>
      </c>
      <c r="B635" s="6" t="str">
        <f>IFERROR(__xludf.DUMMYFUNCTION("""COMPUTED_VALUE"""),"dinner")</f>
        <v>dinner</v>
      </c>
      <c r="C635" s="6" t="str">
        <f>IFERROR(__xludf.DUMMYFUNCTION("""COMPUTED_VALUE"""),"employee P")</f>
        <v>employee P</v>
      </c>
      <c r="D635" s="7">
        <f>IFERROR(__xludf.DUMMYFUNCTION("""COMPUTED_VALUE"""),16.44)</f>
        <v>16.44</v>
      </c>
      <c r="E635" s="6" t="str">
        <f>IFERROR(__xludf.DUMMYFUNCTION("""COMPUTED_VALUE"""),"No")</f>
        <v>No</v>
      </c>
      <c r="F635" s="8" t="str">
        <f>IFERROR(__xludf.DUMMYFUNCTION("""COMPUTED_VALUE"""),"No")</f>
        <v>No</v>
      </c>
    </row>
    <row r="636">
      <c r="A636" s="5">
        <f>IFERROR(__xludf.DUMMYFUNCTION("""COMPUTED_VALUE"""),44696.0)</f>
        <v>44696</v>
      </c>
      <c r="B636" s="6" t="str">
        <f>IFERROR(__xludf.DUMMYFUNCTION("""COMPUTED_VALUE"""),"dinner")</f>
        <v>dinner</v>
      </c>
      <c r="C636" s="6" t="str">
        <f>IFERROR(__xludf.DUMMYFUNCTION("""COMPUTED_VALUE"""),"employee M")</f>
        <v>employee M</v>
      </c>
      <c r="D636" s="7">
        <f>IFERROR(__xludf.DUMMYFUNCTION("""COMPUTED_VALUE"""),19.18)</f>
        <v>19.18</v>
      </c>
      <c r="E636" s="6" t="str">
        <f>IFERROR(__xludf.DUMMYFUNCTION("""COMPUTED_VALUE"""),"No")</f>
        <v>No</v>
      </c>
      <c r="F636" s="8" t="str">
        <f>IFERROR(__xludf.DUMMYFUNCTION("""COMPUTED_VALUE"""),"No")</f>
        <v>No</v>
      </c>
    </row>
    <row r="637">
      <c r="A637" s="5">
        <f>IFERROR(__xludf.DUMMYFUNCTION("""COMPUTED_VALUE"""),44697.0)</f>
        <v>44697</v>
      </c>
      <c r="B637" s="6" t="str">
        <f>IFERROR(__xludf.DUMMYFUNCTION("""COMPUTED_VALUE"""),"lunch")</f>
        <v>lunch</v>
      </c>
      <c r="C637" s="6" t="str">
        <f>IFERROR(__xludf.DUMMYFUNCTION("""COMPUTED_VALUE"""),"employee J")</f>
        <v>employee J</v>
      </c>
      <c r="D637" s="7">
        <f>IFERROR(__xludf.DUMMYFUNCTION("""COMPUTED_VALUE"""),97.93)</f>
        <v>97.93</v>
      </c>
      <c r="E637" s="6" t="str">
        <f>IFERROR(__xludf.DUMMYFUNCTION("""COMPUTED_VALUE"""),"No")</f>
        <v>No</v>
      </c>
      <c r="F637" s="8" t="str">
        <f>IFERROR(__xludf.DUMMYFUNCTION("""COMPUTED_VALUE"""),"No")</f>
        <v>No</v>
      </c>
    </row>
    <row r="638">
      <c r="A638" s="5">
        <f>IFERROR(__xludf.DUMMYFUNCTION("""COMPUTED_VALUE"""),44697.0)</f>
        <v>44697</v>
      </c>
      <c r="B638" s="6" t="str">
        <f>IFERROR(__xludf.DUMMYFUNCTION("""COMPUTED_VALUE"""),"dinner")</f>
        <v>dinner</v>
      </c>
      <c r="C638" s="6" t="str">
        <f>IFERROR(__xludf.DUMMYFUNCTION("""COMPUTED_VALUE"""),"employee A")</f>
        <v>employee A</v>
      </c>
      <c r="D638" s="7">
        <f>IFERROR(__xludf.DUMMYFUNCTION("""COMPUTED_VALUE"""),132.09)</f>
        <v>132.09</v>
      </c>
      <c r="E638" s="6" t="str">
        <f>IFERROR(__xludf.DUMMYFUNCTION("""COMPUTED_VALUE"""),"No")</f>
        <v>No</v>
      </c>
      <c r="F638" s="8" t="str">
        <f>IFERROR(__xludf.DUMMYFUNCTION("""COMPUTED_VALUE"""),"No")</f>
        <v>No</v>
      </c>
    </row>
    <row r="639">
      <c r="A639" s="5">
        <f>IFERROR(__xludf.DUMMYFUNCTION("""COMPUTED_VALUE"""),44697.0)</f>
        <v>44697</v>
      </c>
      <c r="B639" s="6" t="str">
        <f>IFERROR(__xludf.DUMMYFUNCTION("""COMPUTED_VALUE"""),"dinner")</f>
        <v>dinner</v>
      </c>
      <c r="C639" s="6" t="str">
        <f>IFERROR(__xludf.DUMMYFUNCTION("""COMPUTED_VALUE"""),"employee I")</f>
        <v>employee I</v>
      </c>
      <c r="D639" s="7">
        <f>IFERROR(__xludf.DUMMYFUNCTION("""COMPUTED_VALUE"""),102.76)</f>
        <v>102.76</v>
      </c>
      <c r="E639" s="6" t="str">
        <f>IFERROR(__xludf.DUMMYFUNCTION("""COMPUTED_VALUE"""),"No")</f>
        <v>No</v>
      </c>
      <c r="F639" s="8" t="str">
        <f>IFERROR(__xludf.DUMMYFUNCTION("""COMPUTED_VALUE"""),"No")</f>
        <v>No</v>
      </c>
    </row>
    <row r="640">
      <c r="A640" s="5">
        <f>IFERROR(__xludf.DUMMYFUNCTION("""COMPUTED_VALUE"""),44698.0)</f>
        <v>44698</v>
      </c>
      <c r="B640" s="6" t="str">
        <f>IFERROR(__xludf.DUMMYFUNCTION("""COMPUTED_VALUE"""),"lunch")</f>
        <v>lunch</v>
      </c>
      <c r="C640" s="6" t="str">
        <f>IFERROR(__xludf.DUMMYFUNCTION("""COMPUTED_VALUE"""),"employee A")</f>
        <v>employee A</v>
      </c>
      <c r="D640" s="7">
        <f>IFERROR(__xludf.DUMMYFUNCTION("""COMPUTED_VALUE"""),134.11)</f>
        <v>134.11</v>
      </c>
      <c r="E640" s="6" t="str">
        <f>IFERROR(__xludf.DUMMYFUNCTION("""COMPUTED_VALUE"""),"No")</f>
        <v>No</v>
      </c>
      <c r="F640" s="8" t="str">
        <f>IFERROR(__xludf.DUMMYFUNCTION("""COMPUTED_VALUE"""),"No")</f>
        <v>No</v>
      </c>
    </row>
    <row r="641">
      <c r="A641" s="5">
        <f>IFERROR(__xludf.DUMMYFUNCTION("""COMPUTED_VALUE"""),44698.0)</f>
        <v>44698</v>
      </c>
      <c r="B641" s="6" t="str">
        <f>IFERROR(__xludf.DUMMYFUNCTION("""COMPUTED_VALUE"""),"dinner")</f>
        <v>dinner</v>
      </c>
      <c r="C641" s="6" t="str">
        <f>IFERROR(__xludf.DUMMYFUNCTION("""COMPUTED_VALUE"""),"employee J")</f>
        <v>employee J</v>
      </c>
      <c r="D641" s="7">
        <f>IFERROR(__xludf.DUMMYFUNCTION("""COMPUTED_VALUE"""),41.31)</f>
        <v>41.31</v>
      </c>
      <c r="E641" s="6" t="str">
        <f>IFERROR(__xludf.DUMMYFUNCTION("""COMPUTED_VALUE"""),"No")</f>
        <v>No</v>
      </c>
      <c r="F641" s="8" t="str">
        <f>IFERROR(__xludf.DUMMYFUNCTION("""COMPUTED_VALUE"""),"No")</f>
        <v>No</v>
      </c>
    </row>
    <row r="642">
      <c r="A642" s="5">
        <f>IFERROR(__xludf.DUMMYFUNCTION("""COMPUTED_VALUE"""),44698.0)</f>
        <v>44698</v>
      </c>
      <c r="B642" s="6" t="str">
        <f>IFERROR(__xludf.DUMMYFUNCTION("""COMPUTED_VALUE"""),"dinner")</f>
        <v>dinner</v>
      </c>
      <c r="C642" s="6" t="str">
        <f>IFERROR(__xludf.DUMMYFUNCTION("""COMPUTED_VALUE"""),"employee P")</f>
        <v>employee P</v>
      </c>
      <c r="D642" s="7">
        <f>IFERROR(__xludf.DUMMYFUNCTION("""COMPUTED_VALUE"""),41.31)</f>
        <v>41.31</v>
      </c>
      <c r="E642" s="6" t="str">
        <f>IFERROR(__xludf.DUMMYFUNCTION("""COMPUTED_VALUE"""),"No")</f>
        <v>No</v>
      </c>
      <c r="F642" s="8" t="str">
        <f>IFERROR(__xludf.DUMMYFUNCTION("""COMPUTED_VALUE"""),"No")</f>
        <v>No</v>
      </c>
    </row>
    <row r="643">
      <c r="A643" s="5">
        <f>IFERROR(__xludf.DUMMYFUNCTION("""COMPUTED_VALUE"""),44698.0)</f>
        <v>44698</v>
      </c>
      <c r="B643" s="6" t="str">
        <f>IFERROR(__xludf.DUMMYFUNCTION("""COMPUTED_VALUE"""),"dinner")</f>
        <v>dinner</v>
      </c>
      <c r="C643" s="6" t="str">
        <f>IFERROR(__xludf.DUMMYFUNCTION("""COMPUTED_VALUE"""),"employee I")</f>
        <v>employee I</v>
      </c>
      <c r="D643" s="7">
        <f>IFERROR(__xludf.DUMMYFUNCTION("""COMPUTED_VALUE"""),32.13)</f>
        <v>32.13</v>
      </c>
      <c r="E643" s="6" t="str">
        <f>IFERROR(__xludf.DUMMYFUNCTION("""COMPUTED_VALUE"""),"No")</f>
        <v>No</v>
      </c>
      <c r="F643" s="8" t="str">
        <f>IFERROR(__xludf.DUMMYFUNCTION("""COMPUTED_VALUE"""),"No")</f>
        <v>No</v>
      </c>
    </row>
    <row r="644">
      <c r="A644" s="5">
        <f>IFERROR(__xludf.DUMMYFUNCTION("""COMPUTED_VALUE"""),44699.0)</f>
        <v>44699</v>
      </c>
      <c r="B644" s="6" t="str">
        <f>IFERROR(__xludf.DUMMYFUNCTION("""COMPUTED_VALUE"""),"lunch")</f>
        <v>lunch</v>
      </c>
      <c r="C644" s="6" t="str">
        <f>IFERROR(__xludf.DUMMYFUNCTION("""COMPUTED_VALUE"""),"employee A")</f>
        <v>employee A</v>
      </c>
      <c r="D644" s="7">
        <f>IFERROR(__xludf.DUMMYFUNCTION("""COMPUTED_VALUE"""),112.96)</f>
        <v>112.96</v>
      </c>
      <c r="E644" s="6" t="str">
        <f>IFERROR(__xludf.DUMMYFUNCTION("""COMPUTED_VALUE"""),"No")</f>
        <v>No</v>
      </c>
      <c r="F644" s="8" t="str">
        <f>IFERROR(__xludf.DUMMYFUNCTION("""COMPUTED_VALUE"""),"No")</f>
        <v>No</v>
      </c>
    </row>
    <row r="645">
      <c r="A645" s="5">
        <f>IFERROR(__xludf.DUMMYFUNCTION("""COMPUTED_VALUE"""),44699.0)</f>
        <v>44699</v>
      </c>
      <c r="B645" s="6" t="str">
        <f>IFERROR(__xludf.DUMMYFUNCTION("""COMPUTED_VALUE"""),"dinner")</f>
        <v>dinner</v>
      </c>
      <c r="C645" s="6" t="str">
        <f>IFERROR(__xludf.DUMMYFUNCTION("""COMPUTED_VALUE"""),"employee A")</f>
        <v>employee A</v>
      </c>
      <c r="D645" s="7">
        <f>IFERROR(__xludf.DUMMYFUNCTION("""COMPUTED_VALUE"""),47.83)</f>
        <v>47.83</v>
      </c>
      <c r="E645" s="6" t="str">
        <f>IFERROR(__xludf.DUMMYFUNCTION("""COMPUTED_VALUE"""),"No")</f>
        <v>No</v>
      </c>
      <c r="F645" s="8" t="str">
        <f>IFERROR(__xludf.DUMMYFUNCTION("""COMPUTED_VALUE"""),"No")</f>
        <v>No</v>
      </c>
    </row>
    <row r="646">
      <c r="A646" s="5">
        <f>IFERROR(__xludf.DUMMYFUNCTION("""COMPUTED_VALUE"""),44699.0)</f>
        <v>44699</v>
      </c>
      <c r="B646" s="6" t="str">
        <f>IFERROR(__xludf.DUMMYFUNCTION("""COMPUTED_VALUE"""),"dinner")</f>
        <v>dinner</v>
      </c>
      <c r="C646" s="6" t="str">
        <f>IFERROR(__xludf.DUMMYFUNCTION("""COMPUTED_VALUE"""),"employee G")</f>
        <v>employee G</v>
      </c>
      <c r="D646" s="7">
        <f>IFERROR(__xludf.DUMMYFUNCTION("""COMPUTED_VALUE"""),21.26)</f>
        <v>21.26</v>
      </c>
      <c r="E646" s="6" t="str">
        <f>IFERROR(__xludf.DUMMYFUNCTION("""COMPUTED_VALUE"""),"No")</f>
        <v>No</v>
      </c>
      <c r="F646" s="8" t="str">
        <f>IFERROR(__xludf.DUMMYFUNCTION("""COMPUTED_VALUE"""),"No")</f>
        <v>No</v>
      </c>
    </row>
    <row r="647">
      <c r="A647" s="5">
        <f>IFERROR(__xludf.DUMMYFUNCTION("""COMPUTED_VALUE"""),44699.0)</f>
        <v>44699</v>
      </c>
      <c r="B647" s="6" t="str">
        <f>IFERROR(__xludf.DUMMYFUNCTION("""COMPUTED_VALUE"""),"dinner")</f>
        <v>dinner</v>
      </c>
      <c r="C647" s="6" t="str">
        <f>IFERROR(__xludf.DUMMYFUNCTION("""COMPUTED_VALUE"""),"employee P")</f>
        <v>employee P</v>
      </c>
      <c r="D647" s="7">
        <f>IFERROR(__xludf.DUMMYFUNCTION("""COMPUTED_VALUE"""),47.84)</f>
        <v>47.84</v>
      </c>
      <c r="E647" s="6" t="str">
        <f>IFERROR(__xludf.DUMMYFUNCTION("""COMPUTED_VALUE"""),"No")</f>
        <v>No</v>
      </c>
      <c r="F647" s="8" t="str">
        <f>IFERROR(__xludf.DUMMYFUNCTION("""COMPUTED_VALUE"""),"No")</f>
        <v>No</v>
      </c>
    </row>
    <row r="648">
      <c r="A648" s="5">
        <f>IFERROR(__xludf.DUMMYFUNCTION("""COMPUTED_VALUE"""),44700.0)</f>
        <v>44700</v>
      </c>
      <c r="B648" s="6" t="str">
        <f>IFERROR(__xludf.DUMMYFUNCTION("""COMPUTED_VALUE"""),"lunch")</f>
        <v>lunch</v>
      </c>
      <c r="C648" s="6" t="str">
        <f>IFERROR(__xludf.DUMMYFUNCTION("""COMPUTED_VALUE"""),"employee L")</f>
        <v>employee L</v>
      </c>
      <c r="D648" s="7">
        <f>IFERROR(__xludf.DUMMYFUNCTION("""COMPUTED_VALUE"""),66.38)</f>
        <v>66.38</v>
      </c>
      <c r="E648" s="6" t="str">
        <f>IFERROR(__xludf.DUMMYFUNCTION("""COMPUTED_VALUE"""),"No")</f>
        <v>No</v>
      </c>
      <c r="F648" s="8" t="str">
        <f>IFERROR(__xludf.DUMMYFUNCTION("""COMPUTED_VALUE"""),"No")</f>
        <v>No</v>
      </c>
    </row>
    <row r="649">
      <c r="A649" s="5">
        <f>IFERROR(__xludf.DUMMYFUNCTION("""COMPUTED_VALUE"""),44700.0)</f>
        <v>44700</v>
      </c>
      <c r="B649" s="6" t="str">
        <f>IFERROR(__xludf.DUMMYFUNCTION("""COMPUTED_VALUE"""),"dinner")</f>
        <v>dinner</v>
      </c>
      <c r="C649" s="6" t="str">
        <f>IFERROR(__xludf.DUMMYFUNCTION("""COMPUTED_VALUE"""),"employee L")</f>
        <v>employee L</v>
      </c>
      <c r="D649" s="7">
        <f>IFERROR(__xludf.DUMMYFUNCTION("""COMPUTED_VALUE"""),64.68)</f>
        <v>64.68</v>
      </c>
      <c r="E649" s="6" t="str">
        <f>IFERROR(__xludf.DUMMYFUNCTION("""COMPUTED_VALUE"""),"No")</f>
        <v>No</v>
      </c>
      <c r="F649" s="8" t="str">
        <f>IFERROR(__xludf.DUMMYFUNCTION("""COMPUTED_VALUE"""),"No")</f>
        <v>No</v>
      </c>
    </row>
    <row r="650">
      <c r="A650" s="5">
        <f>IFERROR(__xludf.DUMMYFUNCTION("""COMPUTED_VALUE"""),44700.0)</f>
        <v>44700</v>
      </c>
      <c r="B650" s="6" t="str">
        <f>IFERROR(__xludf.DUMMYFUNCTION("""COMPUTED_VALUE"""),"dinner")</f>
        <v>dinner</v>
      </c>
      <c r="C650" s="6" t="str">
        <f>IFERROR(__xludf.DUMMYFUNCTION("""COMPUTED_VALUE"""),"employee A")</f>
        <v>employee A</v>
      </c>
      <c r="D650" s="7">
        <f>IFERROR(__xludf.DUMMYFUNCTION("""COMPUTED_VALUE"""),64.67)</f>
        <v>64.67</v>
      </c>
      <c r="E650" s="6" t="str">
        <f>IFERROR(__xludf.DUMMYFUNCTION("""COMPUTED_VALUE"""),"No")</f>
        <v>No</v>
      </c>
      <c r="F650" s="8" t="str">
        <f>IFERROR(__xludf.DUMMYFUNCTION("""COMPUTED_VALUE"""),"No")</f>
        <v>No</v>
      </c>
    </row>
    <row r="651">
      <c r="A651" s="5">
        <f>IFERROR(__xludf.DUMMYFUNCTION("""COMPUTED_VALUE"""),44700.0)</f>
        <v>44700</v>
      </c>
      <c r="B651" s="6" t="str">
        <f>IFERROR(__xludf.DUMMYFUNCTION("""COMPUTED_VALUE"""),"dinner")</f>
        <v>dinner</v>
      </c>
      <c r="C651" s="6" t="str">
        <f>IFERROR(__xludf.DUMMYFUNCTION("""COMPUTED_VALUE"""),"employee P")</f>
        <v>employee P</v>
      </c>
      <c r="D651" s="7">
        <f>IFERROR(__xludf.DUMMYFUNCTION("""COMPUTED_VALUE"""),43.11)</f>
        <v>43.11</v>
      </c>
      <c r="E651" s="6" t="str">
        <f>IFERROR(__xludf.DUMMYFUNCTION("""COMPUTED_VALUE"""),"No")</f>
        <v>No</v>
      </c>
      <c r="F651" s="8" t="str">
        <f>IFERROR(__xludf.DUMMYFUNCTION("""COMPUTED_VALUE"""),"No")</f>
        <v>No</v>
      </c>
    </row>
    <row r="652">
      <c r="A652" s="5">
        <f>IFERROR(__xludf.DUMMYFUNCTION("""COMPUTED_VALUE"""),44701.0)</f>
        <v>44701</v>
      </c>
      <c r="B652" s="6" t="str">
        <f>IFERROR(__xludf.DUMMYFUNCTION("""COMPUTED_VALUE"""),"lunch")</f>
        <v>lunch</v>
      </c>
      <c r="C652" s="6" t="str">
        <f>IFERROR(__xludf.DUMMYFUNCTION("""COMPUTED_VALUE"""),"employee B")</f>
        <v>employee B</v>
      </c>
      <c r="D652" s="7">
        <f>IFERROR(__xludf.DUMMYFUNCTION("""COMPUTED_VALUE"""),42.57)</f>
        <v>42.57</v>
      </c>
      <c r="E652" s="6" t="str">
        <f>IFERROR(__xludf.DUMMYFUNCTION("""COMPUTED_VALUE"""),"No")</f>
        <v>No</v>
      </c>
      <c r="F652" s="8" t="str">
        <f>IFERROR(__xludf.DUMMYFUNCTION("""COMPUTED_VALUE"""),"No")</f>
        <v>No</v>
      </c>
    </row>
    <row r="653">
      <c r="A653" s="5">
        <f>IFERROR(__xludf.DUMMYFUNCTION("""COMPUTED_VALUE"""),44701.0)</f>
        <v>44701</v>
      </c>
      <c r="B653" s="6" t="str">
        <f>IFERROR(__xludf.DUMMYFUNCTION("""COMPUTED_VALUE"""),"lunch")</f>
        <v>lunch</v>
      </c>
      <c r="C653" s="6" t="str">
        <f>IFERROR(__xludf.DUMMYFUNCTION("""COMPUTED_VALUE"""),"employee P")</f>
        <v>employee P</v>
      </c>
      <c r="D653" s="7">
        <f>IFERROR(__xludf.DUMMYFUNCTION("""COMPUTED_VALUE"""),33.1)</f>
        <v>33.1</v>
      </c>
      <c r="E653" s="6" t="str">
        <f>IFERROR(__xludf.DUMMYFUNCTION("""COMPUTED_VALUE"""),"No")</f>
        <v>No</v>
      </c>
      <c r="F653" s="8" t="str">
        <f>IFERROR(__xludf.DUMMYFUNCTION("""COMPUTED_VALUE"""),"No")</f>
        <v>No</v>
      </c>
    </row>
    <row r="654">
      <c r="A654" s="5">
        <f>IFERROR(__xludf.DUMMYFUNCTION("""COMPUTED_VALUE"""),44701.0)</f>
        <v>44701</v>
      </c>
      <c r="B654" s="6" t="str">
        <f>IFERROR(__xludf.DUMMYFUNCTION("""COMPUTED_VALUE"""),"dinner")</f>
        <v>dinner</v>
      </c>
      <c r="C654" s="6" t="str">
        <f>IFERROR(__xludf.DUMMYFUNCTION("""COMPUTED_VALUE"""),"employee B")</f>
        <v>employee B</v>
      </c>
      <c r="D654" s="7">
        <f>IFERROR(__xludf.DUMMYFUNCTION("""COMPUTED_VALUE"""),43.34)</f>
        <v>43.34</v>
      </c>
      <c r="E654" s="6" t="str">
        <f>IFERROR(__xludf.DUMMYFUNCTION("""COMPUTED_VALUE"""),"No")</f>
        <v>No</v>
      </c>
      <c r="F654" s="8" t="str">
        <f>IFERROR(__xludf.DUMMYFUNCTION("""COMPUTED_VALUE"""),"No")</f>
        <v>No</v>
      </c>
    </row>
    <row r="655">
      <c r="A655" s="5">
        <f>IFERROR(__xludf.DUMMYFUNCTION("""COMPUTED_VALUE"""),44701.0)</f>
        <v>44701</v>
      </c>
      <c r="B655" s="6" t="str">
        <f>IFERROR(__xludf.DUMMYFUNCTION("""COMPUTED_VALUE"""),"dinner")</f>
        <v>dinner</v>
      </c>
      <c r="C655" s="6" t="str">
        <f>IFERROR(__xludf.DUMMYFUNCTION("""COMPUTED_VALUE"""),"employee L")</f>
        <v>employee L</v>
      </c>
      <c r="D655" s="7">
        <f>IFERROR(__xludf.DUMMYFUNCTION("""COMPUTED_VALUE"""),33.72)</f>
        <v>33.72</v>
      </c>
      <c r="E655" s="6" t="str">
        <f>IFERROR(__xludf.DUMMYFUNCTION("""COMPUTED_VALUE"""),"No")</f>
        <v>No</v>
      </c>
      <c r="F655" s="8" t="str">
        <f>IFERROR(__xludf.DUMMYFUNCTION("""COMPUTED_VALUE"""),"No")</f>
        <v>No</v>
      </c>
    </row>
    <row r="656">
      <c r="A656" s="5">
        <f>IFERROR(__xludf.DUMMYFUNCTION("""COMPUTED_VALUE"""),44701.0)</f>
        <v>44701</v>
      </c>
      <c r="B656" s="6" t="str">
        <f>IFERROR(__xludf.DUMMYFUNCTION("""COMPUTED_VALUE"""),"dinner")</f>
        <v>dinner</v>
      </c>
      <c r="C656" s="6" t="str">
        <f>IFERROR(__xludf.DUMMYFUNCTION("""COMPUTED_VALUE"""),"employee I")</f>
        <v>employee I</v>
      </c>
      <c r="D656" s="7">
        <f>IFERROR(__xludf.DUMMYFUNCTION("""COMPUTED_VALUE"""),33.73)</f>
        <v>33.73</v>
      </c>
      <c r="E656" s="6" t="str">
        <f>IFERROR(__xludf.DUMMYFUNCTION("""COMPUTED_VALUE"""),"No")</f>
        <v>No</v>
      </c>
      <c r="F656" s="8" t="str">
        <f>IFERROR(__xludf.DUMMYFUNCTION("""COMPUTED_VALUE"""),"No")</f>
        <v>No</v>
      </c>
    </row>
    <row r="657">
      <c r="A657" s="5">
        <f>IFERROR(__xludf.DUMMYFUNCTION("""COMPUTED_VALUE"""),44702.0)</f>
        <v>44702</v>
      </c>
      <c r="B657" s="6" t="str">
        <f>IFERROR(__xludf.DUMMYFUNCTION("""COMPUTED_VALUE"""),"lunch")</f>
        <v>lunch</v>
      </c>
      <c r="C657" s="6" t="str">
        <f>IFERROR(__xludf.DUMMYFUNCTION("""COMPUTED_VALUE"""),"employee B")</f>
        <v>employee B</v>
      </c>
      <c r="D657" s="7">
        <f>IFERROR(__xludf.DUMMYFUNCTION("""COMPUTED_VALUE"""),97.65)</f>
        <v>97.65</v>
      </c>
      <c r="E657" s="6" t="str">
        <f>IFERROR(__xludf.DUMMYFUNCTION("""COMPUTED_VALUE"""),"No")</f>
        <v>No</v>
      </c>
      <c r="F657" s="8" t="str">
        <f>IFERROR(__xludf.DUMMYFUNCTION("""COMPUTED_VALUE"""),"No")</f>
        <v>No</v>
      </c>
    </row>
    <row r="658">
      <c r="A658" s="5">
        <f>IFERROR(__xludf.DUMMYFUNCTION("""COMPUTED_VALUE"""),44702.0)</f>
        <v>44702</v>
      </c>
      <c r="B658" s="6" t="str">
        <f>IFERROR(__xludf.DUMMYFUNCTION("""COMPUTED_VALUE"""),"lunch")</f>
        <v>lunch</v>
      </c>
      <c r="C658" s="6" t="str">
        <f>IFERROR(__xludf.DUMMYFUNCTION("""COMPUTED_VALUE"""),"employee L")</f>
        <v>employee L</v>
      </c>
      <c r="D658" s="7">
        <f>IFERROR(__xludf.DUMMYFUNCTION("""COMPUTED_VALUE"""),69.75)</f>
        <v>69.75</v>
      </c>
      <c r="E658" s="6" t="str">
        <f>IFERROR(__xludf.DUMMYFUNCTION("""COMPUTED_VALUE"""),"No")</f>
        <v>No</v>
      </c>
      <c r="F658" s="8" t="str">
        <f>IFERROR(__xludf.DUMMYFUNCTION("""COMPUTED_VALUE"""),"No")</f>
        <v>No</v>
      </c>
    </row>
    <row r="659">
      <c r="A659" s="5">
        <f>IFERROR(__xludf.DUMMYFUNCTION("""COMPUTED_VALUE"""),44702.0)</f>
        <v>44702</v>
      </c>
      <c r="B659" s="6" t="str">
        <f>IFERROR(__xludf.DUMMYFUNCTION("""COMPUTED_VALUE"""),"lunch")</f>
        <v>lunch</v>
      </c>
      <c r="C659" s="6" t="str">
        <f>IFERROR(__xludf.DUMMYFUNCTION("""COMPUTED_VALUE"""),"employee P")</f>
        <v>employee P</v>
      </c>
      <c r="D659" s="7">
        <f>IFERROR(__xludf.DUMMYFUNCTION("""COMPUTED_VALUE"""),52.36)</f>
        <v>52.36</v>
      </c>
      <c r="E659" s="6" t="str">
        <f>IFERROR(__xludf.DUMMYFUNCTION("""COMPUTED_VALUE"""),"No")</f>
        <v>No</v>
      </c>
      <c r="F659" s="8" t="str">
        <f>IFERROR(__xludf.DUMMYFUNCTION("""COMPUTED_VALUE"""),"No")</f>
        <v>No</v>
      </c>
    </row>
    <row r="660">
      <c r="A660" s="5">
        <f>IFERROR(__xludf.DUMMYFUNCTION("""COMPUTED_VALUE"""),44702.0)</f>
        <v>44702</v>
      </c>
      <c r="B660" s="6" t="str">
        <f>IFERROR(__xludf.DUMMYFUNCTION("""COMPUTED_VALUE"""),"dinner")</f>
        <v>dinner</v>
      </c>
      <c r="C660" s="6" t="str">
        <f>IFERROR(__xludf.DUMMYFUNCTION("""COMPUTED_VALUE"""),"employee L")</f>
        <v>employee L</v>
      </c>
      <c r="D660" s="7">
        <f>IFERROR(__xludf.DUMMYFUNCTION("""COMPUTED_VALUE"""),60.26)</f>
        <v>60.26</v>
      </c>
      <c r="E660" s="6" t="str">
        <f>IFERROR(__xludf.DUMMYFUNCTION("""COMPUTED_VALUE"""),"No")</f>
        <v>No</v>
      </c>
      <c r="F660" s="8" t="str">
        <f>IFERROR(__xludf.DUMMYFUNCTION("""COMPUTED_VALUE"""),"No")</f>
        <v>No</v>
      </c>
    </row>
    <row r="661">
      <c r="A661" s="5">
        <f>IFERROR(__xludf.DUMMYFUNCTION("""COMPUTED_VALUE"""),44702.0)</f>
        <v>44702</v>
      </c>
      <c r="B661" s="6" t="str">
        <f>IFERROR(__xludf.DUMMYFUNCTION("""COMPUTED_VALUE"""),"dinner")</f>
        <v>dinner</v>
      </c>
      <c r="C661" s="6" t="str">
        <f>IFERROR(__xludf.DUMMYFUNCTION("""COMPUTED_VALUE"""),"employee A")</f>
        <v>employee A</v>
      </c>
      <c r="D661" s="7">
        <f>IFERROR(__xludf.DUMMYFUNCTION("""COMPUTED_VALUE"""),60.26)</f>
        <v>60.26</v>
      </c>
      <c r="E661" s="6" t="str">
        <f>IFERROR(__xludf.DUMMYFUNCTION("""COMPUTED_VALUE"""),"No")</f>
        <v>No</v>
      </c>
      <c r="F661" s="8" t="str">
        <f>IFERROR(__xludf.DUMMYFUNCTION("""COMPUTED_VALUE"""),"No")</f>
        <v>No</v>
      </c>
    </row>
    <row r="662">
      <c r="A662" s="5">
        <f>IFERROR(__xludf.DUMMYFUNCTION("""COMPUTED_VALUE"""),44702.0)</f>
        <v>44702</v>
      </c>
      <c r="B662" s="6" t="str">
        <f>IFERROR(__xludf.DUMMYFUNCTION("""COMPUTED_VALUE"""),"dinner")</f>
        <v>dinner</v>
      </c>
      <c r="C662" s="6" t="str">
        <f>IFERROR(__xludf.DUMMYFUNCTION("""COMPUTED_VALUE"""),"employee I")</f>
        <v>employee I</v>
      </c>
      <c r="D662" s="7">
        <f>IFERROR(__xludf.DUMMYFUNCTION("""COMPUTED_VALUE"""),45.71)</f>
        <v>45.71</v>
      </c>
      <c r="E662" s="6" t="str">
        <f>IFERROR(__xludf.DUMMYFUNCTION("""COMPUTED_VALUE"""),"No")</f>
        <v>No</v>
      </c>
      <c r="F662" s="8" t="str">
        <f>IFERROR(__xludf.DUMMYFUNCTION("""COMPUTED_VALUE"""),"No")</f>
        <v>No</v>
      </c>
    </row>
    <row r="663">
      <c r="A663" s="5">
        <f>IFERROR(__xludf.DUMMYFUNCTION("""COMPUTED_VALUE"""),44703.0)</f>
        <v>44703</v>
      </c>
      <c r="B663" s="6" t="str">
        <f>IFERROR(__xludf.DUMMYFUNCTION("""COMPUTED_VALUE"""),"lunch")</f>
        <v>lunch</v>
      </c>
      <c r="C663" s="6" t="str">
        <f>IFERROR(__xludf.DUMMYFUNCTION("""COMPUTED_VALUE"""),"employee L")</f>
        <v>employee L</v>
      </c>
      <c r="D663" s="7">
        <f>IFERROR(__xludf.DUMMYFUNCTION("""COMPUTED_VALUE"""),104.12)</f>
        <v>104.12</v>
      </c>
      <c r="E663" s="6" t="str">
        <f>IFERROR(__xludf.DUMMYFUNCTION("""COMPUTED_VALUE"""),"No")</f>
        <v>No</v>
      </c>
      <c r="F663" s="8" t="str">
        <f>IFERROR(__xludf.DUMMYFUNCTION("""COMPUTED_VALUE"""),"No")</f>
        <v>No</v>
      </c>
    </row>
    <row r="664">
      <c r="A664" s="5">
        <f>IFERROR(__xludf.DUMMYFUNCTION("""COMPUTED_VALUE"""),44703.0)</f>
        <v>44703</v>
      </c>
      <c r="B664" s="6" t="str">
        <f>IFERROR(__xludf.DUMMYFUNCTION("""COMPUTED_VALUE"""),"lunch")</f>
        <v>lunch</v>
      </c>
      <c r="C664" s="6" t="str">
        <f>IFERROR(__xludf.DUMMYFUNCTION("""COMPUTED_VALUE"""),"employee B")</f>
        <v>employee B</v>
      </c>
      <c r="D664" s="7">
        <f>IFERROR(__xludf.DUMMYFUNCTION("""COMPUTED_VALUE"""),94.65)</f>
        <v>94.65</v>
      </c>
      <c r="E664" s="6" t="str">
        <f>IFERROR(__xludf.DUMMYFUNCTION("""COMPUTED_VALUE"""),"No")</f>
        <v>No</v>
      </c>
      <c r="F664" s="8" t="str">
        <f>IFERROR(__xludf.DUMMYFUNCTION("""COMPUTED_VALUE"""),"No")</f>
        <v>No</v>
      </c>
    </row>
    <row r="665">
      <c r="A665" s="5">
        <f>IFERROR(__xludf.DUMMYFUNCTION("""COMPUTED_VALUE"""),44703.0)</f>
        <v>44703</v>
      </c>
      <c r="B665" s="6" t="str">
        <f>IFERROR(__xludf.DUMMYFUNCTION("""COMPUTED_VALUE"""),"lunch")</f>
        <v>lunch</v>
      </c>
      <c r="C665" s="6" t="str">
        <f>IFERROR(__xludf.DUMMYFUNCTION("""COMPUTED_VALUE"""),"employee P")</f>
        <v>employee P</v>
      </c>
      <c r="D665" s="7">
        <f>IFERROR(__xludf.DUMMYFUNCTION("""COMPUTED_VALUE"""),70.96)</f>
        <v>70.96</v>
      </c>
      <c r="E665" s="6" t="str">
        <f>IFERROR(__xludf.DUMMYFUNCTION("""COMPUTED_VALUE"""),"No")</f>
        <v>No</v>
      </c>
      <c r="F665" s="8" t="str">
        <f>IFERROR(__xludf.DUMMYFUNCTION("""COMPUTED_VALUE"""),"No")</f>
        <v>No</v>
      </c>
    </row>
    <row r="666">
      <c r="A666" s="5">
        <f>IFERROR(__xludf.DUMMYFUNCTION("""COMPUTED_VALUE"""),44703.0)</f>
        <v>44703</v>
      </c>
      <c r="B666" s="6" t="str">
        <f>IFERROR(__xludf.DUMMYFUNCTION("""COMPUTED_VALUE"""),"dinner")</f>
        <v>dinner</v>
      </c>
      <c r="C666" s="6" t="str">
        <f>IFERROR(__xludf.DUMMYFUNCTION("""COMPUTED_VALUE"""),"employee B")</f>
        <v>employee B</v>
      </c>
      <c r="D666" s="7">
        <f>IFERROR(__xludf.DUMMYFUNCTION("""COMPUTED_VALUE"""),51.84)</f>
        <v>51.84</v>
      </c>
      <c r="E666" s="6" t="str">
        <f>IFERROR(__xludf.DUMMYFUNCTION("""COMPUTED_VALUE"""),"No")</f>
        <v>No</v>
      </c>
      <c r="F666" s="8" t="str">
        <f>IFERROR(__xludf.DUMMYFUNCTION("""COMPUTED_VALUE"""),"No")</f>
        <v>No</v>
      </c>
    </row>
    <row r="667">
      <c r="A667" s="5">
        <f>IFERROR(__xludf.DUMMYFUNCTION("""COMPUTED_VALUE"""),44703.0)</f>
        <v>44703</v>
      </c>
      <c r="B667" s="6" t="str">
        <f>IFERROR(__xludf.DUMMYFUNCTION("""COMPUTED_VALUE"""),"dinner")</f>
        <v>dinner</v>
      </c>
      <c r="C667" s="6" t="str">
        <f>IFERROR(__xludf.DUMMYFUNCTION("""COMPUTED_VALUE"""),"employee L")</f>
        <v>employee L</v>
      </c>
      <c r="D667" s="7">
        <f>IFERROR(__xludf.DUMMYFUNCTION("""COMPUTED_VALUE"""),66.64)</f>
        <v>66.64</v>
      </c>
      <c r="E667" s="6" t="str">
        <f>IFERROR(__xludf.DUMMYFUNCTION("""COMPUTED_VALUE"""),"No")</f>
        <v>No</v>
      </c>
      <c r="F667" s="8" t="str">
        <f>IFERROR(__xludf.DUMMYFUNCTION("""COMPUTED_VALUE"""),"No")</f>
        <v>No</v>
      </c>
    </row>
    <row r="668">
      <c r="A668" s="5">
        <f>IFERROR(__xludf.DUMMYFUNCTION("""COMPUTED_VALUE"""),44703.0)</f>
        <v>44703</v>
      </c>
      <c r="B668" s="6" t="str">
        <f>IFERROR(__xludf.DUMMYFUNCTION("""COMPUTED_VALUE"""),"dinner")</f>
        <v>dinner</v>
      </c>
      <c r="C668" s="6" t="str">
        <f>IFERROR(__xludf.DUMMYFUNCTION("""COMPUTED_VALUE"""),"employee G")</f>
        <v>employee G</v>
      </c>
      <c r="D668" s="7">
        <f>IFERROR(__xludf.DUMMYFUNCTION("""COMPUTED_VALUE"""),66.64)</f>
        <v>66.64</v>
      </c>
      <c r="E668" s="6" t="str">
        <f>IFERROR(__xludf.DUMMYFUNCTION("""COMPUTED_VALUE"""),"No")</f>
        <v>No</v>
      </c>
      <c r="F668" s="8" t="str">
        <f>IFERROR(__xludf.DUMMYFUNCTION("""COMPUTED_VALUE"""),"No")</f>
        <v>No</v>
      </c>
    </row>
    <row r="669">
      <c r="A669" s="5">
        <f>IFERROR(__xludf.DUMMYFUNCTION("""COMPUTED_VALUE"""),44704.0)</f>
        <v>44704</v>
      </c>
      <c r="B669" s="6" t="str">
        <f>IFERROR(__xludf.DUMMYFUNCTION("""COMPUTED_VALUE"""),"lunch")</f>
        <v>lunch</v>
      </c>
      <c r="C669" s="6" t="str">
        <f>IFERROR(__xludf.DUMMYFUNCTION("""COMPUTED_VALUE"""),"employee A")</f>
        <v>employee A</v>
      </c>
      <c r="D669" s="7">
        <f>IFERROR(__xludf.DUMMYFUNCTION("""COMPUTED_VALUE"""),78.63)</f>
        <v>78.63</v>
      </c>
      <c r="E669" s="6" t="str">
        <f>IFERROR(__xludf.DUMMYFUNCTION("""COMPUTED_VALUE"""),"No")</f>
        <v>No</v>
      </c>
      <c r="F669" s="8" t="str">
        <f>IFERROR(__xludf.DUMMYFUNCTION("""COMPUTED_VALUE"""),"No")</f>
        <v>No</v>
      </c>
    </row>
    <row r="670">
      <c r="A670" s="5">
        <f>IFERROR(__xludf.DUMMYFUNCTION("""COMPUTED_VALUE"""),44704.0)</f>
        <v>44704</v>
      </c>
      <c r="B670" s="6" t="str">
        <f>IFERROR(__xludf.DUMMYFUNCTION("""COMPUTED_VALUE"""),"dinner")</f>
        <v>dinner</v>
      </c>
      <c r="C670" s="6" t="str">
        <f>IFERROR(__xludf.DUMMYFUNCTION("""COMPUTED_VALUE"""),"employee A")</f>
        <v>employee A</v>
      </c>
      <c r="D670" s="7">
        <f>IFERROR(__xludf.DUMMYFUNCTION("""COMPUTED_VALUE"""),52.12)</f>
        <v>52.12</v>
      </c>
      <c r="E670" s="6" t="str">
        <f>IFERROR(__xludf.DUMMYFUNCTION("""COMPUTED_VALUE"""),"No")</f>
        <v>No</v>
      </c>
      <c r="F670" s="8" t="str">
        <f>IFERROR(__xludf.DUMMYFUNCTION("""COMPUTED_VALUE"""),"No")</f>
        <v>No</v>
      </c>
    </row>
    <row r="671">
      <c r="A671" s="5">
        <f>IFERROR(__xludf.DUMMYFUNCTION("""COMPUTED_VALUE"""),44704.0)</f>
        <v>44704</v>
      </c>
      <c r="B671" s="6" t="str">
        <f>IFERROR(__xludf.DUMMYFUNCTION("""COMPUTED_VALUE"""),"dinner")</f>
        <v>dinner</v>
      </c>
      <c r="C671" s="6" t="str">
        <f>IFERROR(__xludf.DUMMYFUNCTION("""COMPUTED_VALUE"""),"employee I")</f>
        <v>employee I</v>
      </c>
      <c r="D671" s="7">
        <f>IFERROR(__xludf.DUMMYFUNCTION("""COMPUTED_VALUE"""),41.3)</f>
        <v>41.3</v>
      </c>
      <c r="E671" s="6" t="str">
        <f>IFERROR(__xludf.DUMMYFUNCTION("""COMPUTED_VALUE"""),"No")</f>
        <v>No</v>
      </c>
      <c r="F671" s="8" t="str">
        <f>IFERROR(__xludf.DUMMYFUNCTION("""COMPUTED_VALUE"""),"No")</f>
        <v>No</v>
      </c>
    </row>
    <row r="672">
      <c r="A672" s="5">
        <f>IFERROR(__xludf.DUMMYFUNCTION("""COMPUTED_VALUE"""),44704.0)</f>
        <v>44704</v>
      </c>
      <c r="B672" s="6" t="str">
        <f>IFERROR(__xludf.DUMMYFUNCTION("""COMPUTED_VALUE"""),"dinner")</f>
        <v>dinner</v>
      </c>
      <c r="C672" s="6" t="str">
        <f>IFERROR(__xludf.DUMMYFUNCTION("""COMPUTED_VALUE"""),"employee P")</f>
        <v>employee P</v>
      </c>
      <c r="D672" s="7">
        <f>IFERROR(__xludf.DUMMYFUNCTION("""COMPUTED_VALUE"""),53.12)</f>
        <v>53.12</v>
      </c>
      <c r="E672" s="6" t="str">
        <f>IFERROR(__xludf.DUMMYFUNCTION("""COMPUTED_VALUE"""),"No")</f>
        <v>No</v>
      </c>
      <c r="F672" s="8" t="str">
        <f>IFERROR(__xludf.DUMMYFUNCTION("""COMPUTED_VALUE"""),"No")</f>
        <v>No</v>
      </c>
    </row>
    <row r="673">
      <c r="A673" s="5">
        <f>IFERROR(__xludf.DUMMYFUNCTION("""COMPUTED_VALUE"""),44705.0)</f>
        <v>44705</v>
      </c>
      <c r="B673" s="6" t="str">
        <f>IFERROR(__xludf.DUMMYFUNCTION("""COMPUTED_VALUE"""),"lunch")</f>
        <v>lunch</v>
      </c>
      <c r="C673" s="6" t="str">
        <f>IFERROR(__xludf.DUMMYFUNCTION("""COMPUTED_VALUE"""),"employee A")</f>
        <v>employee A</v>
      </c>
      <c r="D673" s="7">
        <f>IFERROR(__xludf.DUMMYFUNCTION("""COMPUTED_VALUE"""),99.84)</f>
        <v>99.84</v>
      </c>
      <c r="E673" s="6" t="str">
        <f>IFERROR(__xludf.DUMMYFUNCTION("""COMPUTED_VALUE"""),"No")</f>
        <v>No</v>
      </c>
      <c r="F673" s="8" t="str">
        <f>IFERROR(__xludf.DUMMYFUNCTION("""COMPUTED_VALUE"""),"No")</f>
        <v>No</v>
      </c>
    </row>
    <row r="674">
      <c r="A674" s="5">
        <f>IFERROR(__xludf.DUMMYFUNCTION("""COMPUTED_VALUE"""),44705.0)</f>
        <v>44705</v>
      </c>
      <c r="B674" s="6" t="str">
        <f>IFERROR(__xludf.DUMMYFUNCTION("""COMPUTED_VALUE"""),"dinner")</f>
        <v>dinner</v>
      </c>
      <c r="C674" s="6" t="str">
        <f>IFERROR(__xludf.DUMMYFUNCTION("""COMPUTED_VALUE"""),"employee A")</f>
        <v>employee A</v>
      </c>
      <c r="D674" s="7">
        <f>IFERROR(__xludf.DUMMYFUNCTION("""COMPUTED_VALUE"""),77.62)</f>
        <v>77.62</v>
      </c>
      <c r="E674" s="6" t="str">
        <f>IFERROR(__xludf.DUMMYFUNCTION("""COMPUTED_VALUE"""),"No")</f>
        <v>No</v>
      </c>
      <c r="F674" s="8" t="str">
        <f>IFERROR(__xludf.DUMMYFUNCTION("""COMPUTED_VALUE"""),"No")</f>
        <v>No</v>
      </c>
    </row>
    <row r="675">
      <c r="A675" s="5">
        <f>IFERROR(__xludf.DUMMYFUNCTION("""COMPUTED_VALUE"""),44705.0)</f>
        <v>44705</v>
      </c>
      <c r="B675" s="6" t="str">
        <f>IFERROR(__xludf.DUMMYFUNCTION("""COMPUTED_VALUE"""),"dinner")</f>
        <v>dinner</v>
      </c>
      <c r="C675" s="6" t="str">
        <f>IFERROR(__xludf.DUMMYFUNCTION("""COMPUTED_VALUE"""),"employee J")</f>
        <v>employee J</v>
      </c>
      <c r="D675" s="7">
        <f>IFERROR(__xludf.DUMMYFUNCTION("""COMPUTED_VALUE"""),77.62)</f>
        <v>77.62</v>
      </c>
      <c r="E675" s="6" t="str">
        <f>IFERROR(__xludf.DUMMYFUNCTION("""COMPUTED_VALUE"""),"No")</f>
        <v>No</v>
      </c>
      <c r="F675" s="8" t="str">
        <f>IFERROR(__xludf.DUMMYFUNCTION("""COMPUTED_VALUE"""),"No")</f>
        <v>No</v>
      </c>
    </row>
    <row r="676">
      <c r="A676" s="5">
        <f>IFERROR(__xludf.DUMMYFUNCTION("""COMPUTED_VALUE"""),44706.0)</f>
        <v>44706</v>
      </c>
      <c r="B676" s="6" t="str">
        <f>IFERROR(__xludf.DUMMYFUNCTION("""COMPUTED_VALUE"""),"lunch")</f>
        <v>lunch</v>
      </c>
      <c r="C676" s="6" t="str">
        <f>IFERROR(__xludf.DUMMYFUNCTION("""COMPUTED_VALUE"""),"employee A")</f>
        <v>employee A</v>
      </c>
      <c r="D676" s="7">
        <f>IFERROR(__xludf.DUMMYFUNCTION("""COMPUTED_VALUE"""),72.65)</f>
        <v>72.65</v>
      </c>
      <c r="E676" s="6" t="str">
        <f>IFERROR(__xludf.DUMMYFUNCTION("""COMPUTED_VALUE"""),"No")</f>
        <v>No</v>
      </c>
      <c r="F676" s="8" t="str">
        <f>IFERROR(__xludf.DUMMYFUNCTION("""COMPUTED_VALUE"""),"No")</f>
        <v>No</v>
      </c>
    </row>
    <row r="677">
      <c r="A677" s="5">
        <f>IFERROR(__xludf.DUMMYFUNCTION("""COMPUTED_VALUE"""),44706.0)</f>
        <v>44706</v>
      </c>
      <c r="B677" s="6" t="str">
        <f>IFERROR(__xludf.DUMMYFUNCTION("""COMPUTED_VALUE"""),"dinner")</f>
        <v>dinner</v>
      </c>
      <c r="C677" s="6" t="str">
        <f>IFERROR(__xludf.DUMMYFUNCTION("""COMPUTED_VALUE"""),"employee J")</f>
        <v>employee J</v>
      </c>
      <c r="D677" s="7">
        <f>IFERROR(__xludf.DUMMYFUNCTION("""COMPUTED_VALUE"""),65.82)</f>
        <v>65.82</v>
      </c>
      <c r="E677" s="6" t="str">
        <f>IFERROR(__xludf.DUMMYFUNCTION("""COMPUTED_VALUE"""),"No")</f>
        <v>No</v>
      </c>
      <c r="F677" s="8" t="str">
        <f>IFERROR(__xludf.DUMMYFUNCTION("""COMPUTED_VALUE"""),"No")</f>
        <v>No</v>
      </c>
    </row>
    <row r="678">
      <c r="A678" s="5">
        <f>IFERROR(__xludf.DUMMYFUNCTION("""COMPUTED_VALUE"""),44706.0)</f>
        <v>44706</v>
      </c>
      <c r="B678" s="6" t="str">
        <f>IFERROR(__xludf.DUMMYFUNCTION("""COMPUTED_VALUE"""),"dinner")</f>
        <v>dinner</v>
      </c>
      <c r="C678" s="6" t="str">
        <f>IFERROR(__xludf.DUMMYFUNCTION("""COMPUTED_VALUE"""),"employee P")</f>
        <v>employee P</v>
      </c>
      <c r="D678" s="7">
        <f>IFERROR(__xludf.DUMMYFUNCTION("""COMPUTED_VALUE"""),58.51)</f>
        <v>58.51</v>
      </c>
      <c r="E678" s="6" t="str">
        <f>IFERROR(__xludf.DUMMYFUNCTION("""COMPUTED_VALUE"""),"No")</f>
        <v>No</v>
      </c>
      <c r="F678" s="8" t="str">
        <f>IFERROR(__xludf.DUMMYFUNCTION("""COMPUTED_VALUE"""),"No")</f>
        <v>No</v>
      </c>
    </row>
    <row r="679">
      <c r="A679" s="5">
        <f>IFERROR(__xludf.DUMMYFUNCTION("""COMPUTED_VALUE"""),44706.0)</f>
        <v>44706</v>
      </c>
      <c r="B679" s="6" t="str">
        <f>IFERROR(__xludf.DUMMYFUNCTION("""COMPUTED_VALUE"""),"dinner")</f>
        <v>dinner</v>
      </c>
      <c r="C679" s="6" t="str">
        <f>IFERROR(__xludf.DUMMYFUNCTION("""COMPUTED_VALUE"""),"employee I")</f>
        <v>employee I</v>
      </c>
      <c r="D679" s="7">
        <f>IFERROR(__xludf.DUMMYFUNCTION("""COMPUTED_VALUE"""),51.19)</f>
        <v>51.19</v>
      </c>
      <c r="E679" s="6" t="str">
        <f>IFERROR(__xludf.DUMMYFUNCTION("""COMPUTED_VALUE"""),"No")</f>
        <v>No</v>
      </c>
      <c r="F679" s="8" t="str">
        <f>IFERROR(__xludf.DUMMYFUNCTION("""COMPUTED_VALUE"""),"No")</f>
        <v>No</v>
      </c>
    </row>
    <row r="680">
      <c r="A680" s="5">
        <f>IFERROR(__xludf.DUMMYFUNCTION("""COMPUTED_VALUE"""),44707.0)</f>
        <v>44707</v>
      </c>
      <c r="B680" s="6" t="str">
        <f>IFERROR(__xludf.DUMMYFUNCTION("""COMPUTED_VALUE"""),"lunch")</f>
        <v>lunch</v>
      </c>
      <c r="C680" s="6" t="str">
        <f>IFERROR(__xludf.DUMMYFUNCTION("""COMPUTED_VALUE"""),"employee L")</f>
        <v>employee L</v>
      </c>
      <c r="D680" s="7">
        <f>IFERROR(__xludf.DUMMYFUNCTION("""COMPUTED_VALUE"""),68.85)</f>
        <v>68.85</v>
      </c>
      <c r="E680" s="6" t="str">
        <f>IFERROR(__xludf.DUMMYFUNCTION("""COMPUTED_VALUE"""),"No")</f>
        <v>No</v>
      </c>
      <c r="F680" s="8" t="str">
        <f>IFERROR(__xludf.DUMMYFUNCTION("""COMPUTED_VALUE"""),"No")</f>
        <v>No</v>
      </c>
    </row>
    <row r="681">
      <c r="A681" s="5">
        <f>IFERROR(__xludf.DUMMYFUNCTION("""COMPUTED_VALUE"""),44707.0)</f>
        <v>44707</v>
      </c>
      <c r="B681" s="6" t="str">
        <f>IFERROR(__xludf.DUMMYFUNCTION("""COMPUTED_VALUE"""),"dinner")</f>
        <v>dinner</v>
      </c>
      <c r="C681" s="6" t="str">
        <f>IFERROR(__xludf.DUMMYFUNCTION("""COMPUTED_VALUE"""),"employee A")</f>
        <v>employee A</v>
      </c>
      <c r="D681" s="7">
        <f>IFERROR(__xludf.DUMMYFUNCTION("""COMPUTED_VALUE"""),51.17)</f>
        <v>51.17</v>
      </c>
      <c r="E681" s="6" t="str">
        <f>IFERROR(__xludf.DUMMYFUNCTION("""COMPUTED_VALUE"""),"No")</f>
        <v>No</v>
      </c>
      <c r="F681" s="8" t="str">
        <f>IFERROR(__xludf.DUMMYFUNCTION("""COMPUTED_VALUE"""),"No")</f>
        <v>No</v>
      </c>
    </row>
    <row r="682">
      <c r="A682" s="5">
        <f>IFERROR(__xludf.DUMMYFUNCTION("""COMPUTED_VALUE"""),44707.0)</f>
        <v>44707</v>
      </c>
      <c r="B682" s="6" t="str">
        <f>IFERROR(__xludf.DUMMYFUNCTION("""COMPUTED_VALUE"""),"dinner")</f>
        <v>dinner</v>
      </c>
      <c r="C682" s="6" t="str">
        <f>IFERROR(__xludf.DUMMYFUNCTION("""COMPUTED_VALUE"""),"employee P")</f>
        <v>employee P</v>
      </c>
      <c r="D682" s="7">
        <f>IFERROR(__xludf.DUMMYFUNCTION("""COMPUTED_VALUE"""),76.77)</f>
        <v>76.77</v>
      </c>
      <c r="E682" s="6" t="str">
        <f>IFERROR(__xludf.DUMMYFUNCTION("""COMPUTED_VALUE"""),"No")</f>
        <v>No</v>
      </c>
      <c r="F682" s="8" t="str">
        <f>IFERROR(__xludf.DUMMYFUNCTION("""COMPUTED_VALUE"""),"No")</f>
        <v>No</v>
      </c>
    </row>
    <row r="683">
      <c r="A683" s="5">
        <f>IFERROR(__xludf.DUMMYFUNCTION("""COMPUTED_VALUE"""),44707.0)</f>
        <v>44707</v>
      </c>
      <c r="B683" s="6" t="str">
        <f>IFERROR(__xludf.DUMMYFUNCTION("""COMPUTED_VALUE"""),"dinner")</f>
        <v>dinner</v>
      </c>
      <c r="C683" s="6" t="str">
        <f>IFERROR(__xludf.DUMMYFUNCTION("""COMPUTED_VALUE"""),"employee I")</f>
        <v>employee I</v>
      </c>
      <c r="D683" s="7">
        <f>IFERROR(__xludf.DUMMYFUNCTION("""COMPUTED_VALUE"""),59.71)</f>
        <v>59.71</v>
      </c>
      <c r="E683" s="6" t="str">
        <f>IFERROR(__xludf.DUMMYFUNCTION("""COMPUTED_VALUE"""),"No")</f>
        <v>No</v>
      </c>
      <c r="F683" s="8" t="str">
        <f>IFERROR(__xludf.DUMMYFUNCTION("""COMPUTED_VALUE"""),"No")</f>
        <v>No</v>
      </c>
    </row>
    <row r="684">
      <c r="A684" s="5">
        <f>IFERROR(__xludf.DUMMYFUNCTION("""COMPUTED_VALUE"""),44708.0)</f>
        <v>44708</v>
      </c>
      <c r="B684" s="6" t="str">
        <f>IFERROR(__xludf.DUMMYFUNCTION("""COMPUTED_VALUE"""),"lunch")</f>
        <v>lunch</v>
      </c>
      <c r="C684" s="6" t="str">
        <f>IFERROR(__xludf.DUMMYFUNCTION("""COMPUTED_VALUE"""),"employee B")</f>
        <v>employee B</v>
      </c>
      <c r="D684" s="7">
        <f>IFERROR(__xludf.DUMMYFUNCTION("""COMPUTED_VALUE"""),62.26)</f>
        <v>62.26</v>
      </c>
      <c r="E684" s="6" t="str">
        <f>IFERROR(__xludf.DUMMYFUNCTION("""COMPUTED_VALUE"""),"No")</f>
        <v>No</v>
      </c>
      <c r="F684" s="8" t="str">
        <f>IFERROR(__xludf.DUMMYFUNCTION("""COMPUTED_VALUE"""),"No")</f>
        <v>No</v>
      </c>
    </row>
    <row r="685">
      <c r="A685" s="5">
        <f>IFERROR(__xludf.DUMMYFUNCTION("""COMPUTED_VALUE"""),44708.0)</f>
        <v>44708</v>
      </c>
      <c r="B685" s="6" t="str">
        <f>IFERROR(__xludf.DUMMYFUNCTION("""COMPUTED_VALUE"""),"lunch")</f>
        <v>lunch</v>
      </c>
      <c r="C685" s="6" t="str">
        <f>IFERROR(__xludf.DUMMYFUNCTION("""COMPUTED_VALUE"""),"employee P")</f>
        <v>employee P</v>
      </c>
      <c r="D685" s="7">
        <f>IFERROR(__xludf.DUMMYFUNCTION("""COMPUTED_VALUE"""),53.36)</f>
        <v>53.36</v>
      </c>
      <c r="E685" s="6" t="str">
        <f>IFERROR(__xludf.DUMMYFUNCTION("""COMPUTED_VALUE"""),"No")</f>
        <v>No</v>
      </c>
      <c r="F685" s="8" t="str">
        <f>IFERROR(__xludf.DUMMYFUNCTION("""COMPUTED_VALUE"""),"No")</f>
        <v>No</v>
      </c>
    </row>
    <row r="686">
      <c r="A686" s="5">
        <f>IFERROR(__xludf.DUMMYFUNCTION("""COMPUTED_VALUE"""),44708.0)</f>
        <v>44708</v>
      </c>
      <c r="B686" s="6" t="str">
        <f>IFERROR(__xludf.DUMMYFUNCTION("""COMPUTED_VALUE"""),"dinner")</f>
        <v>dinner</v>
      </c>
      <c r="C686" s="6" t="str">
        <f>IFERROR(__xludf.DUMMYFUNCTION("""COMPUTED_VALUE"""),"employee J")</f>
        <v>employee J</v>
      </c>
      <c r="D686" s="7">
        <f>IFERROR(__xludf.DUMMYFUNCTION("""COMPUTED_VALUE"""),68.25)</f>
        <v>68.25</v>
      </c>
      <c r="E686" s="6" t="str">
        <f>IFERROR(__xludf.DUMMYFUNCTION("""COMPUTED_VALUE"""),"No")</f>
        <v>No</v>
      </c>
      <c r="F686" s="8" t="str">
        <f>IFERROR(__xludf.DUMMYFUNCTION("""COMPUTED_VALUE"""),"No")</f>
        <v>No</v>
      </c>
    </row>
    <row r="687">
      <c r="A687" s="5">
        <f>IFERROR(__xludf.DUMMYFUNCTION("""COMPUTED_VALUE"""),44708.0)</f>
        <v>44708</v>
      </c>
      <c r="B687" s="6" t="str">
        <f>IFERROR(__xludf.DUMMYFUNCTION("""COMPUTED_VALUE"""),"dinner")</f>
        <v>dinner</v>
      </c>
      <c r="C687" s="6" t="str">
        <f>IFERROR(__xludf.DUMMYFUNCTION("""COMPUTED_VALUE"""),"employee L")</f>
        <v>employee L</v>
      </c>
      <c r="D687" s="7">
        <f>IFERROR(__xludf.DUMMYFUNCTION("""COMPUTED_VALUE"""),76.79)</f>
        <v>76.79</v>
      </c>
      <c r="E687" s="6" t="str">
        <f>IFERROR(__xludf.DUMMYFUNCTION("""COMPUTED_VALUE"""),"No")</f>
        <v>No</v>
      </c>
      <c r="F687" s="8" t="str">
        <f>IFERROR(__xludf.DUMMYFUNCTION("""COMPUTED_VALUE"""),"No")</f>
        <v>No</v>
      </c>
    </row>
    <row r="688">
      <c r="A688" s="5">
        <f>IFERROR(__xludf.DUMMYFUNCTION("""COMPUTED_VALUE"""),44708.0)</f>
        <v>44708</v>
      </c>
      <c r="B688" s="6" t="str">
        <f>IFERROR(__xludf.DUMMYFUNCTION("""COMPUTED_VALUE"""),"dinner")</f>
        <v>dinner</v>
      </c>
      <c r="C688" s="6" t="str">
        <f>IFERROR(__xludf.DUMMYFUNCTION("""COMPUTED_VALUE"""),"employee I")</f>
        <v>employee I</v>
      </c>
      <c r="D688" s="7">
        <f>IFERROR(__xludf.DUMMYFUNCTION("""COMPUTED_VALUE"""),59.72)</f>
        <v>59.72</v>
      </c>
      <c r="E688" s="6" t="str">
        <f>IFERROR(__xludf.DUMMYFUNCTION("""COMPUTED_VALUE"""),"No")</f>
        <v>No</v>
      </c>
      <c r="F688" s="8" t="str">
        <f>IFERROR(__xludf.DUMMYFUNCTION("""COMPUTED_VALUE"""),"No")</f>
        <v>No</v>
      </c>
    </row>
    <row r="689">
      <c r="A689" s="5">
        <f>IFERROR(__xludf.DUMMYFUNCTION("""COMPUTED_VALUE"""),44709.0)</f>
        <v>44709</v>
      </c>
      <c r="B689" s="6" t="str">
        <f>IFERROR(__xludf.DUMMYFUNCTION("""COMPUTED_VALUE"""),"lunch")</f>
        <v>lunch</v>
      </c>
      <c r="C689" s="6" t="str">
        <f>IFERROR(__xludf.DUMMYFUNCTION("""COMPUTED_VALUE"""),"employee B")</f>
        <v>employee B</v>
      </c>
      <c r="D689" s="7">
        <f>IFERROR(__xludf.DUMMYFUNCTION("""COMPUTED_VALUE"""),126.63)</f>
        <v>126.63</v>
      </c>
      <c r="E689" s="6" t="str">
        <f>IFERROR(__xludf.DUMMYFUNCTION("""COMPUTED_VALUE"""),"No")</f>
        <v>No</v>
      </c>
      <c r="F689" s="8" t="str">
        <f>IFERROR(__xludf.DUMMYFUNCTION("""COMPUTED_VALUE"""),"No")</f>
        <v>No</v>
      </c>
    </row>
    <row r="690">
      <c r="A690" s="5">
        <f>IFERROR(__xludf.DUMMYFUNCTION("""COMPUTED_VALUE"""),44709.0)</f>
        <v>44709</v>
      </c>
      <c r="B690" s="6" t="str">
        <f>IFERROR(__xludf.DUMMYFUNCTION("""COMPUTED_VALUE"""),"lunch")</f>
        <v>lunch</v>
      </c>
      <c r="C690" s="6" t="str">
        <f>IFERROR(__xludf.DUMMYFUNCTION("""COMPUTED_VALUE"""),"employee L")</f>
        <v>employee L</v>
      </c>
      <c r="D690" s="7">
        <f>IFERROR(__xludf.DUMMYFUNCTION("""COMPUTED_VALUE"""),90.48)</f>
        <v>90.48</v>
      </c>
      <c r="E690" s="6" t="str">
        <f>IFERROR(__xludf.DUMMYFUNCTION("""COMPUTED_VALUE"""),"No")</f>
        <v>No</v>
      </c>
      <c r="F690" s="8" t="str">
        <f>IFERROR(__xludf.DUMMYFUNCTION("""COMPUTED_VALUE"""),"No")</f>
        <v>No</v>
      </c>
    </row>
    <row r="691">
      <c r="A691" s="5">
        <f>IFERROR(__xludf.DUMMYFUNCTION("""COMPUTED_VALUE"""),44709.0)</f>
        <v>44709</v>
      </c>
      <c r="B691" s="6" t="str">
        <f>IFERROR(__xludf.DUMMYFUNCTION("""COMPUTED_VALUE"""),"lunch")</f>
        <v>lunch</v>
      </c>
      <c r="C691" s="6" t="str">
        <f>IFERROR(__xludf.DUMMYFUNCTION("""COMPUTED_VALUE"""),"employee G")</f>
        <v>employee G</v>
      </c>
      <c r="D691" s="7">
        <f>IFERROR(__xludf.DUMMYFUNCTION("""COMPUTED_VALUE"""),90.48)</f>
        <v>90.48</v>
      </c>
      <c r="E691" s="6" t="str">
        <f>IFERROR(__xludf.DUMMYFUNCTION("""COMPUTED_VALUE"""),"No")</f>
        <v>No</v>
      </c>
      <c r="F691" s="8" t="str">
        <f>IFERROR(__xludf.DUMMYFUNCTION("""COMPUTED_VALUE"""),"No")</f>
        <v>No</v>
      </c>
    </row>
    <row r="692">
      <c r="A692" s="5">
        <f>IFERROR(__xludf.DUMMYFUNCTION("""COMPUTED_VALUE"""),44709.0)</f>
        <v>44709</v>
      </c>
      <c r="B692" s="6" t="str">
        <f>IFERROR(__xludf.DUMMYFUNCTION("""COMPUTED_VALUE"""),"dinner")</f>
        <v>dinner</v>
      </c>
      <c r="C692" s="6" t="str">
        <f>IFERROR(__xludf.DUMMYFUNCTION("""COMPUTED_VALUE"""),"employee L")</f>
        <v>employee L</v>
      </c>
      <c r="D692" s="7">
        <f>IFERROR(__xludf.DUMMYFUNCTION("""COMPUTED_VALUE"""),45.67)</f>
        <v>45.67</v>
      </c>
      <c r="E692" s="6" t="str">
        <f>IFERROR(__xludf.DUMMYFUNCTION("""COMPUTED_VALUE"""),"No")</f>
        <v>No</v>
      </c>
      <c r="F692" s="8" t="str">
        <f>IFERROR(__xludf.DUMMYFUNCTION("""COMPUTED_VALUE"""),"No")</f>
        <v>No</v>
      </c>
    </row>
    <row r="693">
      <c r="A693" s="5">
        <f>IFERROR(__xludf.DUMMYFUNCTION("""COMPUTED_VALUE"""),44709.0)</f>
        <v>44709</v>
      </c>
      <c r="B693" s="6" t="str">
        <f>IFERROR(__xludf.DUMMYFUNCTION("""COMPUTED_VALUE"""),"dinner")</f>
        <v>dinner</v>
      </c>
      <c r="C693" s="6" t="str">
        <f>IFERROR(__xludf.DUMMYFUNCTION("""COMPUTED_VALUE"""),"employee P")</f>
        <v>employee P</v>
      </c>
      <c r="D693" s="7">
        <f>IFERROR(__xludf.DUMMYFUNCTION("""COMPUTED_VALUE"""),45.67)</f>
        <v>45.67</v>
      </c>
      <c r="E693" s="6" t="str">
        <f>IFERROR(__xludf.DUMMYFUNCTION("""COMPUTED_VALUE"""),"No")</f>
        <v>No</v>
      </c>
      <c r="F693" s="8" t="str">
        <f>IFERROR(__xludf.DUMMYFUNCTION("""COMPUTED_VALUE"""),"No")</f>
        <v>No</v>
      </c>
    </row>
    <row r="694">
      <c r="A694" s="5">
        <f>IFERROR(__xludf.DUMMYFUNCTION("""COMPUTED_VALUE"""),44709.0)</f>
        <v>44709</v>
      </c>
      <c r="B694" s="6" t="str">
        <f>IFERROR(__xludf.DUMMYFUNCTION("""COMPUTED_VALUE"""),"dinner")</f>
        <v>dinner</v>
      </c>
      <c r="C694" s="6" t="str">
        <f>IFERROR(__xludf.DUMMYFUNCTION("""COMPUTED_VALUE"""),"employee I")</f>
        <v>employee I</v>
      </c>
      <c r="D694" s="7">
        <f>IFERROR(__xludf.DUMMYFUNCTION("""COMPUTED_VALUE"""),35.53)</f>
        <v>35.53</v>
      </c>
      <c r="E694" s="6" t="str">
        <f>IFERROR(__xludf.DUMMYFUNCTION("""COMPUTED_VALUE"""),"No")</f>
        <v>No</v>
      </c>
      <c r="F694" s="8" t="str">
        <f>IFERROR(__xludf.DUMMYFUNCTION("""COMPUTED_VALUE"""),"No")</f>
        <v>No</v>
      </c>
    </row>
    <row r="695">
      <c r="A695" s="5">
        <f>IFERROR(__xludf.DUMMYFUNCTION("""COMPUTED_VALUE"""),44710.0)</f>
        <v>44710</v>
      </c>
      <c r="B695" s="6" t="str">
        <f>IFERROR(__xludf.DUMMYFUNCTION("""COMPUTED_VALUE"""),"lunch")</f>
        <v>lunch</v>
      </c>
      <c r="C695" s="6" t="str">
        <f>IFERROR(__xludf.DUMMYFUNCTION("""COMPUTED_VALUE"""),"employee B")</f>
        <v>employee B</v>
      </c>
      <c r="D695" s="7">
        <f>IFERROR(__xludf.DUMMYFUNCTION("""COMPUTED_VALUE"""),62.58)</f>
        <v>62.58</v>
      </c>
      <c r="E695" s="6" t="str">
        <f>IFERROR(__xludf.DUMMYFUNCTION("""COMPUTED_VALUE"""),"No")</f>
        <v>No</v>
      </c>
      <c r="F695" s="8" t="str">
        <f>IFERROR(__xludf.DUMMYFUNCTION("""COMPUTED_VALUE"""),"No")</f>
        <v>No</v>
      </c>
    </row>
    <row r="696">
      <c r="A696" s="5">
        <f>IFERROR(__xludf.DUMMYFUNCTION("""COMPUTED_VALUE"""),44710.0)</f>
        <v>44710</v>
      </c>
      <c r="B696" s="6" t="str">
        <f>IFERROR(__xludf.DUMMYFUNCTION("""COMPUTED_VALUE"""),"lunch")</f>
        <v>lunch</v>
      </c>
      <c r="C696" s="6" t="str">
        <f>IFERROR(__xludf.DUMMYFUNCTION("""COMPUTED_VALUE"""),"employee L")</f>
        <v>employee L</v>
      </c>
      <c r="D696" s="7">
        <f>IFERROR(__xludf.DUMMYFUNCTION("""COMPUTED_VALUE"""),56.9)</f>
        <v>56.9</v>
      </c>
      <c r="E696" s="6" t="str">
        <f>IFERROR(__xludf.DUMMYFUNCTION("""COMPUTED_VALUE"""),"No")</f>
        <v>No</v>
      </c>
      <c r="F696" s="8" t="str">
        <f>IFERROR(__xludf.DUMMYFUNCTION("""COMPUTED_VALUE"""),"No")</f>
        <v>No</v>
      </c>
    </row>
    <row r="697">
      <c r="A697" s="5">
        <f>IFERROR(__xludf.DUMMYFUNCTION("""COMPUTED_VALUE"""),44710.0)</f>
        <v>44710</v>
      </c>
      <c r="B697" s="6" t="str">
        <f>IFERROR(__xludf.DUMMYFUNCTION("""COMPUTED_VALUE"""),"lunch")</f>
        <v>lunch</v>
      </c>
      <c r="C697" s="6" t="str">
        <f>IFERROR(__xludf.DUMMYFUNCTION("""COMPUTED_VALUE"""),"employee P")</f>
        <v>employee P</v>
      </c>
      <c r="D697" s="7">
        <f>IFERROR(__xludf.DUMMYFUNCTION("""COMPUTED_VALUE"""),56.9)</f>
        <v>56.9</v>
      </c>
      <c r="E697" s="6" t="str">
        <f>IFERROR(__xludf.DUMMYFUNCTION("""COMPUTED_VALUE"""),"No")</f>
        <v>No</v>
      </c>
      <c r="F697" s="8" t="str">
        <f>IFERROR(__xludf.DUMMYFUNCTION("""COMPUTED_VALUE"""),"No")</f>
        <v>No</v>
      </c>
    </row>
    <row r="698">
      <c r="A698" s="5">
        <f>IFERROR(__xludf.DUMMYFUNCTION("""COMPUTED_VALUE"""),44710.0)</f>
        <v>44710</v>
      </c>
      <c r="B698" s="6" t="str">
        <f>IFERROR(__xludf.DUMMYFUNCTION("""COMPUTED_VALUE"""),"dinner")</f>
        <v>dinner</v>
      </c>
      <c r="C698" s="6" t="str">
        <f>IFERROR(__xludf.DUMMYFUNCTION("""COMPUTED_VALUE"""),"employee L")</f>
        <v>employee L</v>
      </c>
      <c r="D698" s="7">
        <f>IFERROR(__xludf.DUMMYFUNCTION("""COMPUTED_VALUE"""),44.84)</f>
        <v>44.84</v>
      </c>
      <c r="E698" s="6" t="str">
        <f>IFERROR(__xludf.DUMMYFUNCTION("""COMPUTED_VALUE"""),"No")</f>
        <v>No</v>
      </c>
      <c r="F698" s="8" t="str">
        <f>IFERROR(__xludf.DUMMYFUNCTION("""COMPUTED_VALUE"""),"No")</f>
        <v>No</v>
      </c>
    </row>
    <row r="699">
      <c r="A699" s="5">
        <f>IFERROR(__xludf.DUMMYFUNCTION("""COMPUTED_VALUE"""),44710.0)</f>
        <v>44710</v>
      </c>
      <c r="B699" s="6" t="str">
        <f>IFERROR(__xludf.DUMMYFUNCTION("""COMPUTED_VALUE"""),"dinner")</f>
        <v>dinner</v>
      </c>
      <c r="C699" s="6" t="str">
        <f>IFERROR(__xludf.DUMMYFUNCTION("""COMPUTED_VALUE"""),"employee P")</f>
        <v>employee P</v>
      </c>
      <c r="D699" s="7">
        <f>IFERROR(__xludf.DUMMYFUNCTION("""COMPUTED_VALUE"""),38.88)</f>
        <v>38.88</v>
      </c>
      <c r="E699" s="6" t="str">
        <f>IFERROR(__xludf.DUMMYFUNCTION("""COMPUTED_VALUE"""),"No")</f>
        <v>No</v>
      </c>
      <c r="F699" s="8" t="str">
        <f>IFERROR(__xludf.DUMMYFUNCTION("""COMPUTED_VALUE"""),"No")</f>
        <v>No</v>
      </c>
    </row>
    <row r="700">
      <c r="A700" s="5">
        <f>IFERROR(__xludf.DUMMYFUNCTION("""COMPUTED_VALUE"""),44710.0)</f>
        <v>44710</v>
      </c>
      <c r="B700" s="6" t="str">
        <f>IFERROR(__xludf.DUMMYFUNCTION("""COMPUTED_VALUE"""),"dinner")</f>
        <v>dinner</v>
      </c>
      <c r="C700" s="6" t="str">
        <f>IFERROR(__xludf.DUMMYFUNCTION("""COMPUTED_VALUE"""),"employee G")</f>
        <v>employee G</v>
      </c>
      <c r="D700" s="7">
        <f>IFERROR(__xludf.DUMMYFUNCTION("""COMPUTED_VALUE"""),44.85)</f>
        <v>44.85</v>
      </c>
      <c r="E700" s="6" t="str">
        <f>IFERROR(__xludf.DUMMYFUNCTION("""COMPUTED_VALUE"""),"No")</f>
        <v>No</v>
      </c>
      <c r="F700" s="8" t="str">
        <f>IFERROR(__xludf.DUMMYFUNCTION("""COMPUTED_VALUE"""),"No")</f>
        <v>No</v>
      </c>
    </row>
    <row r="701">
      <c r="A701" s="5">
        <f>IFERROR(__xludf.DUMMYFUNCTION("""COMPUTED_VALUE"""),44711.0)</f>
        <v>44711</v>
      </c>
      <c r="B701" s="6" t="str">
        <f>IFERROR(__xludf.DUMMYFUNCTION("""COMPUTED_VALUE"""),"lunch")</f>
        <v>lunch</v>
      </c>
      <c r="C701" s="6" t="str">
        <f>IFERROR(__xludf.DUMMYFUNCTION("""COMPUTED_VALUE"""),"employee B")</f>
        <v>employee B</v>
      </c>
      <c r="D701" s="7">
        <f>IFERROR(__xludf.DUMMYFUNCTION("""COMPUTED_VALUE"""),126.85)</f>
        <v>126.85</v>
      </c>
      <c r="E701" s="6" t="str">
        <f>IFERROR(__xludf.DUMMYFUNCTION("""COMPUTED_VALUE"""),"No")</f>
        <v>No</v>
      </c>
      <c r="F701" s="8" t="str">
        <f>IFERROR(__xludf.DUMMYFUNCTION("""COMPUTED_VALUE"""),"No")</f>
        <v>No</v>
      </c>
    </row>
    <row r="702">
      <c r="A702" s="5">
        <f>IFERROR(__xludf.DUMMYFUNCTION("""COMPUTED_VALUE"""),44711.0)</f>
        <v>44711</v>
      </c>
      <c r="B702" s="6" t="str">
        <f>IFERROR(__xludf.DUMMYFUNCTION("""COMPUTED_VALUE"""),"lunch")</f>
        <v>lunch</v>
      </c>
      <c r="C702" s="6" t="str">
        <f>IFERROR(__xludf.DUMMYFUNCTION("""COMPUTED_VALUE"""),"employee P")</f>
        <v>employee P</v>
      </c>
      <c r="D702" s="7">
        <f>IFERROR(__xludf.DUMMYFUNCTION("""COMPUTED_VALUE"""),101.46)</f>
        <v>101.46</v>
      </c>
      <c r="E702" s="6" t="str">
        <f>IFERROR(__xludf.DUMMYFUNCTION("""COMPUTED_VALUE"""),"No")</f>
        <v>No</v>
      </c>
      <c r="F702" s="8" t="str">
        <f>IFERROR(__xludf.DUMMYFUNCTION("""COMPUTED_VALUE"""),"No")</f>
        <v>No</v>
      </c>
    </row>
    <row r="703">
      <c r="A703" s="5">
        <f>IFERROR(__xludf.DUMMYFUNCTION("""COMPUTED_VALUE"""),44711.0)</f>
        <v>44711</v>
      </c>
      <c r="B703" s="6" t="str">
        <f>IFERROR(__xludf.DUMMYFUNCTION("""COMPUTED_VALUE"""),"dinner")</f>
        <v>dinner</v>
      </c>
      <c r="C703" s="6" t="str">
        <f>IFERROR(__xludf.DUMMYFUNCTION("""COMPUTED_VALUE"""),"employee B")</f>
        <v>employee B</v>
      </c>
      <c r="D703" s="7">
        <f>IFERROR(__xludf.DUMMYFUNCTION("""COMPUTED_VALUE"""),76.86)</f>
        <v>76.86</v>
      </c>
      <c r="E703" s="6" t="str">
        <f>IFERROR(__xludf.DUMMYFUNCTION("""COMPUTED_VALUE"""),"No")</f>
        <v>No</v>
      </c>
      <c r="F703" s="8" t="str">
        <f>IFERROR(__xludf.DUMMYFUNCTION("""COMPUTED_VALUE"""),"No")</f>
        <v>No</v>
      </c>
    </row>
    <row r="704">
      <c r="A704" s="5">
        <f>IFERROR(__xludf.DUMMYFUNCTION("""COMPUTED_VALUE"""),44711.0)</f>
        <v>44711</v>
      </c>
      <c r="B704" s="6" t="str">
        <f>IFERROR(__xludf.DUMMYFUNCTION("""COMPUTED_VALUE"""),"dinner")</f>
        <v>dinner</v>
      </c>
      <c r="C704" s="6" t="str">
        <f>IFERROR(__xludf.DUMMYFUNCTION("""COMPUTED_VALUE"""),"employee L")</f>
        <v>employee L</v>
      </c>
      <c r="D704" s="7">
        <f>IFERROR(__xludf.DUMMYFUNCTION("""COMPUTED_VALUE"""),76.87)</f>
        <v>76.87</v>
      </c>
      <c r="E704" s="6" t="str">
        <f>IFERROR(__xludf.DUMMYFUNCTION("""COMPUTED_VALUE"""),"No")</f>
        <v>No</v>
      </c>
      <c r="F704" s="8" t="str">
        <f>IFERROR(__xludf.DUMMYFUNCTION("""COMPUTED_VALUE"""),"No")</f>
        <v>No</v>
      </c>
    </row>
    <row r="705">
      <c r="A705" s="5">
        <f>IFERROR(__xludf.DUMMYFUNCTION("""COMPUTED_VALUE"""),44711.0)</f>
        <v>44711</v>
      </c>
      <c r="B705" s="6" t="str">
        <f>IFERROR(__xludf.DUMMYFUNCTION("""COMPUTED_VALUE"""),"dinner")</f>
        <v>dinner</v>
      </c>
      <c r="C705" s="6" t="str">
        <f>IFERROR(__xludf.DUMMYFUNCTION("""COMPUTED_VALUE"""),"employee I")</f>
        <v>employee I</v>
      </c>
      <c r="D705" s="7">
        <f>IFERROR(__xludf.DUMMYFUNCTION("""COMPUTED_VALUE"""),59.75)</f>
        <v>59.75</v>
      </c>
      <c r="E705" s="6" t="str">
        <f>IFERROR(__xludf.DUMMYFUNCTION("""COMPUTED_VALUE"""),"No")</f>
        <v>No</v>
      </c>
      <c r="F705" s="8" t="str">
        <f>IFERROR(__xludf.DUMMYFUNCTION("""COMPUTED_VALUE"""),"No")</f>
        <v>No</v>
      </c>
    </row>
    <row r="706">
      <c r="A706" s="5">
        <f>IFERROR(__xludf.DUMMYFUNCTION("""COMPUTED_VALUE"""),44712.0)</f>
        <v>44712</v>
      </c>
      <c r="B706" s="6" t="str">
        <f>IFERROR(__xludf.DUMMYFUNCTION("""COMPUTED_VALUE"""),"lunch")</f>
        <v>lunch</v>
      </c>
      <c r="C706" s="6" t="str">
        <f>IFERROR(__xludf.DUMMYFUNCTION("""COMPUTED_VALUE"""),"employee A")</f>
        <v>employee A</v>
      </c>
      <c r="D706" s="7">
        <f>IFERROR(__xludf.DUMMYFUNCTION("""COMPUTED_VALUE"""),107.64)</f>
        <v>107.64</v>
      </c>
      <c r="E706" s="6" t="str">
        <f>IFERROR(__xludf.DUMMYFUNCTION("""COMPUTED_VALUE"""),"No")</f>
        <v>No</v>
      </c>
      <c r="F706" s="8" t="str">
        <f>IFERROR(__xludf.DUMMYFUNCTION("""COMPUTED_VALUE"""),"No")</f>
        <v>No</v>
      </c>
    </row>
    <row r="707">
      <c r="A707" s="5">
        <f>IFERROR(__xludf.DUMMYFUNCTION("""COMPUTED_VALUE"""),44712.0)</f>
        <v>44712</v>
      </c>
      <c r="B707" s="6" t="str">
        <f>IFERROR(__xludf.DUMMYFUNCTION("""COMPUTED_VALUE"""),"dinner")</f>
        <v>dinner</v>
      </c>
      <c r="C707" s="6" t="str">
        <f>IFERROR(__xludf.DUMMYFUNCTION("""COMPUTED_VALUE"""),"employee A")</f>
        <v>employee A</v>
      </c>
      <c r="D707" s="7">
        <f>IFERROR(__xludf.DUMMYFUNCTION("""COMPUTED_VALUE"""),63.56)</f>
        <v>63.56</v>
      </c>
      <c r="E707" s="6" t="str">
        <f>IFERROR(__xludf.DUMMYFUNCTION("""COMPUTED_VALUE"""),"No")</f>
        <v>No</v>
      </c>
      <c r="F707" s="8" t="str">
        <f>IFERROR(__xludf.DUMMYFUNCTION("""COMPUTED_VALUE"""),"No")</f>
        <v>No</v>
      </c>
    </row>
    <row r="708">
      <c r="A708" s="5">
        <f>IFERROR(__xludf.DUMMYFUNCTION("""COMPUTED_VALUE"""),44712.0)</f>
        <v>44712</v>
      </c>
      <c r="B708" s="6" t="str">
        <f>IFERROR(__xludf.DUMMYFUNCTION("""COMPUTED_VALUE"""),"dinner")</f>
        <v>dinner</v>
      </c>
      <c r="C708" s="6" t="str">
        <f>IFERROR(__xludf.DUMMYFUNCTION("""COMPUTED_VALUE"""),"employee J")</f>
        <v>employee J</v>
      </c>
      <c r="D708" s="7">
        <f>IFERROR(__xludf.DUMMYFUNCTION("""COMPUTED_VALUE"""),71.51)</f>
        <v>71.51</v>
      </c>
      <c r="E708" s="6" t="str">
        <f>IFERROR(__xludf.DUMMYFUNCTION("""COMPUTED_VALUE"""),"No")</f>
        <v>No</v>
      </c>
      <c r="F708" s="8" t="str">
        <f>IFERROR(__xludf.DUMMYFUNCTION("""COMPUTED_VALUE"""),"No")</f>
        <v>No</v>
      </c>
    </row>
    <row r="709">
      <c r="A709" s="5">
        <f>IFERROR(__xludf.DUMMYFUNCTION("""COMPUTED_VALUE"""),44712.0)</f>
        <v>44712</v>
      </c>
      <c r="B709" s="6" t="str">
        <f>IFERROR(__xludf.DUMMYFUNCTION("""COMPUTED_VALUE"""),"dinner")</f>
        <v>dinner</v>
      </c>
      <c r="C709" s="6" t="str">
        <f>IFERROR(__xludf.DUMMYFUNCTION("""COMPUTED_VALUE"""),"employee I")</f>
        <v>employee I</v>
      </c>
      <c r="D709" s="7">
        <f>IFERROR(__xludf.DUMMYFUNCTION("""COMPUTED_VALUE"""),55.62)</f>
        <v>55.62</v>
      </c>
      <c r="E709" s="6" t="str">
        <f>IFERROR(__xludf.DUMMYFUNCTION("""COMPUTED_VALUE"""),"No")</f>
        <v>No</v>
      </c>
      <c r="F709" s="8" t="str">
        <f>IFERROR(__xludf.DUMMYFUNCTION("""COMPUTED_VALUE"""),"No")</f>
        <v>No</v>
      </c>
    </row>
    <row r="710">
      <c r="A710" s="5">
        <f>IFERROR(__xludf.DUMMYFUNCTION("""COMPUTED_VALUE"""),44713.0)</f>
        <v>44713</v>
      </c>
      <c r="B710" s="6" t="str">
        <f>IFERROR(__xludf.DUMMYFUNCTION("""COMPUTED_VALUE"""),"lunch")</f>
        <v>lunch</v>
      </c>
      <c r="C710" s="6" t="str">
        <f>IFERROR(__xludf.DUMMYFUNCTION("""COMPUTED_VALUE"""),"employee A")</f>
        <v>employee A</v>
      </c>
      <c r="D710" s="7">
        <f>IFERROR(__xludf.DUMMYFUNCTION("""COMPUTED_VALUE"""),14.1)</f>
        <v>14.1</v>
      </c>
      <c r="E710" s="6" t="str">
        <f>IFERROR(__xludf.DUMMYFUNCTION("""COMPUTED_VALUE"""),"No")</f>
        <v>No</v>
      </c>
      <c r="F710" s="8" t="str">
        <f>IFERROR(__xludf.DUMMYFUNCTION("""COMPUTED_VALUE"""),"No")</f>
        <v>No</v>
      </c>
    </row>
    <row r="711">
      <c r="A711" s="5">
        <f>IFERROR(__xludf.DUMMYFUNCTION("""COMPUTED_VALUE"""),44713.0)</f>
        <v>44713</v>
      </c>
      <c r="B711" s="6" t="str">
        <f>IFERROR(__xludf.DUMMYFUNCTION("""COMPUTED_VALUE"""),"dinner")</f>
        <v>dinner</v>
      </c>
      <c r="C711" s="6" t="str">
        <f>IFERROR(__xludf.DUMMYFUNCTION("""COMPUTED_VALUE"""),"employee A")</f>
        <v>employee A</v>
      </c>
      <c r="D711" s="7">
        <f>IFERROR(__xludf.DUMMYFUNCTION("""COMPUTED_VALUE"""),69.6)</f>
        <v>69.6</v>
      </c>
      <c r="E711" s="6" t="str">
        <f>IFERROR(__xludf.DUMMYFUNCTION("""COMPUTED_VALUE"""),"No")</f>
        <v>No</v>
      </c>
      <c r="F711" s="8" t="str">
        <f>IFERROR(__xludf.DUMMYFUNCTION("""COMPUTED_VALUE"""),"No")</f>
        <v>No</v>
      </c>
    </row>
    <row r="712">
      <c r="A712" s="5">
        <f>IFERROR(__xludf.DUMMYFUNCTION("""COMPUTED_VALUE"""),44713.0)</f>
        <v>44713</v>
      </c>
      <c r="B712" s="6" t="str">
        <f>IFERROR(__xludf.DUMMYFUNCTION("""COMPUTED_VALUE"""),"dinner")</f>
        <v>dinner</v>
      </c>
      <c r="C712" s="6" t="str">
        <f>IFERROR(__xludf.DUMMYFUNCTION("""COMPUTED_VALUE"""),"employee L")</f>
        <v>employee L</v>
      </c>
      <c r="D712" s="7">
        <f>IFERROR(__xludf.DUMMYFUNCTION("""COMPUTED_VALUE"""),46.39)</f>
        <v>46.39</v>
      </c>
      <c r="E712" s="6" t="str">
        <f>IFERROR(__xludf.DUMMYFUNCTION("""COMPUTED_VALUE"""),"No")</f>
        <v>No</v>
      </c>
      <c r="F712" s="8" t="str">
        <f>IFERROR(__xludf.DUMMYFUNCTION("""COMPUTED_VALUE"""),"No")</f>
        <v>No</v>
      </c>
    </row>
    <row r="713">
      <c r="A713" s="5">
        <f>IFERROR(__xludf.DUMMYFUNCTION("""COMPUTED_VALUE"""),44714.0)</f>
        <v>44714</v>
      </c>
      <c r="B713" s="6" t="str">
        <f>IFERROR(__xludf.DUMMYFUNCTION("""COMPUTED_VALUE"""),"lunch")</f>
        <v>lunch</v>
      </c>
      <c r="C713" s="6" t="str">
        <f>IFERROR(__xludf.DUMMYFUNCTION("""COMPUTED_VALUE"""),"employee L")</f>
        <v>employee L</v>
      </c>
      <c r="D713" s="7">
        <f>IFERROR(__xludf.DUMMYFUNCTION("""COMPUTED_VALUE"""),86.31)</f>
        <v>86.31</v>
      </c>
      <c r="E713" s="6" t="str">
        <f>IFERROR(__xludf.DUMMYFUNCTION("""COMPUTED_VALUE"""),"No")</f>
        <v>No</v>
      </c>
      <c r="F713" s="8" t="str">
        <f>IFERROR(__xludf.DUMMYFUNCTION("""COMPUTED_VALUE"""),"No")</f>
        <v>No</v>
      </c>
    </row>
    <row r="714">
      <c r="A714" s="5">
        <f>IFERROR(__xludf.DUMMYFUNCTION("""COMPUTED_VALUE"""),44714.0)</f>
        <v>44714</v>
      </c>
      <c r="B714" s="6" t="str">
        <f>IFERROR(__xludf.DUMMYFUNCTION("""COMPUTED_VALUE"""),"dinner")</f>
        <v>dinner</v>
      </c>
      <c r="C714" s="6" t="str">
        <f>IFERROR(__xludf.DUMMYFUNCTION("""COMPUTED_VALUE"""),"employee A")</f>
        <v>employee A</v>
      </c>
      <c r="D714" s="7">
        <f>IFERROR(__xludf.DUMMYFUNCTION("""COMPUTED_VALUE"""),80.11)</f>
        <v>80.11</v>
      </c>
      <c r="E714" s="6" t="str">
        <f>IFERROR(__xludf.DUMMYFUNCTION("""COMPUTED_VALUE"""),"No")</f>
        <v>No</v>
      </c>
      <c r="F714" s="8" t="str">
        <f>IFERROR(__xludf.DUMMYFUNCTION("""COMPUTED_VALUE"""),"No")</f>
        <v>No</v>
      </c>
    </row>
    <row r="715">
      <c r="A715" s="5">
        <f>IFERROR(__xludf.DUMMYFUNCTION("""COMPUTED_VALUE"""),44714.0)</f>
        <v>44714</v>
      </c>
      <c r="B715" s="6" t="str">
        <f>IFERROR(__xludf.DUMMYFUNCTION("""COMPUTED_VALUE"""),"dinner")</f>
        <v>dinner</v>
      </c>
      <c r="C715" s="6" t="str">
        <f>IFERROR(__xludf.DUMMYFUNCTION("""COMPUTED_VALUE"""),"employee B")</f>
        <v>employee B</v>
      </c>
      <c r="D715" s="7">
        <f>IFERROR(__xludf.DUMMYFUNCTION("""COMPUTED_VALUE"""),80.12)</f>
        <v>80.12</v>
      </c>
      <c r="E715" s="6" t="str">
        <f>IFERROR(__xludf.DUMMYFUNCTION("""COMPUTED_VALUE"""),"No")</f>
        <v>No</v>
      </c>
      <c r="F715" s="8" t="str">
        <f>IFERROR(__xludf.DUMMYFUNCTION("""COMPUTED_VALUE"""),"No")</f>
        <v>No</v>
      </c>
    </row>
    <row r="716">
      <c r="A716" s="5">
        <f>IFERROR(__xludf.DUMMYFUNCTION("""COMPUTED_VALUE"""),44714.0)</f>
        <v>44714</v>
      </c>
      <c r="B716" s="6" t="str">
        <f>IFERROR(__xludf.DUMMYFUNCTION("""COMPUTED_VALUE"""),"dinner")</f>
        <v>dinner</v>
      </c>
      <c r="C716" s="6" t="str">
        <f>IFERROR(__xludf.DUMMYFUNCTION("""COMPUTED_VALUE"""),"employee J")</f>
        <v>employee J</v>
      </c>
      <c r="D716" s="7">
        <f>IFERROR(__xludf.DUMMYFUNCTION("""COMPUTED_VALUE"""),53.4)</f>
        <v>53.4</v>
      </c>
      <c r="E716" s="6" t="str">
        <f>IFERROR(__xludf.DUMMYFUNCTION("""COMPUTED_VALUE"""),"No")</f>
        <v>No</v>
      </c>
      <c r="F716" s="8" t="str">
        <f>IFERROR(__xludf.DUMMYFUNCTION("""COMPUTED_VALUE"""),"No")</f>
        <v>No</v>
      </c>
    </row>
    <row r="717">
      <c r="A717" s="5">
        <f>IFERROR(__xludf.DUMMYFUNCTION("""COMPUTED_VALUE"""),44715.0)</f>
        <v>44715</v>
      </c>
      <c r="B717" s="6" t="str">
        <f>IFERROR(__xludf.DUMMYFUNCTION("""COMPUTED_VALUE"""),"lunch")</f>
        <v>lunch</v>
      </c>
      <c r="C717" s="6" t="str">
        <f>IFERROR(__xludf.DUMMYFUNCTION("""COMPUTED_VALUE"""),"employee J")</f>
        <v>employee J</v>
      </c>
      <c r="D717" s="7">
        <f>IFERROR(__xludf.DUMMYFUNCTION("""COMPUTED_VALUE"""),124.66)</f>
        <v>124.66</v>
      </c>
      <c r="E717" s="6" t="str">
        <f>IFERROR(__xludf.DUMMYFUNCTION("""COMPUTED_VALUE"""),"No")</f>
        <v>No</v>
      </c>
      <c r="F717" s="8" t="str">
        <f>IFERROR(__xludf.DUMMYFUNCTION("""COMPUTED_VALUE"""),"No")</f>
        <v>No</v>
      </c>
    </row>
    <row r="718">
      <c r="A718" s="5">
        <f>IFERROR(__xludf.DUMMYFUNCTION("""COMPUTED_VALUE"""),44715.0)</f>
        <v>44715</v>
      </c>
      <c r="B718" s="6" t="str">
        <f>IFERROR(__xludf.DUMMYFUNCTION("""COMPUTED_VALUE"""),"dinner")</f>
        <v>dinner</v>
      </c>
      <c r="C718" s="6" t="str">
        <f>IFERROR(__xludf.DUMMYFUNCTION("""COMPUTED_VALUE"""),"employee J")</f>
        <v>employee J</v>
      </c>
      <c r="D718" s="7">
        <f>IFERROR(__xludf.DUMMYFUNCTION("""COMPUTED_VALUE"""),108.87)</f>
        <v>108.87</v>
      </c>
      <c r="E718" s="6" t="str">
        <f>IFERROR(__xludf.DUMMYFUNCTION("""COMPUTED_VALUE"""),"No")</f>
        <v>No</v>
      </c>
      <c r="F718" s="8" t="str">
        <f>IFERROR(__xludf.DUMMYFUNCTION("""COMPUTED_VALUE"""),"No")</f>
        <v>No</v>
      </c>
    </row>
    <row r="719">
      <c r="A719" s="5">
        <f>IFERROR(__xludf.DUMMYFUNCTION("""COMPUTED_VALUE"""),44715.0)</f>
        <v>44715</v>
      </c>
      <c r="B719" s="6" t="str">
        <f>IFERROR(__xludf.DUMMYFUNCTION("""COMPUTED_VALUE"""),"dinner")</f>
        <v>dinner</v>
      </c>
      <c r="C719" s="6" t="str">
        <f>IFERROR(__xludf.DUMMYFUNCTION("""COMPUTED_VALUE"""),"employee B")</f>
        <v>employee B</v>
      </c>
      <c r="D719" s="7">
        <f>IFERROR(__xludf.DUMMYFUNCTION("""COMPUTED_VALUE"""),108.87)</f>
        <v>108.87</v>
      </c>
      <c r="E719" s="6" t="str">
        <f>IFERROR(__xludf.DUMMYFUNCTION("""COMPUTED_VALUE"""),"No")</f>
        <v>No</v>
      </c>
      <c r="F719" s="8" t="str">
        <f>IFERROR(__xludf.DUMMYFUNCTION("""COMPUTED_VALUE"""),"No")</f>
        <v>No</v>
      </c>
    </row>
    <row r="720">
      <c r="A720" s="5">
        <f>IFERROR(__xludf.DUMMYFUNCTION("""COMPUTED_VALUE"""),44715.0)</f>
        <v>44715</v>
      </c>
      <c r="B720" s="6" t="str">
        <f>IFERROR(__xludf.DUMMYFUNCTION("""COMPUTED_VALUE"""),"dinner")</f>
        <v>dinner</v>
      </c>
      <c r="C720" s="6" t="str">
        <f>IFERROR(__xludf.DUMMYFUNCTION("""COMPUTED_VALUE"""),"employee I")</f>
        <v>employee I</v>
      </c>
      <c r="D720" s="7">
        <f>IFERROR(__xludf.DUMMYFUNCTION("""COMPUTED_VALUE"""),84.68)</f>
        <v>84.68</v>
      </c>
      <c r="E720" s="6" t="str">
        <f>IFERROR(__xludf.DUMMYFUNCTION("""COMPUTED_VALUE"""),"No")</f>
        <v>No</v>
      </c>
      <c r="F720" s="8" t="str">
        <f>IFERROR(__xludf.DUMMYFUNCTION("""COMPUTED_VALUE"""),"No")</f>
        <v>No</v>
      </c>
    </row>
    <row r="721">
      <c r="A721" s="5">
        <f>IFERROR(__xludf.DUMMYFUNCTION("""COMPUTED_VALUE"""),44716.0)</f>
        <v>44716</v>
      </c>
      <c r="B721" s="6" t="str">
        <f>IFERROR(__xludf.DUMMYFUNCTION("""COMPUTED_VALUE"""),"lunch")</f>
        <v>lunch</v>
      </c>
      <c r="C721" s="6" t="str">
        <f>IFERROR(__xludf.DUMMYFUNCTION("""COMPUTED_VALUE"""),"employee A")</f>
        <v>employee A</v>
      </c>
      <c r="D721" s="7">
        <f>IFERROR(__xludf.DUMMYFUNCTION("""COMPUTED_VALUE"""),81.4)</f>
        <v>81.4</v>
      </c>
      <c r="E721" s="6" t="str">
        <f>IFERROR(__xludf.DUMMYFUNCTION("""COMPUTED_VALUE"""),"No")</f>
        <v>No</v>
      </c>
      <c r="F721" s="8" t="str">
        <f>IFERROR(__xludf.DUMMYFUNCTION("""COMPUTED_VALUE"""),"No")</f>
        <v>No</v>
      </c>
    </row>
    <row r="722">
      <c r="A722" s="5">
        <f>IFERROR(__xludf.DUMMYFUNCTION("""COMPUTED_VALUE"""),44716.0)</f>
        <v>44716</v>
      </c>
      <c r="B722" s="6" t="str">
        <f>IFERROR(__xludf.DUMMYFUNCTION("""COMPUTED_VALUE"""),"lunch")</f>
        <v>lunch</v>
      </c>
      <c r="C722" s="6" t="str">
        <f>IFERROR(__xludf.DUMMYFUNCTION("""COMPUTED_VALUE"""),"employee B")</f>
        <v>employee B</v>
      </c>
      <c r="D722" s="7">
        <f>IFERROR(__xludf.DUMMYFUNCTION("""COMPUTED_VALUE"""),105.86)</f>
        <v>105.86</v>
      </c>
      <c r="E722" s="6" t="str">
        <f>IFERROR(__xludf.DUMMYFUNCTION("""COMPUTED_VALUE"""),"No")</f>
        <v>No</v>
      </c>
      <c r="F722" s="8" t="str">
        <f>IFERROR(__xludf.DUMMYFUNCTION("""COMPUTED_VALUE"""),"No")</f>
        <v>No</v>
      </c>
    </row>
    <row r="723">
      <c r="A723" s="5">
        <f>IFERROR(__xludf.DUMMYFUNCTION("""COMPUTED_VALUE"""),44716.0)</f>
        <v>44716</v>
      </c>
      <c r="B723" s="6" t="str">
        <f>IFERROR(__xludf.DUMMYFUNCTION("""COMPUTED_VALUE"""),"lunch")</f>
        <v>lunch</v>
      </c>
      <c r="C723" s="6" t="str">
        <f>IFERROR(__xludf.DUMMYFUNCTION("""COMPUTED_VALUE"""),"employee L")</f>
        <v>employee L</v>
      </c>
      <c r="D723" s="7">
        <f>IFERROR(__xludf.DUMMYFUNCTION("""COMPUTED_VALUE"""),73.26)</f>
        <v>73.26</v>
      </c>
      <c r="E723" s="6" t="str">
        <f>IFERROR(__xludf.DUMMYFUNCTION("""COMPUTED_VALUE"""),"No")</f>
        <v>No</v>
      </c>
      <c r="F723" s="8" t="str">
        <f>IFERROR(__xludf.DUMMYFUNCTION("""COMPUTED_VALUE"""),"No")</f>
        <v>No</v>
      </c>
    </row>
    <row r="724">
      <c r="A724" s="5">
        <f>IFERROR(__xludf.DUMMYFUNCTION("""COMPUTED_VALUE"""),44716.0)</f>
        <v>44716</v>
      </c>
      <c r="B724" s="6" t="str">
        <f>IFERROR(__xludf.DUMMYFUNCTION("""COMPUTED_VALUE"""),"dinner")</f>
        <v>dinner</v>
      </c>
      <c r="C724" s="6" t="str">
        <f>IFERROR(__xludf.DUMMYFUNCTION("""COMPUTED_VALUE"""),"employee J")</f>
        <v>employee J</v>
      </c>
      <c r="D724" s="7">
        <f>IFERROR(__xludf.DUMMYFUNCTION("""COMPUTED_VALUE"""),67.69)</f>
        <v>67.69</v>
      </c>
      <c r="E724" s="6" t="str">
        <f>IFERROR(__xludf.DUMMYFUNCTION("""COMPUTED_VALUE"""),"No")</f>
        <v>No</v>
      </c>
      <c r="F724" s="8" t="str">
        <f>IFERROR(__xludf.DUMMYFUNCTION("""COMPUTED_VALUE"""),"No")</f>
        <v>No</v>
      </c>
    </row>
    <row r="725">
      <c r="A725" s="5">
        <f>IFERROR(__xludf.DUMMYFUNCTION("""COMPUTED_VALUE"""),44716.0)</f>
        <v>44716</v>
      </c>
      <c r="B725" s="6" t="str">
        <f>IFERROR(__xludf.DUMMYFUNCTION("""COMPUTED_VALUE"""),"dinner")</f>
        <v>dinner</v>
      </c>
      <c r="C725" s="6" t="str">
        <f>IFERROR(__xludf.DUMMYFUNCTION("""COMPUTED_VALUE"""),"employee A")</f>
        <v>employee A</v>
      </c>
      <c r="D725" s="7">
        <f>IFERROR(__xludf.DUMMYFUNCTION("""COMPUTED_VALUE"""),67.69)</f>
        <v>67.69</v>
      </c>
      <c r="E725" s="6" t="str">
        <f>IFERROR(__xludf.DUMMYFUNCTION("""COMPUTED_VALUE"""),"No")</f>
        <v>No</v>
      </c>
      <c r="F725" s="8" t="str">
        <f>IFERROR(__xludf.DUMMYFUNCTION("""COMPUTED_VALUE"""),"No")</f>
        <v>No</v>
      </c>
    </row>
    <row r="726">
      <c r="A726" s="5">
        <f>IFERROR(__xludf.DUMMYFUNCTION("""COMPUTED_VALUE"""),44716.0)</f>
        <v>44716</v>
      </c>
      <c r="B726" s="6" t="str">
        <f>IFERROR(__xludf.DUMMYFUNCTION("""COMPUTED_VALUE"""),"dinner")</f>
        <v>dinner</v>
      </c>
      <c r="C726" s="6" t="str">
        <f>IFERROR(__xludf.DUMMYFUNCTION("""COMPUTED_VALUE"""),"employee I")</f>
        <v>employee I</v>
      </c>
      <c r="D726" s="7">
        <f>IFERROR(__xludf.DUMMYFUNCTION("""COMPUTED_VALUE"""),33.84)</f>
        <v>33.84</v>
      </c>
      <c r="E726" s="6" t="str">
        <f>IFERROR(__xludf.DUMMYFUNCTION("""COMPUTED_VALUE"""),"No")</f>
        <v>No</v>
      </c>
      <c r="F726" s="8" t="str">
        <f>IFERROR(__xludf.DUMMYFUNCTION("""COMPUTED_VALUE"""),"No")</f>
        <v>No</v>
      </c>
    </row>
    <row r="727">
      <c r="A727" s="5">
        <f>IFERROR(__xludf.DUMMYFUNCTION("""COMPUTED_VALUE"""),44717.0)</f>
        <v>44717</v>
      </c>
      <c r="B727" s="6" t="str">
        <f>IFERROR(__xludf.DUMMYFUNCTION("""COMPUTED_VALUE"""),"lunch")</f>
        <v>lunch</v>
      </c>
      <c r="C727" s="6" t="str">
        <f>IFERROR(__xludf.DUMMYFUNCTION("""COMPUTED_VALUE"""),"employee L")</f>
        <v>employee L</v>
      </c>
      <c r="D727" s="7">
        <f>IFERROR(__xludf.DUMMYFUNCTION("""COMPUTED_VALUE"""),145.74)</f>
        <v>145.74</v>
      </c>
      <c r="E727" s="6" t="str">
        <f>IFERROR(__xludf.DUMMYFUNCTION("""COMPUTED_VALUE"""),"No")</f>
        <v>No</v>
      </c>
      <c r="F727" s="8" t="str">
        <f>IFERROR(__xludf.DUMMYFUNCTION("""COMPUTED_VALUE"""),"No")</f>
        <v>No</v>
      </c>
    </row>
    <row r="728">
      <c r="A728" s="5">
        <f>IFERROR(__xludf.DUMMYFUNCTION("""COMPUTED_VALUE"""),44717.0)</f>
        <v>44717</v>
      </c>
      <c r="B728" s="6" t="str">
        <f>IFERROR(__xludf.DUMMYFUNCTION("""COMPUTED_VALUE"""),"lunch")</f>
        <v>lunch</v>
      </c>
      <c r="C728" s="6" t="str">
        <f>IFERROR(__xludf.DUMMYFUNCTION("""COMPUTED_VALUE"""),"employee B")</f>
        <v>employee B</v>
      </c>
      <c r="D728" s="7">
        <f>IFERROR(__xludf.DUMMYFUNCTION("""COMPUTED_VALUE"""),104.1)</f>
        <v>104.1</v>
      </c>
      <c r="E728" s="6" t="str">
        <f>IFERROR(__xludf.DUMMYFUNCTION("""COMPUTED_VALUE"""),"No")</f>
        <v>No</v>
      </c>
      <c r="F728" s="8" t="str">
        <f>IFERROR(__xludf.DUMMYFUNCTION("""COMPUTED_VALUE"""),"No")</f>
        <v>No</v>
      </c>
    </row>
    <row r="729">
      <c r="A729" s="5">
        <f>IFERROR(__xludf.DUMMYFUNCTION("""COMPUTED_VALUE"""),44717.0)</f>
        <v>44717</v>
      </c>
      <c r="B729" s="6" t="str">
        <f>IFERROR(__xludf.DUMMYFUNCTION("""COMPUTED_VALUE"""),"lunch")</f>
        <v>lunch</v>
      </c>
      <c r="C729" s="6" t="str">
        <f>IFERROR(__xludf.DUMMYFUNCTION("""COMPUTED_VALUE"""),"employee J")</f>
        <v>employee J</v>
      </c>
      <c r="D729" s="7">
        <f>IFERROR(__xludf.DUMMYFUNCTION("""COMPUTED_VALUE"""),83.33)</f>
        <v>83.33</v>
      </c>
      <c r="E729" s="6" t="str">
        <f>IFERROR(__xludf.DUMMYFUNCTION("""COMPUTED_VALUE"""),"No")</f>
        <v>No</v>
      </c>
      <c r="F729" s="8" t="str">
        <f>IFERROR(__xludf.DUMMYFUNCTION("""COMPUTED_VALUE"""),"No")</f>
        <v>No</v>
      </c>
    </row>
    <row r="730">
      <c r="A730" s="5">
        <f>IFERROR(__xludf.DUMMYFUNCTION("""COMPUTED_VALUE"""),44717.0)</f>
        <v>44717</v>
      </c>
      <c r="B730" s="6" t="str">
        <f>IFERROR(__xludf.DUMMYFUNCTION("""COMPUTED_VALUE"""),"dinner")</f>
        <v>dinner</v>
      </c>
      <c r="C730" s="6" t="str">
        <f>IFERROR(__xludf.DUMMYFUNCTION("""COMPUTED_VALUE"""),"employee L")</f>
        <v>employee L</v>
      </c>
      <c r="D730" s="7">
        <f>IFERROR(__xludf.DUMMYFUNCTION("""COMPUTED_VALUE"""),39.23)</f>
        <v>39.23</v>
      </c>
      <c r="E730" s="6" t="str">
        <f>IFERROR(__xludf.DUMMYFUNCTION("""COMPUTED_VALUE"""),"No")</f>
        <v>No</v>
      </c>
      <c r="F730" s="8" t="str">
        <f>IFERROR(__xludf.DUMMYFUNCTION("""COMPUTED_VALUE"""),"No")</f>
        <v>No</v>
      </c>
    </row>
    <row r="731">
      <c r="A731" s="5">
        <f>IFERROR(__xludf.DUMMYFUNCTION("""COMPUTED_VALUE"""),44717.0)</f>
        <v>44717</v>
      </c>
      <c r="B731" s="6" t="str">
        <f>IFERROR(__xludf.DUMMYFUNCTION("""COMPUTED_VALUE"""),"dinner")</f>
        <v>dinner</v>
      </c>
      <c r="C731" s="6" t="str">
        <f>IFERROR(__xludf.DUMMYFUNCTION("""COMPUTED_VALUE"""),"employee B")</f>
        <v>employee B</v>
      </c>
      <c r="D731" s="7">
        <f>IFERROR(__xludf.DUMMYFUNCTION("""COMPUTED_VALUE"""),45.77)</f>
        <v>45.77</v>
      </c>
      <c r="E731" s="6" t="str">
        <f>IFERROR(__xludf.DUMMYFUNCTION("""COMPUTED_VALUE"""),"No")</f>
        <v>No</v>
      </c>
      <c r="F731" s="8" t="str">
        <f>IFERROR(__xludf.DUMMYFUNCTION("""COMPUTED_VALUE"""),"No")</f>
        <v>No</v>
      </c>
    </row>
    <row r="732">
      <c r="A732" s="5">
        <f>IFERROR(__xludf.DUMMYFUNCTION("""COMPUTED_VALUE"""),44717.0)</f>
        <v>44717</v>
      </c>
      <c r="B732" s="6" t="str">
        <f>IFERROR(__xludf.DUMMYFUNCTION("""COMPUTED_VALUE"""),"dinner")</f>
        <v>dinner</v>
      </c>
      <c r="C732" s="6" t="str">
        <f>IFERROR(__xludf.DUMMYFUNCTION("""COMPUTED_VALUE"""),"employee J")</f>
        <v>employee J</v>
      </c>
      <c r="D732" s="7">
        <f>IFERROR(__xludf.DUMMYFUNCTION("""COMPUTED_VALUE"""),58.84)</f>
        <v>58.84</v>
      </c>
      <c r="E732" s="6" t="str">
        <f>IFERROR(__xludf.DUMMYFUNCTION("""COMPUTED_VALUE"""),"No")</f>
        <v>No</v>
      </c>
      <c r="F732" s="8" t="str">
        <f>IFERROR(__xludf.DUMMYFUNCTION("""COMPUTED_VALUE"""),"No")</f>
        <v>No</v>
      </c>
    </row>
    <row r="733">
      <c r="A733" s="5">
        <f>IFERROR(__xludf.DUMMYFUNCTION("""COMPUTED_VALUE"""),44718.0)</f>
        <v>44718</v>
      </c>
      <c r="B733" s="6" t="str">
        <f>IFERROR(__xludf.DUMMYFUNCTION("""COMPUTED_VALUE"""),"lunch")</f>
        <v>lunch</v>
      </c>
      <c r="C733" s="6" t="str">
        <f>IFERROR(__xludf.DUMMYFUNCTION("""COMPUTED_VALUE"""),"employee A")</f>
        <v>employee A</v>
      </c>
      <c r="D733" s="7">
        <f>IFERROR(__xludf.DUMMYFUNCTION("""COMPUTED_VALUE"""),162.96)</f>
        <v>162.96</v>
      </c>
      <c r="E733" s="6" t="str">
        <f>IFERROR(__xludf.DUMMYFUNCTION("""COMPUTED_VALUE"""),"No")</f>
        <v>No</v>
      </c>
      <c r="F733" s="8" t="str">
        <f>IFERROR(__xludf.DUMMYFUNCTION("""COMPUTED_VALUE"""),"No")</f>
        <v>No</v>
      </c>
    </row>
    <row r="734">
      <c r="A734" s="5">
        <f>IFERROR(__xludf.DUMMYFUNCTION("""COMPUTED_VALUE"""),44718.0)</f>
        <v>44718</v>
      </c>
      <c r="B734" s="6" t="str">
        <f>IFERROR(__xludf.DUMMYFUNCTION("""COMPUTED_VALUE"""),"dinner")</f>
        <v>dinner</v>
      </c>
      <c r="C734" s="6" t="str">
        <f>IFERROR(__xludf.DUMMYFUNCTION("""COMPUTED_VALUE"""),"employee A")</f>
        <v>employee A</v>
      </c>
      <c r="D734" s="7">
        <f>IFERROR(__xludf.DUMMYFUNCTION("""COMPUTED_VALUE"""),67.97)</f>
        <v>67.97</v>
      </c>
      <c r="E734" s="6" t="str">
        <f>IFERROR(__xludf.DUMMYFUNCTION("""COMPUTED_VALUE"""),"No")</f>
        <v>No</v>
      </c>
      <c r="F734" s="8" t="str">
        <f>IFERROR(__xludf.DUMMYFUNCTION("""COMPUTED_VALUE"""),"No")</f>
        <v>No</v>
      </c>
    </row>
    <row r="735">
      <c r="A735" s="5">
        <f>IFERROR(__xludf.DUMMYFUNCTION("""COMPUTED_VALUE"""),44718.0)</f>
        <v>44718</v>
      </c>
      <c r="B735" s="6" t="str">
        <f>IFERROR(__xludf.DUMMYFUNCTION("""COMPUTED_VALUE"""),"dinner")</f>
        <v>dinner</v>
      </c>
      <c r="C735" s="6" t="str">
        <f>IFERROR(__xludf.DUMMYFUNCTION("""COMPUTED_VALUE"""),"employee P")</f>
        <v>employee P</v>
      </c>
      <c r="D735" s="7">
        <f>IFERROR(__xludf.DUMMYFUNCTION("""COMPUTED_VALUE"""),7.49)</f>
        <v>7.49</v>
      </c>
      <c r="E735" s="6" t="str">
        <f>IFERROR(__xludf.DUMMYFUNCTION("""COMPUTED_VALUE"""),"No")</f>
        <v>No</v>
      </c>
      <c r="F735" s="8" t="str">
        <f>IFERROR(__xludf.DUMMYFUNCTION("""COMPUTED_VALUE"""),"No")</f>
        <v>No</v>
      </c>
    </row>
    <row r="736">
      <c r="A736" s="5">
        <f>IFERROR(__xludf.DUMMYFUNCTION("""COMPUTED_VALUE"""),44718.0)</f>
        <v>44718</v>
      </c>
      <c r="B736" s="6" t="str">
        <f>IFERROR(__xludf.DUMMYFUNCTION("""COMPUTED_VALUE"""),"dinner")</f>
        <v>dinner</v>
      </c>
      <c r="C736" s="6" t="str">
        <f>IFERROR(__xludf.DUMMYFUNCTION("""COMPUTED_VALUE"""),"employee I")</f>
        <v>employee I</v>
      </c>
      <c r="D736" s="7">
        <f>IFERROR(__xludf.DUMMYFUNCTION("""COMPUTED_VALUE"""),51.77)</f>
        <v>51.77</v>
      </c>
      <c r="E736" s="6" t="str">
        <f>IFERROR(__xludf.DUMMYFUNCTION("""COMPUTED_VALUE"""),"No")</f>
        <v>No</v>
      </c>
      <c r="F736" s="8" t="str">
        <f>IFERROR(__xludf.DUMMYFUNCTION("""COMPUTED_VALUE"""),"No")</f>
        <v>No</v>
      </c>
    </row>
    <row r="737">
      <c r="A737" s="5">
        <f>IFERROR(__xludf.DUMMYFUNCTION("""COMPUTED_VALUE"""),44719.0)</f>
        <v>44719</v>
      </c>
      <c r="B737" s="6" t="str">
        <f>IFERROR(__xludf.DUMMYFUNCTION("""COMPUTED_VALUE"""),"lunch")</f>
        <v>lunch</v>
      </c>
      <c r="C737" s="6" t="str">
        <f>IFERROR(__xludf.DUMMYFUNCTION("""COMPUTED_VALUE"""),"employee A")</f>
        <v>employee A</v>
      </c>
      <c r="D737" s="7">
        <f>IFERROR(__xludf.DUMMYFUNCTION("""COMPUTED_VALUE"""),85.17)</f>
        <v>85.17</v>
      </c>
      <c r="E737" s="6" t="str">
        <f>IFERROR(__xludf.DUMMYFUNCTION("""COMPUTED_VALUE"""),"No")</f>
        <v>No</v>
      </c>
      <c r="F737" s="8" t="str">
        <f>IFERROR(__xludf.DUMMYFUNCTION("""COMPUTED_VALUE"""),"No")</f>
        <v>No</v>
      </c>
    </row>
    <row r="738">
      <c r="A738" s="5">
        <f>IFERROR(__xludf.DUMMYFUNCTION("""COMPUTED_VALUE"""),44719.0)</f>
        <v>44719</v>
      </c>
      <c r="B738" s="6" t="str">
        <f>IFERROR(__xludf.DUMMYFUNCTION("""COMPUTED_VALUE"""),"dinner")</f>
        <v>dinner</v>
      </c>
      <c r="C738" s="6" t="str">
        <f>IFERROR(__xludf.DUMMYFUNCTION("""COMPUTED_VALUE"""),"employee A")</f>
        <v>employee A</v>
      </c>
      <c r="D738" s="7">
        <f>IFERROR(__xludf.DUMMYFUNCTION("""COMPUTED_VALUE"""),64.18)</f>
        <v>64.18</v>
      </c>
      <c r="E738" s="6" t="str">
        <f>IFERROR(__xludf.DUMMYFUNCTION("""COMPUTED_VALUE"""),"No")</f>
        <v>No</v>
      </c>
      <c r="F738" s="8" t="str">
        <f>IFERROR(__xludf.DUMMYFUNCTION("""COMPUTED_VALUE"""),"No")</f>
        <v>No</v>
      </c>
    </row>
    <row r="739">
      <c r="A739" s="5">
        <f>IFERROR(__xludf.DUMMYFUNCTION("""COMPUTED_VALUE"""),44719.0)</f>
        <v>44719</v>
      </c>
      <c r="B739" s="6" t="str">
        <f>IFERROR(__xludf.DUMMYFUNCTION("""COMPUTED_VALUE"""),"dinner")</f>
        <v>dinner</v>
      </c>
      <c r="C739" s="6" t="str">
        <f>IFERROR(__xludf.DUMMYFUNCTION("""COMPUTED_VALUE"""),"employee I")</f>
        <v>employee I</v>
      </c>
      <c r="D739" s="7">
        <f>IFERROR(__xludf.DUMMYFUNCTION("""COMPUTED_VALUE"""),49.95)</f>
        <v>49.95</v>
      </c>
      <c r="E739" s="6" t="str">
        <f>IFERROR(__xludf.DUMMYFUNCTION("""COMPUTED_VALUE"""),"No")</f>
        <v>No</v>
      </c>
      <c r="F739" s="8" t="str">
        <f>IFERROR(__xludf.DUMMYFUNCTION("""COMPUTED_VALUE"""),"No")</f>
        <v>No</v>
      </c>
    </row>
    <row r="740">
      <c r="A740" s="5">
        <f>IFERROR(__xludf.DUMMYFUNCTION("""COMPUTED_VALUE"""),44720.0)</f>
        <v>44720</v>
      </c>
      <c r="B740" s="6" t="str">
        <f>IFERROR(__xludf.DUMMYFUNCTION("""COMPUTED_VALUE"""),"lunch")</f>
        <v>lunch</v>
      </c>
      <c r="C740" s="6" t="str">
        <f>IFERROR(__xludf.DUMMYFUNCTION("""COMPUTED_VALUE"""),"employee A")</f>
        <v>employee A</v>
      </c>
      <c r="D740" s="7">
        <f>IFERROR(__xludf.DUMMYFUNCTION("""COMPUTED_VALUE"""),74.15)</f>
        <v>74.15</v>
      </c>
      <c r="E740" s="6" t="str">
        <f>IFERROR(__xludf.DUMMYFUNCTION("""COMPUTED_VALUE"""),"No")</f>
        <v>No</v>
      </c>
      <c r="F740" s="8" t="str">
        <f>IFERROR(__xludf.DUMMYFUNCTION("""COMPUTED_VALUE"""),"No")</f>
        <v>No</v>
      </c>
    </row>
    <row r="741">
      <c r="A741" s="5">
        <f>IFERROR(__xludf.DUMMYFUNCTION("""COMPUTED_VALUE"""),44720.0)</f>
        <v>44720</v>
      </c>
      <c r="B741" s="6" t="str">
        <f>IFERROR(__xludf.DUMMYFUNCTION("""COMPUTED_VALUE"""),"dinner")</f>
        <v>dinner</v>
      </c>
      <c r="C741" s="6" t="str">
        <f>IFERROR(__xludf.DUMMYFUNCTION("""COMPUTED_VALUE"""),"employee J")</f>
        <v>employee J</v>
      </c>
      <c r="D741" s="7">
        <f>IFERROR(__xludf.DUMMYFUNCTION("""COMPUTED_VALUE"""),23.24)</f>
        <v>23.24</v>
      </c>
      <c r="E741" s="6" t="str">
        <f>IFERROR(__xludf.DUMMYFUNCTION("""COMPUTED_VALUE"""),"No")</f>
        <v>No</v>
      </c>
      <c r="F741" s="8" t="str">
        <f>IFERROR(__xludf.DUMMYFUNCTION("""COMPUTED_VALUE"""),"No")</f>
        <v>No</v>
      </c>
    </row>
    <row r="742">
      <c r="A742" s="5">
        <f>IFERROR(__xludf.DUMMYFUNCTION("""COMPUTED_VALUE"""),44720.0)</f>
        <v>44720</v>
      </c>
      <c r="B742" s="6" t="str">
        <f>IFERROR(__xludf.DUMMYFUNCTION("""COMPUTED_VALUE"""),"dinner")</f>
        <v>dinner</v>
      </c>
      <c r="C742" s="6" t="str">
        <f>IFERROR(__xludf.DUMMYFUNCTION("""COMPUTED_VALUE"""),"employee P")</f>
        <v>employee P</v>
      </c>
      <c r="D742" s="7">
        <f>IFERROR(__xludf.DUMMYFUNCTION("""COMPUTED_VALUE"""),15.49)</f>
        <v>15.49</v>
      </c>
      <c r="E742" s="6" t="str">
        <f>IFERROR(__xludf.DUMMYFUNCTION("""COMPUTED_VALUE"""),"No")</f>
        <v>No</v>
      </c>
      <c r="F742" s="8" t="str">
        <f>IFERROR(__xludf.DUMMYFUNCTION("""COMPUTED_VALUE"""),"No")</f>
        <v>No</v>
      </c>
    </row>
    <row r="743">
      <c r="A743" s="5">
        <f>IFERROR(__xludf.DUMMYFUNCTION("""COMPUTED_VALUE"""),44720.0)</f>
        <v>44720</v>
      </c>
      <c r="B743" s="6" t="str">
        <f>IFERROR(__xludf.DUMMYFUNCTION("""COMPUTED_VALUE"""),"dinner")</f>
        <v>dinner</v>
      </c>
      <c r="C743" s="6" t="str">
        <f>IFERROR(__xludf.DUMMYFUNCTION("""COMPUTED_VALUE"""),"employee I")</f>
        <v>employee I</v>
      </c>
      <c r="D743" s="7">
        <f>IFERROR(__xludf.DUMMYFUNCTION("""COMPUTED_VALUE"""),18.08)</f>
        <v>18.08</v>
      </c>
      <c r="E743" s="6" t="str">
        <f>IFERROR(__xludf.DUMMYFUNCTION("""COMPUTED_VALUE"""),"No")</f>
        <v>No</v>
      </c>
      <c r="F743" s="8" t="str">
        <f>IFERROR(__xludf.DUMMYFUNCTION("""COMPUTED_VALUE"""),"No")</f>
        <v>No</v>
      </c>
    </row>
    <row r="744">
      <c r="A744" s="5">
        <f>IFERROR(__xludf.DUMMYFUNCTION("""COMPUTED_VALUE"""),44721.0)</f>
        <v>44721</v>
      </c>
      <c r="B744" s="6" t="str">
        <f>IFERROR(__xludf.DUMMYFUNCTION("""COMPUTED_VALUE"""),"lunch")</f>
        <v>lunch</v>
      </c>
      <c r="C744" s="6" t="str">
        <f>IFERROR(__xludf.DUMMYFUNCTION("""COMPUTED_VALUE"""),"employee L")</f>
        <v>employee L</v>
      </c>
      <c r="D744" s="7">
        <f>IFERROR(__xludf.DUMMYFUNCTION("""COMPUTED_VALUE"""),160.22)</f>
        <v>160.22</v>
      </c>
      <c r="E744" s="6" t="str">
        <f>IFERROR(__xludf.DUMMYFUNCTION("""COMPUTED_VALUE"""),"No")</f>
        <v>No</v>
      </c>
      <c r="F744" s="8" t="str">
        <f>IFERROR(__xludf.DUMMYFUNCTION("""COMPUTED_VALUE"""),"No")</f>
        <v>No</v>
      </c>
    </row>
    <row r="745">
      <c r="A745" s="5">
        <f>IFERROR(__xludf.DUMMYFUNCTION("""COMPUTED_VALUE"""),44721.0)</f>
        <v>44721</v>
      </c>
      <c r="B745" s="6" t="str">
        <f>IFERROR(__xludf.DUMMYFUNCTION("""COMPUTED_VALUE"""),"dinner")</f>
        <v>dinner</v>
      </c>
      <c r="C745" s="6" t="str">
        <f>IFERROR(__xludf.DUMMYFUNCTION("""COMPUTED_VALUE"""),"employee J")</f>
        <v>employee J</v>
      </c>
      <c r="D745" s="7">
        <f>IFERROR(__xludf.DUMMYFUNCTION("""COMPUTED_VALUE"""),64.19)</f>
        <v>64.19</v>
      </c>
      <c r="E745" s="6" t="str">
        <f>IFERROR(__xludf.DUMMYFUNCTION("""COMPUTED_VALUE"""),"No")</f>
        <v>No</v>
      </c>
      <c r="F745" s="8" t="str">
        <f>IFERROR(__xludf.DUMMYFUNCTION("""COMPUTED_VALUE"""),"No")</f>
        <v>No</v>
      </c>
    </row>
    <row r="746">
      <c r="A746" s="5">
        <f>IFERROR(__xludf.DUMMYFUNCTION("""COMPUTED_VALUE"""),44721.0)</f>
        <v>44721</v>
      </c>
      <c r="B746" s="6" t="str">
        <f>IFERROR(__xludf.DUMMYFUNCTION("""COMPUTED_VALUE"""),"dinner")</f>
        <v>dinner</v>
      </c>
      <c r="C746" s="6" t="str">
        <f>IFERROR(__xludf.DUMMYFUNCTION("""COMPUTED_VALUE"""),"employee P")</f>
        <v>employee P</v>
      </c>
      <c r="D746" s="7">
        <f>IFERROR(__xludf.DUMMYFUNCTION("""COMPUTED_VALUE"""),64.19)</f>
        <v>64.19</v>
      </c>
      <c r="E746" s="6" t="str">
        <f>IFERROR(__xludf.DUMMYFUNCTION("""COMPUTED_VALUE"""),"No")</f>
        <v>No</v>
      </c>
      <c r="F746" s="8" t="str">
        <f>IFERROR(__xludf.DUMMYFUNCTION("""COMPUTED_VALUE"""),"No")</f>
        <v>No</v>
      </c>
    </row>
    <row r="747">
      <c r="A747" s="5">
        <f>IFERROR(__xludf.DUMMYFUNCTION("""COMPUTED_VALUE"""),44721.0)</f>
        <v>44721</v>
      </c>
      <c r="B747" s="6" t="str">
        <f>IFERROR(__xludf.DUMMYFUNCTION("""COMPUTED_VALUE"""),"dinner")</f>
        <v>dinner</v>
      </c>
      <c r="C747" s="6" t="str">
        <f>IFERROR(__xludf.DUMMYFUNCTION("""COMPUTED_VALUE"""),"employee I")</f>
        <v>employee I</v>
      </c>
      <c r="D747" s="7">
        <f>IFERROR(__xludf.DUMMYFUNCTION("""COMPUTED_VALUE"""),49.93)</f>
        <v>49.93</v>
      </c>
      <c r="E747" s="6" t="str">
        <f>IFERROR(__xludf.DUMMYFUNCTION("""COMPUTED_VALUE"""),"No")</f>
        <v>No</v>
      </c>
      <c r="F747" s="8" t="str">
        <f>IFERROR(__xludf.DUMMYFUNCTION("""COMPUTED_VALUE"""),"No")</f>
        <v>No</v>
      </c>
    </row>
    <row r="748">
      <c r="A748" s="5">
        <f>IFERROR(__xludf.DUMMYFUNCTION("""COMPUTED_VALUE"""),44722.0)</f>
        <v>44722</v>
      </c>
      <c r="B748" s="6" t="str">
        <f>IFERROR(__xludf.DUMMYFUNCTION("""COMPUTED_VALUE"""),"lunch")</f>
        <v>lunch</v>
      </c>
      <c r="C748" s="6" t="str">
        <f>IFERROR(__xludf.DUMMYFUNCTION("""COMPUTED_VALUE"""),"employee J")</f>
        <v>employee J</v>
      </c>
      <c r="D748" s="7">
        <f>IFERROR(__xludf.DUMMYFUNCTION("""COMPUTED_VALUE"""),35.06)</f>
        <v>35.06</v>
      </c>
      <c r="E748" s="6" t="str">
        <f>IFERROR(__xludf.DUMMYFUNCTION("""COMPUTED_VALUE"""),"No")</f>
        <v>No</v>
      </c>
      <c r="F748" s="8" t="str">
        <f>IFERROR(__xludf.DUMMYFUNCTION("""COMPUTED_VALUE"""),"No")</f>
        <v>No</v>
      </c>
    </row>
    <row r="749">
      <c r="A749" s="5">
        <f>IFERROR(__xludf.DUMMYFUNCTION("""COMPUTED_VALUE"""),44722.0)</f>
        <v>44722</v>
      </c>
      <c r="B749" s="6" t="str">
        <f>IFERROR(__xludf.DUMMYFUNCTION("""COMPUTED_VALUE"""),"dinner")</f>
        <v>dinner</v>
      </c>
      <c r="C749" s="6" t="str">
        <f>IFERROR(__xludf.DUMMYFUNCTION("""COMPUTED_VALUE"""),"employee B")</f>
        <v>employee B</v>
      </c>
      <c r="D749" s="7">
        <f>IFERROR(__xludf.DUMMYFUNCTION("""COMPUTED_VALUE"""),90.63)</f>
        <v>90.63</v>
      </c>
      <c r="E749" s="6" t="str">
        <f>IFERROR(__xludf.DUMMYFUNCTION("""COMPUTED_VALUE"""),"No")</f>
        <v>No</v>
      </c>
      <c r="F749" s="8" t="str">
        <f>IFERROR(__xludf.DUMMYFUNCTION("""COMPUTED_VALUE"""),"No")</f>
        <v>No</v>
      </c>
    </row>
    <row r="750">
      <c r="A750" s="5">
        <f>IFERROR(__xludf.DUMMYFUNCTION("""COMPUTED_VALUE"""),44722.0)</f>
        <v>44722</v>
      </c>
      <c r="B750" s="6" t="str">
        <f>IFERROR(__xludf.DUMMYFUNCTION("""COMPUTED_VALUE"""),"dinner")</f>
        <v>dinner</v>
      </c>
      <c r="C750" s="6" t="str">
        <f>IFERROR(__xludf.DUMMYFUNCTION("""COMPUTED_VALUE"""),"employee L")</f>
        <v>employee L</v>
      </c>
      <c r="D750" s="7">
        <f>IFERROR(__xludf.DUMMYFUNCTION("""COMPUTED_VALUE"""),90.63)</f>
        <v>90.63</v>
      </c>
      <c r="E750" s="6" t="str">
        <f>IFERROR(__xludf.DUMMYFUNCTION("""COMPUTED_VALUE"""),"No")</f>
        <v>No</v>
      </c>
      <c r="F750" s="8" t="str">
        <f>IFERROR(__xludf.DUMMYFUNCTION("""COMPUTED_VALUE"""),"No")</f>
        <v>No</v>
      </c>
    </row>
    <row r="751">
      <c r="A751" s="5">
        <f>IFERROR(__xludf.DUMMYFUNCTION("""COMPUTED_VALUE"""),44722.0)</f>
        <v>44722</v>
      </c>
      <c r="B751" s="6" t="str">
        <f>IFERROR(__xludf.DUMMYFUNCTION("""COMPUTED_VALUE"""),"dinner")</f>
        <v>dinner</v>
      </c>
      <c r="C751" s="6" t="str">
        <f>IFERROR(__xludf.DUMMYFUNCTION("""COMPUTED_VALUE"""),"employee I")</f>
        <v>employee I</v>
      </c>
      <c r="D751" s="7">
        <f>IFERROR(__xludf.DUMMYFUNCTION("""COMPUTED_VALUE"""),70.49)</f>
        <v>70.49</v>
      </c>
      <c r="E751" s="6" t="str">
        <f>IFERROR(__xludf.DUMMYFUNCTION("""COMPUTED_VALUE"""),"No")</f>
        <v>No</v>
      </c>
      <c r="F751" s="8" t="str">
        <f>IFERROR(__xludf.DUMMYFUNCTION("""COMPUTED_VALUE"""),"No")</f>
        <v>No</v>
      </c>
    </row>
    <row r="752">
      <c r="A752" s="5">
        <f>IFERROR(__xludf.DUMMYFUNCTION("""COMPUTED_VALUE"""),44723.0)</f>
        <v>44723</v>
      </c>
      <c r="B752" s="6" t="str">
        <f>IFERROR(__xludf.DUMMYFUNCTION("""COMPUTED_VALUE"""),"lunch")</f>
        <v>lunch</v>
      </c>
      <c r="C752" s="6" t="str">
        <f>IFERROR(__xludf.DUMMYFUNCTION("""COMPUTED_VALUE"""),"employee B")</f>
        <v>employee B</v>
      </c>
      <c r="D752" s="7">
        <f>IFERROR(__xludf.DUMMYFUNCTION("""COMPUTED_VALUE"""),154.63)</f>
        <v>154.63</v>
      </c>
      <c r="E752" s="6" t="str">
        <f>IFERROR(__xludf.DUMMYFUNCTION("""COMPUTED_VALUE"""),"No")</f>
        <v>No</v>
      </c>
      <c r="F752" s="8" t="str">
        <f>IFERROR(__xludf.DUMMYFUNCTION("""COMPUTED_VALUE"""),"No")</f>
        <v>No</v>
      </c>
    </row>
    <row r="753">
      <c r="A753" s="5">
        <f>IFERROR(__xludf.DUMMYFUNCTION("""COMPUTED_VALUE"""),44723.0)</f>
        <v>44723</v>
      </c>
      <c r="B753" s="6" t="str">
        <f>IFERROR(__xludf.DUMMYFUNCTION("""COMPUTED_VALUE"""),"lunch")</f>
        <v>lunch</v>
      </c>
      <c r="C753" s="6" t="str">
        <f>IFERROR(__xludf.DUMMYFUNCTION("""COMPUTED_VALUE"""),"employee L")</f>
        <v>employee L</v>
      </c>
      <c r="D753" s="7">
        <f>IFERROR(__xludf.DUMMYFUNCTION("""COMPUTED_VALUE"""),110.41)</f>
        <v>110.41</v>
      </c>
      <c r="E753" s="6" t="str">
        <f>IFERROR(__xludf.DUMMYFUNCTION("""COMPUTED_VALUE"""),"No")</f>
        <v>No</v>
      </c>
      <c r="F753" s="8" t="str">
        <f>IFERROR(__xludf.DUMMYFUNCTION("""COMPUTED_VALUE"""),"No")</f>
        <v>No</v>
      </c>
    </row>
    <row r="754">
      <c r="A754" s="5">
        <f>IFERROR(__xludf.DUMMYFUNCTION("""COMPUTED_VALUE"""),44723.0)</f>
        <v>44723</v>
      </c>
      <c r="B754" s="6" t="str">
        <f>IFERROR(__xludf.DUMMYFUNCTION("""COMPUTED_VALUE"""),"lunch")</f>
        <v>lunch</v>
      </c>
      <c r="C754" s="6" t="str">
        <f>IFERROR(__xludf.DUMMYFUNCTION("""COMPUTED_VALUE"""),"employee G")</f>
        <v>employee G</v>
      </c>
      <c r="D754" s="7">
        <f>IFERROR(__xludf.DUMMYFUNCTION("""COMPUTED_VALUE"""),110.41)</f>
        <v>110.41</v>
      </c>
      <c r="E754" s="6" t="str">
        <f>IFERROR(__xludf.DUMMYFUNCTION("""COMPUTED_VALUE"""),"No")</f>
        <v>No</v>
      </c>
      <c r="F754" s="8" t="str">
        <f>IFERROR(__xludf.DUMMYFUNCTION("""COMPUTED_VALUE"""),"No")</f>
        <v>No</v>
      </c>
    </row>
    <row r="755">
      <c r="A755" s="5">
        <f>IFERROR(__xludf.DUMMYFUNCTION("""COMPUTED_VALUE"""),44723.0)</f>
        <v>44723</v>
      </c>
      <c r="B755" s="6" t="str">
        <f>IFERROR(__xludf.DUMMYFUNCTION("""COMPUTED_VALUE"""),"dinner")</f>
        <v>dinner</v>
      </c>
      <c r="C755" s="6" t="str">
        <f>IFERROR(__xludf.DUMMYFUNCTION("""COMPUTED_VALUE"""),"employee B")</f>
        <v>employee B</v>
      </c>
      <c r="D755" s="7">
        <f>IFERROR(__xludf.DUMMYFUNCTION("""COMPUTED_VALUE"""),64.12)</f>
        <v>64.12</v>
      </c>
      <c r="E755" s="6" t="str">
        <f>IFERROR(__xludf.DUMMYFUNCTION("""COMPUTED_VALUE"""),"No")</f>
        <v>No</v>
      </c>
      <c r="F755" s="8" t="str">
        <f>IFERROR(__xludf.DUMMYFUNCTION("""COMPUTED_VALUE"""),"No")</f>
        <v>No</v>
      </c>
    </row>
    <row r="756">
      <c r="A756" s="5">
        <f>IFERROR(__xludf.DUMMYFUNCTION("""COMPUTED_VALUE"""),44723.0)</f>
        <v>44723</v>
      </c>
      <c r="B756" s="6" t="str">
        <f>IFERROR(__xludf.DUMMYFUNCTION("""COMPUTED_VALUE"""),"dinner")</f>
        <v>dinner</v>
      </c>
      <c r="C756" s="6" t="str">
        <f>IFERROR(__xludf.DUMMYFUNCTION("""COMPUTED_VALUE"""),"employee L")</f>
        <v>employee L</v>
      </c>
      <c r="D756" s="7">
        <f>IFERROR(__xludf.DUMMYFUNCTION("""COMPUTED_VALUE"""),72.14)</f>
        <v>72.14</v>
      </c>
      <c r="E756" s="6" t="str">
        <f>IFERROR(__xludf.DUMMYFUNCTION("""COMPUTED_VALUE"""),"No")</f>
        <v>No</v>
      </c>
      <c r="F756" s="8" t="str">
        <f>IFERROR(__xludf.DUMMYFUNCTION("""COMPUTED_VALUE"""),"No")</f>
        <v>No</v>
      </c>
    </row>
    <row r="757">
      <c r="A757" s="5">
        <f>IFERROR(__xludf.DUMMYFUNCTION("""COMPUTED_VALUE"""),44723.0)</f>
        <v>44723</v>
      </c>
      <c r="B757" s="6" t="str">
        <f>IFERROR(__xludf.DUMMYFUNCTION("""COMPUTED_VALUE"""),"dinner")</f>
        <v>dinner</v>
      </c>
      <c r="C757" s="6" t="str">
        <f>IFERROR(__xludf.DUMMYFUNCTION("""COMPUTED_VALUE"""),"employee P")</f>
        <v>employee P</v>
      </c>
      <c r="D757" s="7">
        <f>IFERROR(__xludf.DUMMYFUNCTION("""COMPUTED_VALUE"""),72.14)</f>
        <v>72.14</v>
      </c>
      <c r="E757" s="6" t="str">
        <f>IFERROR(__xludf.DUMMYFUNCTION("""COMPUTED_VALUE"""),"No")</f>
        <v>No</v>
      </c>
      <c r="F757" s="8" t="str">
        <f>IFERROR(__xludf.DUMMYFUNCTION("""COMPUTED_VALUE"""),"No")</f>
        <v>No</v>
      </c>
    </row>
    <row r="758">
      <c r="A758" s="5">
        <f>IFERROR(__xludf.DUMMYFUNCTION("""COMPUTED_VALUE"""),44724.0)</f>
        <v>44724</v>
      </c>
      <c r="B758" s="6" t="str">
        <f>IFERROR(__xludf.DUMMYFUNCTION("""COMPUTED_VALUE"""),"lunch")</f>
        <v>lunch</v>
      </c>
      <c r="C758" s="6" t="str">
        <f>IFERROR(__xludf.DUMMYFUNCTION("""COMPUTED_VALUE"""),"employee L")</f>
        <v>employee L</v>
      </c>
      <c r="D758" s="7">
        <f>IFERROR(__xludf.DUMMYFUNCTION("""COMPUTED_VALUE"""),133.84)</f>
        <v>133.84</v>
      </c>
      <c r="E758" s="6" t="str">
        <f>IFERROR(__xludf.DUMMYFUNCTION("""COMPUTED_VALUE"""),"No")</f>
        <v>No</v>
      </c>
      <c r="F758" s="8" t="str">
        <f>IFERROR(__xludf.DUMMYFUNCTION("""COMPUTED_VALUE"""),"No")</f>
        <v>No</v>
      </c>
    </row>
    <row r="759">
      <c r="A759" s="5">
        <f>IFERROR(__xludf.DUMMYFUNCTION("""COMPUTED_VALUE"""),44724.0)</f>
        <v>44724</v>
      </c>
      <c r="B759" s="6" t="str">
        <f>IFERROR(__xludf.DUMMYFUNCTION("""COMPUTED_VALUE"""),"lunch")</f>
        <v>lunch</v>
      </c>
      <c r="C759" s="6" t="str">
        <f>IFERROR(__xludf.DUMMYFUNCTION("""COMPUTED_VALUE"""),"employee B")</f>
        <v>employee B</v>
      </c>
      <c r="D759" s="7">
        <f>IFERROR(__xludf.DUMMYFUNCTION("""COMPUTED_VALUE"""),105.16)</f>
        <v>105.16</v>
      </c>
      <c r="E759" s="6" t="str">
        <f>IFERROR(__xludf.DUMMYFUNCTION("""COMPUTED_VALUE"""),"No")</f>
        <v>No</v>
      </c>
      <c r="F759" s="8" t="str">
        <f>IFERROR(__xludf.DUMMYFUNCTION("""COMPUTED_VALUE"""),"No")</f>
        <v>No</v>
      </c>
    </row>
    <row r="760">
      <c r="A760" s="5">
        <f>IFERROR(__xludf.DUMMYFUNCTION("""COMPUTED_VALUE"""),44724.0)</f>
        <v>44724</v>
      </c>
      <c r="B760" s="6" t="str">
        <f>IFERROR(__xludf.DUMMYFUNCTION("""COMPUTED_VALUE"""),"lunch")</f>
        <v>lunch</v>
      </c>
      <c r="C760" s="6" t="str">
        <f>IFERROR(__xludf.DUMMYFUNCTION("""COMPUTED_VALUE"""),"employee J")</f>
        <v>employee J</v>
      </c>
      <c r="D760" s="7">
        <f>IFERROR(__xludf.DUMMYFUNCTION("""COMPUTED_VALUE"""),86.05)</f>
        <v>86.05</v>
      </c>
      <c r="E760" s="6" t="str">
        <f>IFERROR(__xludf.DUMMYFUNCTION("""COMPUTED_VALUE"""),"No")</f>
        <v>No</v>
      </c>
      <c r="F760" s="8" t="str">
        <f>IFERROR(__xludf.DUMMYFUNCTION("""COMPUTED_VALUE"""),"No")</f>
        <v>No</v>
      </c>
    </row>
    <row r="761">
      <c r="A761" s="5">
        <f>IFERROR(__xludf.DUMMYFUNCTION("""COMPUTED_VALUE"""),44724.0)</f>
        <v>44724</v>
      </c>
      <c r="B761" s="6" t="str">
        <f>IFERROR(__xludf.DUMMYFUNCTION("""COMPUTED_VALUE"""),"dinner")</f>
        <v>dinner</v>
      </c>
      <c r="C761" s="6" t="str">
        <f>IFERROR(__xludf.DUMMYFUNCTION("""COMPUTED_VALUE"""),"employee B")</f>
        <v>employee B</v>
      </c>
      <c r="D761" s="7">
        <f>IFERROR(__xludf.DUMMYFUNCTION("""COMPUTED_VALUE"""),61.2)</f>
        <v>61.2</v>
      </c>
      <c r="E761" s="6" t="str">
        <f>IFERROR(__xludf.DUMMYFUNCTION("""COMPUTED_VALUE"""),"No")</f>
        <v>No</v>
      </c>
      <c r="F761" s="8" t="str">
        <f>IFERROR(__xludf.DUMMYFUNCTION("""COMPUTED_VALUE"""),"No")</f>
        <v>No</v>
      </c>
    </row>
    <row r="762">
      <c r="A762" s="5">
        <f>IFERROR(__xludf.DUMMYFUNCTION("""COMPUTED_VALUE"""),44724.0)</f>
        <v>44724</v>
      </c>
      <c r="B762" s="6" t="str">
        <f>IFERROR(__xludf.DUMMYFUNCTION("""COMPUTED_VALUE"""),"dinner")</f>
        <v>dinner</v>
      </c>
      <c r="C762" s="6" t="str">
        <f>IFERROR(__xludf.DUMMYFUNCTION("""COMPUTED_VALUE"""),"employee L")</f>
        <v>employee L</v>
      </c>
      <c r="D762" s="7">
        <f>IFERROR(__xludf.DUMMYFUNCTION("""COMPUTED_VALUE"""),50.96)</f>
        <v>50.96</v>
      </c>
      <c r="E762" s="6" t="str">
        <f>IFERROR(__xludf.DUMMYFUNCTION("""COMPUTED_VALUE"""),"No")</f>
        <v>No</v>
      </c>
      <c r="F762" s="8" t="str">
        <f>IFERROR(__xludf.DUMMYFUNCTION("""COMPUTED_VALUE"""),"No")</f>
        <v>No</v>
      </c>
    </row>
    <row r="763">
      <c r="A763" s="5">
        <f>IFERROR(__xludf.DUMMYFUNCTION("""COMPUTED_VALUE"""),44724.0)</f>
        <v>44724</v>
      </c>
      <c r="B763" s="6" t="str">
        <f>IFERROR(__xludf.DUMMYFUNCTION("""COMPUTED_VALUE"""),"dinner")</f>
        <v>dinner</v>
      </c>
      <c r="C763" s="6" t="str">
        <f>IFERROR(__xludf.DUMMYFUNCTION("""COMPUTED_VALUE"""),"employee G")</f>
        <v>employee G</v>
      </c>
      <c r="D763" s="7">
        <f>IFERROR(__xludf.DUMMYFUNCTION("""COMPUTED_VALUE"""),61.2)</f>
        <v>61.2</v>
      </c>
      <c r="E763" s="6" t="str">
        <f>IFERROR(__xludf.DUMMYFUNCTION("""COMPUTED_VALUE"""),"No")</f>
        <v>No</v>
      </c>
      <c r="F763" s="8" t="str">
        <f>IFERROR(__xludf.DUMMYFUNCTION("""COMPUTED_VALUE"""),"No")</f>
        <v>No</v>
      </c>
    </row>
    <row r="764">
      <c r="A764" s="5">
        <f>IFERROR(__xludf.DUMMYFUNCTION("""COMPUTED_VALUE"""),44725.0)</f>
        <v>44725</v>
      </c>
      <c r="B764" s="6" t="str">
        <f>IFERROR(__xludf.DUMMYFUNCTION("""COMPUTED_VALUE"""),"lunch")</f>
        <v>lunch</v>
      </c>
      <c r="C764" s="6" t="str">
        <f>IFERROR(__xludf.DUMMYFUNCTION("""COMPUTED_VALUE"""),"employee P")</f>
        <v>employee P</v>
      </c>
      <c r="D764" s="7">
        <f>IFERROR(__xludf.DUMMYFUNCTION("""COMPUTED_VALUE"""),131.38)</f>
        <v>131.38</v>
      </c>
      <c r="E764" s="6" t="str">
        <f>IFERROR(__xludf.DUMMYFUNCTION("""COMPUTED_VALUE"""),"No")</f>
        <v>No</v>
      </c>
      <c r="F764" s="8" t="str">
        <f>IFERROR(__xludf.DUMMYFUNCTION("""COMPUTED_VALUE"""),"No")</f>
        <v>No</v>
      </c>
    </row>
    <row r="765">
      <c r="A765" s="5">
        <f>IFERROR(__xludf.DUMMYFUNCTION("""COMPUTED_VALUE"""),44725.0)</f>
        <v>44725</v>
      </c>
      <c r="B765" s="6" t="str">
        <f>IFERROR(__xludf.DUMMYFUNCTION("""COMPUTED_VALUE"""),"dinner")</f>
        <v>dinner</v>
      </c>
      <c r="C765" s="6" t="str">
        <f>IFERROR(__xludf.DUMMYFUNCTION("""COMPUTED_VALUE"""),"employee J")</f>
        <v>employee J</v>
      </c>
      <c r="D765" s="7">
        <f>IFERROR(__xludf.DUMMYFUNCTION("""COMPUTED_VALUE"""),128.11)</f>
        <v>128.11</v>
      </c>
      <c r="E765" s="6" t="str">
        <f>IFERROR(__xludf.DUMMYFUNCTION("""COMPUTED_VALUE"""),"No")</f>
        <v>No</v>
      </c>
      <c r="F765" s="8" t="str">
        <f>IFERROR(__xludf.DUMMYFUNCTION("""COMPUTED_VALUE"""),"No")</f>
        <v>No</v>
      </c>
    </row>
    <row r="766">
      <c r="A766" s="5">
        <f>IFERROR(__xludf.DUMMYFUNCTION("""COMPUTED_VALUE"""),44725.0)</f>
        <v>44725</v>
      </c>
      <c r="B766" s="6" t="str">
        <f>IFERROR(__xludf.DUMMYFUNCTION("""COMPUTED_VALUE"""),"dinner")</f>
        <v>dinner</v>
      </c>
      <c r="C766" s="6" t="str">
        <f>IFERROR(__xludf.DUMMYFUNCTION("""COMPUTED_VALUE"""),"employee I")</f>
        <v>employee I</v>
      </c>
      <c r="D766" s="7">
        <f>IFERROR(__xludf.DUMMYFUNCTION("""COMPUTED_VALUE"""),99.64)</f>
        <v>99.64</v>
      </c>
      <c r="E766" s="6" t="str">
        <f>IFERROR(__xludf.DUMMYFUNCTION("""COMPUTED_VALUE"""),"No")</f>
        <v>No</v>
      </c>
      <c r="F766" s="8" t="str">
        <f>IFERROR(__xludf.DUMMYFUNCTION("""COMPUTED_VALUE"""),"No")</f>
        <v>No</v>
      </c>
    </row>
    <row r="767">
      <c r="A767" s="5">
        <f>IFERROR(__xludf.DUMMYFUNCTION("""COMPUTED_VALUE"""),44725.0)</f>
        <v>44725</v>
      </c>
      <c r="B767" s="6" t="str">
        <f>IFERROR(__xludf.DUMMYFUNCTION("""COMPUTED_VALUE"""),"dinner")</f>
        <v>dinner</v>
      </c>
      <c r="C767" s="6" t="str">
        <f>IFERROR(__xludf.DUMMYFUNCTION("""COMPUTED_VALUE"""),"employee P")</f>
        <v>employee P</v>
      </c>
      <c r="D767" s="7">
        <f>IFERROR(__xludf.DUMMYFUNCTION("""COMPUTED_VALUE"""),14.23)</f>
        <v>14.23</v>
      </c>
      <c r="E767" s="6" t="str">
        <f>IFERROR(__xludf.DUMMYFUNCTION("""COMPUTED_VALUE"""),"No")</f>
        <v>No</v>
      </c>
      <c r="F767" s="8" t="str">
        <f>IFERROR(__xludf.DUMMYFUNCTION("""COMPUTED_VALUE"""),"No")</f>
        <v>No</v>
      </c>
    </row>
    <row r="768">
      <c r="A768" s="5">
        <f>IFERROR(__xludf.DUMMYFUNCTION("""COMPUTED_VALUE"""),44726.0)</f>
        <v>44726</v>
      </c>
      <c r="B768" s="6" t="str">
        <f>IFERROR(__xludf.DUMMYFUNCTION("""COMPUTED_VALUE"""),"lunch")</f>
        <v>lunch</v>
      </c>
      <c r="C768" s="6" t="str">
        <f>IFERROR(__xludf.DUMMYFUNCTION("""COMPUTED_VALUE"""),"employee P")</f>
        <v>employee P</v>
      </c>
      <c r="D768" s="7">
        <f>IFERROR(__xludf.DUMMYFUNCTION("""COMPUTED_VALUE"""),96.9)</f>
        <v>96.9</v>
      </c>
      <c r="E768" s="6" t="str">
        <f>IFERROR(__xludf.DUMMYFUNCTION("""COMPUTED_VALUE"""),"No")</f>
        <v>No</v>
      </c>
      <c r="F768" s="8" t="str">
        <f>IFERROR(__xludf.DUMMYFUNCTION("""COMPUTED_VALUE"""),"No")</f>
        <v>No</v>
      </c>
    </row>
    <row r="769">
      <c r="A769" s="5">
        <f>IFERROR(__xludf.DUMMYFUNCTION("""COMPUTED_VALUE"""),44726.0)</f>
        <v>44726</v>
      </c>
      <c r="B769" s="6" t="str">
        <f>IFERROR(__xludf.DUMMYFUNCTION("""COMPUTED_VALUE"""),"dinner")</f>
        <v>dinner</v>
      </c>
      <c r="C769" s="6" t="str">
        <f>IFERROR(__xludf.DUMMYFUNCTION("""COMPUTED_VALUE"""),"employee P")</f>
        <v>employee P</v>
      </c>
      <c r="D769" s="7">
        <f>IFERROR(__xludf.DUMMYFUNCTION("""COMPUTED_VALUE"""),15.64)</f>
        <v>15.64</v>
      </c>
      <c r="E769" s="6" t="str">
        <f>IFERROR(__xludf.DUMMYFUNCTION("""COMPUTED_VALUE"""),"No")</f>
        <v>No</v>
      </c>
      <c r="F769" s="8" t="str">
        <f>IFERROR(__xludf.DUMMYFUNCTION("""COMPUTED_VALUE"""),"No")</f>
        <v>No</v>
      </c>
    </row>
    <row r="770">
      <c r="A770" s="5">
        <f>IFERROR(__xludf.DUMMYFUNCTION("""COMPUTED_VALUE"""),44726.0)</f>
        <v>44726</v>
      </c>
      <c r="B770" s="6" t="str">
        <f>IFERROR(__xludf.DUMMYFUNCTION("""COMPUTED_VALUE"""),"dinner")</f>
        <v>dinner</v>
      </c>
      <c r="C770" s="6" t="str">
        <f>IFERROR(__xludf.DUMMYFUNCTION("""COMPUTED_VALUE"""),"employee J")</f>
        <v>employee J</v>
      </c>
      <c r="D770" s="7">
        <f>IFERROR(__xludf.DUMMYFUNCTION("""COMPUTED_VALUE"""),54.74)</f>
        <v>54.74</v>
      </c>
      <c r="E770" s="6" t="str">
        <f>IFERROR(__xludf.DUMMYFUNCTION("""COMPUTED_VALUE"""),"No")</f>
        <v>No</v>
      </c>
      <c r="F770" s="8" t="str">
        <f>IFERROR(__xludf.DUMMYFUNCTION("""COMPUTED_VALUE"""),"No")</f>
        <v>No</v>
      </c>
    </row>
    <row r="771">
      <c r="A771" s="5">
        <f>IFERROR(__xludf.DUMMYFUNCTION("""COMPUTED_VALUE"""),44726.0)</f>
        <v>44726</v>
      </c>
      <c r="B771" s="6" t="str">
        <f>IFERROR(__xludf.DUMMYFUNCTION("""COMPUTED_VALUE"""),"dinner")</f>
        <v>dinner</v>
      </c>
      <c r="C771" s="6" t="str">
        <f>IFERROR(__xludf.DUMMYFUNCTION("""COMPUTED_VALUE"""),"employee I")</f>
        <v>employee I</v>
      </c>
      <c r="D771" s="7">
        <f>IFERROR(__xludf.DUMMYFUNCTION("""COMPUTED_VALUE"""),54.74)</f>
        <v>54.74</v>
      </c>
      <c r="E771" s="6" t="str">
        <f>IFERROR(__xludf.DUMMYFUNCTION("""COMPUTED_VALUE"""),"No")</f>
        <v>No</v>
      </c>
      <c r="F771" s="8" t="str">
        <f>IFERROR(__xludf.DUMMYFUNCTION("""COMPUTED_VALUE"""),"No")</f>
        <v>No</v>
      </c>
    </row>
    <row r="772">
      <c r="A772" s="5">
        <f>IFERROR(__xludf.DUMMYFUNCTION("""COMPUTED_VALUE"""),44727.0)</f>
        <v>44727</v>
      </c>
      <c r="B772" s="6" t="str">
        <f>IFERROR(__xludf.DUMMYFUNCTION("""COMPUTED_VALUE"""),"lunch")</f>
        <v>lunch</v>
      </c>
      <c r="C772" s="6" t="str">
        <f>IFERROR(__xludf.DUMMYFUNCTION("""COMPUTED_VALUE"""),"employee P")</f>
        <v>employee P</v>
      </c>
      <c r="D772" s="7">
        <f>IFERROR(__xludf.DUMMYFUNCTION("""COMPUTED_VALUE"""),107.28)</f>
        <v>107.28</v>
      </c>
      <c r="E772" s="6" t="str">
        <f>IFERROR(__xludf.DUMMYFUNCTION("""COMPUTED_VALUE"""),"No")</f>
        <v>No</v>
      </c>
      <c r="F772" s="8" t="str">
        <f>IFERROR(__xludf.DUMMYFUNCTION("""COMPUTED_VALUE"""),"No")</f>
        <v>No</v>
      </c>
    </row>
    <row r="773">
      <c r="A773" s="5">
        <f>IFERROR(__xludf.DUMMYFUNCTION("""COMPUTED_VALUE"""),44727.0)</f>
        <v>44727</v>
      </c>
      <c r="B773" s="6" t="str">
        <f>IFERROR(__xludf.DUMMYFUNCTION("""COMPUTED_VALUE"""),"dinner")</f>
        <v>dinner</v>
      </c>
      <c r="C773" s="6" t="str">
        <f>IFERROR(__xludf.DUMMYFUNCTION("""COMPUTED_VALUE"""),"employee J")</f>
        <v>employee J</v>
      </c>
      <c r="D773" s="7">
        <f>IFERROR(__xludf.DUMMYFUNCTION("""COMPUTED_VALUE"""),101.72)</f>
        <v>101.72</v>
      </c>
      <c r="E773" s="6" t="str">
        <f>IFERROR(__xludf.DUMMYFUNCTION("""COMPUTED_VALUE"""),"No")</f>
        <v>No</v>
      </c>
      <c r="F773" s="8" t="str">
        <f>IFERROR(__xludf.DUMMYFUNCTION("""COMPUTED_VALUE"""),"No")</f>
        <v>No</v>
      </c>
    </row>
    <row r="774">
      <c r="A774" s="5">
        <f>IFERROR(__xludf.DUMMYFUNCTION("""COMPUTED_VALUE"""),44727.0)</f>
        <v>44727</v>
      </c>
      <c r="B774" s="6" t="str">
        <f>IFERROR(__xludf.DUMMYFUNCTION("""COMPUTED_VALUE"""),"dinner")</f>
        <v>dinner</v>
      </c>
      <c r="C774" s="6" t="str">
        <f>IFERROR(__xludf.DUMMYFUNCTION("""COMPUTED_VALUE"""),"employee I")</f>
        <v>employee I</v>
      </c>
      <c r="D774" s="7">
        <f>IFERROR(__xludf.DUMMYFUNCTION("""COMPUTED_VALUE"""),79.12)</f>
        <v>79.12</v>
      </c>
      <c r="E774" s="6" t="str">
        <f>IFERROR(__xludf.DUMMYFUNCTION("""COMPUTED_VALUE"""),"No")</f>
        <v>No</v>
      </c>
      <c r="F774" s="8" t="str">
        <f>IFERROR(__xludf.DUMMYFUNCTION("""COMPUTED_VALUE"""),"No")</f>
        <v>No</v>
      </c>
    </row>
    <row r="775">
      <c r="A775" s="5">
        <f>IFERROR(__xludf.DUMMYFUNCTION("""COMPUTED_VALUE"""),44728.0)</f>
        <v>44728</v>
      </c>
      <c r="B775" s="6" t="str">
        <f>IFERROR(__xludf.DUMMYFUNCTION("""COMPUTED_VALUE"""),"lunch")</f>
        <v>lunch</v>
      </c>
      <c r="C775" s="6" t="str">
        <f>IFERROR(__xludf.DUMMYFUNCTION("""COMPUTED_VALUE"""),"employee L")</f>
        <v>employee L</v>
      </c>
      <c r="D775" s="7">
        <f>IFERROR(__xludf.DUMMYFUNCTION("""COMPUTED_VALUE"""),84.34)</f>
        <v>84.34</v>
      </c>
      <c r="E775" s="6" t="str">
        <f>IFERROR(__xludf.DUMMYFUNCTION("""COMPUTED_VALUE"""),"No")</f>
        <v>No</v>
      </c>
      <c r="F775" s="8" t="str">
        <f>IFERROR(__xludf.DUMMYFUNCTION("""COMPUTED_VALUE"""),"No")</f>
        <v>No</v>
      </c>
    </row>
    <row r="776">
      <c r="A776" s="5">
        <f>IFERROR(__xludf.DUMMYFUNCTION("""COMPUTED_VALUE"""),44728.0)</f>
        <v>44728</v>
      </c>
      <c r="B776" s="6" t="str">
        <f>IFERROR(__xludf.DUMMYFUNCTION("""COMPUTED_VALUE"""),"dinner")</f>
        <v>dinner</v>
      </c>
      <c r="C776" s="6" t="str">
        <f>IFERROR(__xludf.DUMMYFUNCTION("""COMPUTED_VALUE"""),"employee B")</f>
        <v>employee B</v>
      </c>
      <c r="D776" s="7">
        <f>IFERROR(__xludf.DUMMYFUNCTION("""COMPUTED_VALUE"""),58.9)</f>
        <v>58.9</v>
      </c>
      <c r="E776" s="6" t="str">
        <f>IFERROR(__xludf.DUMMYFUNCTION("""COMPUTED_VALUE"""),"No")</f>
        <v>No</v>
      </c>
      <c r="F776" s="8" t="str">
        <f>IFERROR(__xludf.DUMMYFUNCTION("""COMPUTED_VALUE"""),"No")</f>
        <v>No</v>
      </c>
    </row>
    <row r="777">
      <c r="A777" s="5">
        <f>IFERROR(__xludf.DUMMYFUNCTION("""COMPUTED_VALUE"""),44728.0)</f>
        <v>44728</v>
      </c>
      <c r="B777" s="6" t="str">
        <f>IFERROR(__xludf.DUMMYFUNCTION("""COMPUTED_VALUE"""),"dinner")</f>
        <v>dinner</v>
      </c>
      <c r="C777" s="6" t="str">
        <f>IFERROR(__xludf.DUMMYFUNCTION("""COMPUTED_VALUE"""),"employee P")</f>
        <v>employee P</v>
      </c>
      <c r="D777" s="7">
        <f>IFERROR(__xludf.DUMMYFUNCTION("""COMPUTED_VALUE"""),58.91)</f>
        <v>58.91</v>
      </c>
      <c r="E777" s="6" t="str">
        <f>IFERROR(__xludf.DUMMYFUNCTION("""COMPUTED_VALUE"""),"No")</f>
        <v>No</v>
      </c>
      <c r="F777" s="8" t="str">
        <f>IFERROR(__xludf.DUMMYFUNCTION("""COMPUTED_VALUE"""),"No")</f>
        <v>No</v>
      </c>
    </row>
    <row r="778">
      <c r="A778" s="5">
        <f>IFERROR(__xludf.DUMMYFUNCTION("""COMPUTED_VALUE"""),44728.0)</f>
        <v>44728</v>
      </c>
      <c r="B778" s="6" t="str">
        <f>IFERROR(__xludf.DUMMYFUNCTION("""COMPUTED_VALUE"""),"dinner")</f>
        <v>dinner</v>
      </c>
      <c r="C778" s="6" t="str">
        <f>IFERROR(__xludf.DUMMYFUNCTION("""COMPUTED_VALUE"""),"employee G")</f>
        <v>employee G</v>
      </c>
      <c r="D778" s="7">
        <f>IFERROR(__xludf.DUMMYFUNCTION("""COMPUTED_VALUE"""),45.79)</f>
        <v>45.79</v>
      </c>
      <c r="E778" s="6" t="str">
        <f>IFERROR(__xludf.DUMMYFUNCTION("""COMPUTED_VALUE"""),"No")</f>
        <v>No</v>
      </c>
      <c r="F778" s="8" t="str">
        <f>IFERROR(__xludf.DUMMYFUNCTION("""COMPUTED_VALUE"""),"No")</f>
        <v>No</v>
      </c>
    </row>
    <row r="779">
      <c r="A779" s="5">
        <f>IFERROR(__xludf.DUMMYFUNCTION("""COMPUTED_VALUE"""),44729.0)</f>
        <v>44729</v>
      </c>
      <c r="B779" s="6" t="str">
        <f>IFERROR(__xludf.DUMMYFUNCTION("""COMPUTED_VALUE"""),"lunch")</f>
        <v>lunch</v>
      </c>
      <c r="C779" s="6" t="str">
        <f>IFERROR(__xludf.DUMMYFUNCTION("""COMPUTED_VALUE"""),"employee J")</f>
        <v>employee J</v>
      </c>
      <c r="D779" s="7">
        <f>IFERROR(__xludf.DUMMYFUNCTION("""COMPUTED_VALUE"""),116.24)</f>
        <v>116.24</v>
      </c>
      <c r="E779" s="6" t="str">
        <f>IFERROR(__xludf.DUMMYFUNCTION("""COMPUTED_VALUE"""),"No")</f>
        <v>No</v>
      </c>
      <c r="F779" s="8" t="str">
        <f>IFERROR(__xludf.DUMMYFUNCTION("""COMPUTED_VALUE"""),"No")</f>
        <v>No</v>
      </c>
    </row>
    <row r="780">
      <c r="A780" s="5">
        <f>IFERROR(__xludf.DUMMYFUNCTION("""COMPUTED_VALUE"""),44729.0)</f>
        <v>44729</v>
      </c>
      <c r="B780" s="6" t="str">
        <f>IFERROR(__xludf.DUMMYFUNCTION("""COMPUTED_VALUE"""),"dinner")</f>
        <v>dinner</v>
      </c>
      <c r="C780" s="6" t="str">
        <f>IFERROR(__xludf.DUMMYFUNCTION("""COMPUTED_VALUE"""),"employee L")</f>
        <v>employee L</v>
      </c>
      <c r="D780" s="7">
        <f>IFERROR(__xludf.DUMMYFUNCTION("""COMPUTED_VALUE"""),89.6)</f>
        <v>89.6</v>
      </c>
      <c r="E780" s="6" t="str">
        <f>IFERROR(__xludf.DUMMYFUNCTION("""COMPUTED_VALUE"""),"No")</f>
        <v>No</v>
      </c>
      <c r="F780" s="8" t="str">
        <f>IFERROR(__xludf.DUMMYFUNCTION("""COMPUTED_VALUE"""),"No")</f>
        <v>No</v>
      </c>
    </row>
    <row r="781">
      <c r="A781" s="5">
        <f>IFERROR(__xludf.DUMMYFUNCTION("""COMPUTED_VALUE"""),44729.0)</f>
        <v>44729</v>
      </c>
      <c r="B781" s="6" t="str">
        <f>IFERROR(__xludf.DUMMYFUNCTION("""COMPUTED_VALUE"""),"dinner")</f>
        <v>dinner</v>
      </c>
      <c r="C781" s="6" t="str">
        <f>IFERROR(__xludf.DUMMYFUNCTION("""COMPUTED_VALUE"""),"employee B")</f>
        <v>employee B</v>
      </c>
      <c r="D781" s="7">
        <f>IFERROR(__xludf.DUMMYFUNCTION("""COMPUTED_VALUE"""),89.6)</f>
        <v>89.6</v>
      </c>
      <c r="E781" s="6" t="str">
        <f>IFERROR(__xludf.DUMMYFUNCTION("""COMPUTED_VALUE"""),"No")</f>
        <v>No</v>
      </c>
      <c r="F781" s="8" t="str">
        <f>IFERROR(__xludf.DUMMYFUNCTION("""COMPUTED_VALUE"""),"No")</f>
        <v>No</v>
      </c>
    </row>
    <row r="782">
      <c r="A782" s="5">
        <f>IFERROR(__xludf.DUMMYFUNCTION("""COMPUTED_VALUE"""),44729.0)</f>
        <v>44729</v>
      </c>
      <c r="B782" s="6" t="str">
        <f>IFERROR(__xludf.DUMMYFUNCTION("""COMPUTED_VALUE"""),"dinner")</f>
        <v>dinner</v>
      </c>
      <c r="C782" s="6" t="str">
        <f>IFERROR(__xludf.DUMMYFUNCTION("""COMPUTED_VALUE"""),"employee I")</f>
        <v>employee I</v>
      </c>
      <c r="D782" s="7">
        <f>IFERROR(__xludf.DUMMYFUNCTION("""COMPUTED_VALUE"""),69.66)</f>
        <v>69.66</v>
      </c>
      <c r="E782" s="6" t="str">
        <f>IFERROR(__xludf.DUMMYFUNCTION("""COMPUTED_VALUE"""),"No")</f>
        <v>No</v>
      </c>
      <c r="F782" s="8" t="str">
        <f>IFERROR(__xludf.DUMMYFUNCTION("""COMPUTED_VALUE"""),"No")</f>
        <v>No</v>
      </c>
    </row>
    <row r="783">
      <c r="A783" s="5">
        <f>IFERROR(__xludf.DUMMYFUNCTION("""COMPUTED_VALUE"""),44730.0)</f>
        <v>44730</v>
      </c>
      <c r="B783" s="6" t="str">
        <f>IFERROR(__xludf.DUMMYFUNCTION("""COMPUTED_VALUE"""),"lunch")</f>
        <v>lunch</v>
      </c>
      <c r="C783" s="6" t="str">
        <f>IFERROR(__xludf.DUMMYFUNCTION("""COMPUTED_VALUE"""),"employee L")</f>
        <v>employee L</v>
      </c>
      <c r="D783" s="7">
        <f>IFERROR(__xludf.DUMMYFUNCTION("""COMPUTED_VALUE"""),170.71)</f>
        <v>170.71</v>
      </c>
      <c r="E783" s="6" t="str">
        <f>IFERROR(__xludf.DUMMYFUNCTION("""COMPUTED_VALUE"""),"No")</f>
        <v>No</v>
      </c>
      <c r="F783" s="8" t="str">
        <f>IFERROR(__xludf.DUMMYFUNCTION("""COMPUTED_VALUE"""),"No")</f>
        <v>No</v>
      </c>
    </row>
    <row r="784">
      <c r="A784" s="5">
        <f>IFERROR(__xludf.DUMMYFUNCTION("""COMPUTED_VALUE"""),44730.0)</f>
        <v>44730</v>
      </c>
      <c r="B784" s="6" t="str">
        <f>IFERROR(__xludf.DUMMYFUNCTION("""COMPUTED_VALUE"""),"lunch")</f>
        <v>lunch</v>
      </c>
      <c r="C784" s="6" t="str">
        <f>IFERROR(__xludf.DUMMYFUNCTION("""COMPUTED_VALUE"""),"employee J")</f>
        <v>employee J</v>
      </c>
      <c r="D784" s="7">
        <f>IFERROR(__xludf.DUMMYFUNCTION("""COMPUTED_VALUE"""),121.94)</f>
        <v>121.94</v>
      </c>
      <c r="E784" s="6" t="str">
        <f>IFERROR(__xludf.DUMMYFUNCTION("""COMPUTED_VALUE"""),"No")</f>
        <v>No</v>
      </c>
      <c r="F784" s="8" t="str">
        <f>IFERROR(__xludf.DUMMYFUNCTION("""COMPUTED_VALUE"""),"No")</f>
        <v>No</v>
      </c>
    </row>
    <row r="785">
      <c r="A785" s="5">
        <f>IFERROR(__xludf.DUMMYFUNCTION("""COMPUTED_VALUE"""),44730.0)</f>
        <v>44730</v>
      </c>
      <c r="B785" s="6" t="str">
        <f>IFERROR(__xludf.DUMMYFUNCTION("""COMPUTED_VALUE"""),"dinner")</f>
        <v>dinner</v>
      </c>
      <c r="C785" s="6" t="str">
        <f>IFERROR(__xludf.DUMMYFUNCTION("""COMPUTED_VALUE"""),"employee L")</f>
        <v>employee L</v>
      </c>
      <c r="D785" s="7">
        <f>IFERROR(__xludf.DUMMYFUNCTION("""COMPUTED_VALUE"""),121.45)</f>
        <v>121.45</v>
      </c>
      <c r="E785" s="6" t="str">
        <f>IFERROR(__xludf.DUMMYFUNCTION("""COMPUTED_VALUE"""),"No")</f>
        <v>No</v>
      </c>
      <c r="F785" s="8" t="str">
        <f>IFERROR(__xludf.DUMMYFUNCTION("""COMPUTED_VALUE"""),"No")</f>
        <v>No</v>
      </c>
    </row>
    <row r="786">
      <c r="A786" s="5">
        <f>IFERROR(__xludf.DUMMYFUNCTION("""COMPUTED_VALUE"""),44730.0)</f>
        <v>44730</v>
      </c>
      <c r="B786" s="6" t="str">
        <f>IFERROR(__xludf.DUMMYFUNCTION("""COMPUTED_VALUE"""),"dinner")</f>
        <v>dinner</v>
      </c>
      <c r="C786" s="6" t="str">
        <f>IFERROR(__xludf.DUMMYFUNCTION("""COMPUTED_VALUE"""),"employee J")</f>
        <v>employee J</v>
      </c>
      <c r="D786" s="7">
        <f>IFERROR(__xludf.DUMMYFUNCTION("""COMPUTED_VALUE"""),121.45)</f>
        <v>121.45</v>
      </c>
      <c r="E786" s="6" t="str">
        <f>IFERROR(__xludf.DUMMYFUNCTION("""COMPUTED_VALUE"""),"No")</f>
        <v>No</v>
      </c>
      <c r="F786" s="8" t="str">
        <f>IFERROR(__xludf.DUMMYFUNCTION("""COMPUTED_VALUE"""),"No")</f>
        <v>No</v>
      </c>
    </row>
    <row r="787">
      <c r="A787" s="5">
        <f>IFERROR(__xludf.DUMMYFUNCTION("""COMPUTED_VALUE"""),44730.0)</f>
        <v>44730</v>
      </c>
      <c r="B787" s="6" t="str">
        <f>IFERROR(__xludf.DUMMYFUNCTION("""COMPUTED_VALUE"""),"dinner")</f>
        <v>dinner</v>
      </c>
      <c r="C787" s="6" t="str">
        <f>IFERROR(__xludf.DUMMYFUNCTION("""COMPUTED_VALUE"""),"employee A")</f>
        <v>employee A</v>
      </c>
      <c r="D787" s="7">
        <f>IFERROR(__xludf.DUMMYFUNCTION("""COMPUTED_VALUE"""),0.0)</f>
        <v>0</v>
      </c>
      <c r="E787" s="6" t="str">
        <f>IFERROR(__xludf.DUMMYFUNCTION("""COMPUTED_VALUE"""),"No")</f>
        <v>No</v>
      </c>
      <c r="F787" s="8" t="str">
        <f>IFERROR(__xludf.DUMMYFUNCTION("""COMPUTED_VALUE"""),"No")</f>
        <v>No</v>
      </c>
    </row>
    <row r="788">
      <c r="A788" s="5">
        <f>IFERROR(__xludf.DUMMYFUNCTION("""COMPUTED_VALUE"""),44731.0)</f>
        <v>44731</v>
      </c>
      <c r="B788" s="6" t="str">
        <f>IFERROR(__xludf.DUMMYFUNCTION("""COMPUTED_VALUE"""),"lunch")</f>
        <v>lunch</v>
      </c>
      <c r="C788" s="6" t="str">
        <f>IFERROR(__xludf.DUMMYFUNCTION("""COMPUTED_VALUE"""),"employee A")</f>
        <v>employee A</v>
      </c>
      <c r="D788" s="7">
        <f>IFERROR(__xludf.DUMMYFUNCTION("""COMPUTED_VALUE"""),107.11)</f>
        <v>107.11</v>
      </c>
      <c r="E788" s="6" t="str">
        <f>IFERROR(__xludf.DUMMYFUNCTION("""COMPUTED_VALUE"""),"No")</f>
        <v>No</v>
      </c>
      <c r="F788" s="8" t="str">
        <f>IFERROR(__xludf.DUMMYFUNCTION("""COMPUTED_VALUE"""),"No")</f>
        <v>No</v>
      </c>
    </row>
    <row r="789">
      <c r="A789" s="5">
        <f>IFERROR(__xludf.DUMMYFUNCTION("""COMPUTED_VALUE"""),44731.0)</f>
        <v>44731</v>
      </c>
      <c r="B789" s="6" t="str">
        <f>IFERROR(__xludf.DUMMYFUNCTION("""COMPUTED_VALUE"""),"lunch")</f>
        <v>lunch</v>
      </c>
      <c r="C789" s="6" t="str">
        <f>IFERROR(__xludf.DUMMYFUNCTION("""COMPUTED_VALUE"""),"employee J")</f>
        <v>employee J</v>
      </c>
      <c r="D789" s="7">
        <f>IFERROR(__xludf.DUMMYFUNCTION("""COMPUTED_VALUE"""),45.9)</f>
        <v>45.9</v>
      </c>
      <c r="E789" s="6" t="str">
        <f>IFERROR(__xludf.DUMMYFUNCTION("""COMPUTED_VALUE"""),"No")</f>
        <v>No</v>
      </c>
      <c r="F789" s="8" t="str">
        <f>IFERROR(__xludf.DUMMYFUNCTION("""COMPUTED_VALUE"""),"No")</f>
        <v>No</v>
      </c>
    </row>
    <row r="790">
      <c r="A790" s="5">
        <f>IFERROR(__xludf.DUMMYFUNCTION("""COMPUTED_VALUE"""),44731.0)</f>
        <v>44731</v>
      </c>
      <c r="B790" s="6" t="str">
        <f>IFERROR(__xludf.DUMMYFUNCTION("""COMPUTED_VALUE"""),"lunch")</f>
        <v>lunch</v>
      </c>
      <c r="C790" s="6" t="str">
        <f>IFERROR(__xludf.DUMMYFUNCTION("""COMPUTED_VALUE"""),"employee L")</f>
        <v>employee L</v>
      </c>
      <c r="D790" s="7">
        <f>IFERROR(__xludf.DUMMYFUNCTION("""COMPUTED_VALUE"""),107.11)</f>
        <v>107.11</v>
      </c>
      <c r="E790" s="6" t="str">
        <f>IFERROR(__xludf.DUMMYFUNCTION("""COMPUTED_VALUE"""),"No")</f>
        <v>No</v>
      </c>
      <c r="F790" s="8" t="str">
        <f>IFERROR(__xludf.DUMMYFUNCTION("""COMPUTED_VALUE"""),"No")</f>
        <v>No</v>
      </c>
    </row>
    <row r="791">
      <c r="A791" s="5">
        <f>IFERROR(__xludf.DUMMYFUNCTION("""COMPUTED_VALUE"""),44731.0)</f>
        <v>44731</v>
      </c>
      <c r="B791" s="6" t="str">
        <f>IFERROR(__xludf.DUMMYFUNCTION("""COMPUTED_VALUE"""),"dinner")</f>
        <v>dinner</v>
      </c>
      <c r="C791" s="6" t="str">
        <f>IFERROR(__xludf.DUMMYFUNCTION("""COMPUTED_VALUE"""),"employee L")</f>
        <v>employee L</v>
      </c>
      <c r="D791" s="7">
        <f>IFERROR(__xludf.DUMMYFUNCTION("""COMPUTED_VALUE"""),50.96)</f>
        <v>50.96</v>
      </c>
      <c r="E791" s="6" t="str">
        <f>IFERROR(__xludf.DUMMYFUNCTION("""COMPUTED_VALUE"""),"No")</f>
        <v>No</v>
      </c>
      <c r="F791" s="8" t="str">
        <f>IFERROR(__xludf.DUMMYFUNCTION("""COMPUTED_VALUE"""),"No")</f>
        <v>No</v>
      </c>
    </row>
    <row r="792">
      <c r="A792" s="5">
        <f>IFERROR(__xludf.DUMMYFUNCTION("""COMPUTED_VALUE"""),44731.0)</f>
        <v>44731</v>
      </c>
      <c r="B792" s="6" t="str">
        <f>IFERROR(__xludf.DUMMYFUNCTION("""COMPUTED_VALUE"""),"dinner")</f>
        <v>dinner</v>
      </c>
      <c r="C792" s="6" t="str">
        <f>IFERROR(__xludf.DUMMYFUNCTION("""COMPUTED_VALUE"""),"employee A")</f>
        <v>employee A</v>
      </c>
      <c r="D792" s="7">
        <f>IFERROR(__xludf.DUMMYFUNCTION("""COMPUTED_VALUE"""),57.35)</f>
        <v>57.35</v>
      </c>
      <c r="E792" s="6" t="str">
        <f>IFERROR(__xludf.DUMMYFUNCTION("""COMPUTED_VALUE"""),"No")</f>
        <v>No</v>
      </c>
      <c r="F792" s="8" t="str">
        <f>IFERROR(__xludf.DUMMYFUNCTION("""COMPUTED_VALUE"""),"No")</f>
        <v>No</v>
      </c>
    </row>
    <row r="793">
      <c r="A793" s="5">
        <f>IFERROR(__xludf.DUMMYFUNCTION("""COMPUTED_VALUE"""),44731.0)</f>
        <v>44731</v>
      </c>
      <c r="B793" s="6" t="str">
        <f>IFERROR(__xludf.DUMMYFUNCTION("""COMPUTED_VALUE"""),"dinner")</f>
        <v>dinner</v>
      </c>
      <c r="C793" s="6" t="str">
        <f>IFERROR(__xludf.DUMMYFUNCTION("""COMPUTED_VALUE"""),"employee P")</f>
        <v>employee P</v>
      </c>
      <c r="D793" s="7">
        <f>IFERROR(__xludf.DUMMYFUNCTION("""COMPUTED_VALUE"""),38.22)</f>
        <v>38.22</v>
      </c>
      <c r="E793" s="6" t="str">
        <f>IFERROR(__xludf.DUMMYFUNCTION("""COMPUTED_VALUE"""),"No")</f>
        <v>No</v>
      </c>
      <c r="F793" s="8" t="str">
        <f>IFERROR(__xludf.DUMMYFUNCTION("""COMPUTED_VALUE"""),"No")</f>
        <v>No</v>
      </c>
    </row>
    <row r="794">
      <c r="A794" s="5">
        <f>IFERROR(__xludf.DUMMYFUNCTION("""COMPUTED_VALUE"""),44732.0)</f>
        <v>44732</v>
      </c>
      <c r="B794" s="6" t="str">
        <f>IFERROR(__xludf.DUMMYFUNCTION("""COMPUTED_VALUE"""),"lunch")</f>
        <v>lunch</v>
      </c>
      <c r="C794" s="6" t="str">
        <f>IFERROR(__xludf.DUMMYFUNCTION("""COMPUTED_VALUE"""),"employee A")</f>
        <v>employee A</v>
      </c>
      <c r="D794" s="7">
        <f>IFERROR(__xludf.DUMMYFUNCTION("""COMPUTED_VALUE"""),180.74)</f>
        <v>180.74</v>
      </c>
      <c r="E794" s="6" t="str">
        <f>IFERROR(__xludf.DUMMYFUNCTION("""COMPUTED_VALUE"""),"No")</f>
        <v>No</v>
      </c>
      <c r="F794" s="8" t="str">
        <f>IFERROR(__xludf.DUMMYFUNCTION("""COMPUTED_VALUE"""),"No")</f>
        <v>No</v>
      </c>
    </row>
    <row r="795">
      <c r="A795" s="5">
        <f>IFERROR(__xludf.DUMMYFUNCTION("""COMPUTED_VALUE"""),44732.0)</f>
        <v>44732</v>
      </c>
      <c r="B795" s="6" t="str">
        <f>IFERROR(__xludf.DUMMYFUNCTION("""COMPUTED_VALUE"""),"dinner")</f>
        <v>dinner</v>
      </c>
      <c r="C795" s="6" t="str">
        <f>IFERROR(__xludf.DUMMYFUNCTION("""COMPUTED_VALUE"""),"employee A")</f>
        <v>employee A</v>
      </c>
      <c r="D795" s="7">
        <f>IFERROR(__xludf.DUMMYFUNCTION("""COMPUTED_VALUE"""),86.04)</f>
        <v>86.04</v>
      </c>
      <c r="E795" s="6" t="str">
        <f>IFERROR(__xludf.DUMMYFUNCTION("""COMPUTED_VALUE"""),"No")</f>
        <v>No</v>
      </c>
      <c r="F795" s="8" t="str">
        <f>IFERROR(__xludf.DUMMYFUNCTION("""COMPUTED_VALUE"""),"No")</f>
        <v>No</v>
      </c>
    </row>
    <row r="796">
      <c r="A796" s="5">
        <f>IFERROR(__xludf.DUMMYFUNCTION("""COMPUTED_VALUE"""),44732.0)</f>
        <v>44732</v>
      </c>
      <c r="B796" s="6" t="str">
        <f>IFERROR(__xludf.DUMMYFUNCTION("""COMPUTED_VALUE"""),"dinner")</f>
        <v>dinner</v>
      </c>
      <c r="C796" s="6" t="str">
        <f>IFERROR(__xludf.DUMMYFUNCTION("""COMPUTED_VALUE"""),"employee I")</f>
        <v>employee I</v>
      </c>
      <c r="D796" s="7">
        <f>IFERROR(__xludf.DUMMYFUNCTION("""COMPUTED_VALUE"""),66.93)</f>
        <v>66.93</v>
      </c>
      <c r="E796" s="6" t="str">
        <f>IFERROR(__xludf.DUMMYFUNCTION("""COMPUTED_VALUE"""),"No")</f>
        <v>No</v>
      </c>
      <c r="F796" s="8" t="str">
        <f>IFERROR(__xludf.DUMMYFUNCTION("""COMPUTED_VALUE"""),"No")</f>
        <v>No</v>
      </c>
    </row>
    <row r="797">
      <c r="A797" s="5">
        <f>IFERROR(__xludf.DUMMYFUNCTION("""COMPUTED_VALUE"""),44733.0)</f>
        <v>44733</v>
      </c>
      <c r="B797" s="6" t="str">
        <f>IFERROR(__xludf.DUMMYFUNCTION("""COMPUTED_VALUE"""),"lunch")</f>
        <v>lunch</v>
      </c>
      <c r="C797" s="6" t="str">
        <f>IFERROR(__xludf.DUMMYFUNCTION("""COMPUTED_VALUE"""),"employee A")</f>
        <v>employee A</v>
      </c>
      <c r="D797" s="7">
        <f>IFERROR(__xludf.DUMMYFUNCTION("""COMPUTED_VALUE"""),129.98)</f>
        <v>129.98</v>
      </c>
      <c r="E797" s="6" t="str">
        <f>IFERROR(__xludf.DUMMYFUNCTION("""COMPUTED_VALUE"""),"No")</f>
        <v>No</v>
      </c>
      <c r="F797" s="8" t="str">
        <f>IFERROR(__xludf.DUMMYFUNCTION("""COMPUTED_VALUE"""),"No")</f>
        <v>No</v>
      </c>
    </row>
    <row r="798">
      <c r="A798" s="5">
        <f>IFERROR(__xludf.DUMMYFUNCTION("""COMPUTED_VALUE"""),44733.0)</f>
        <v>44733</v>
      </c>
      <c r="B798" s="6" t="str">
        <f>IFERROR(__xludf.DUMMYFUNCTION("""COMPUTED_VALUE"""),"dinner")</f>
        <v>dinner</v>
      </c>
      <c r="C798" s="6" t="str">
        <f>IFERROR(__xludf.DUMMYFUNCTION("""COMPUTED_VALUE"""),"employee A")</f>
        <v>employee A</v>
      </c>
      <c r="D798" s="7">
        <f>IFERROR(__xludf.DUMMYFUNCTION("""COMPUTED_VALUE"""),81.19)</f>
        <v>81.19</v>
      </c>
      <c r="E798" s="6" t="str">
        <f>IFERROR(__xludf.DUMMYFUNCTION("""COMPUTED_VALUE"""),"No")</f>
        <v>No</v>
      </c>
      <c r="F798" s="8" t="str">
        <f>IFERROR(__xludf.DUMMYFUNCTION("""COMPUTED_VALUE"""),"No")</f>
        <v>No</v>
      </c>
    </row>
    <row r="799">
      <c r="A799" s="5">
        <f>IFERROR(__xludf.DUMMYFUNCTION("""COMPUTED_VALUE"""),44733.0)</f>
        <v>44733</v>
      </c>
      <c r="B799" s="6" t="str">
        <f>IFERROR(__xludf.DUMMYFUNCTION("""COMPUTED_VALUE"""),"dinner")</f>
        <v>dinner</v>
      </c>
      <c r="C799" s="6" t="str">
        <f>IFERROR(__xludf.DUMMYFUNCTION("""COMPUTED_VALUE"""),"employee I")</f>
        <v>employee I</v>
      </c>
      <c r="D799" s="7">
        <f>IFERROR(__xludf.DUMMYFUNCTION("""COMPUTED_VALUE"""),71.05)</f>
        <v>71.05</v>
      </c>
      <c r="E799" s="6" t="str">
        <f>IFERROR(__xludf.DUMMYFUNCTION("""COMPUTED_VALUE"""),"No")</f>
        <v>No</v>
      </c>
      <c r="F799" s="8" t="str">
        <f>IFERROR(__xludf.DUMMYFUNCTION("""COMPUTED_VALUE"""),"No")</f>
        <v>No</v>
      </c>
    </row>
    <row r="800">
      <c r="A800" s="5">
        <f>IFERROR(__xludf.DUMMYFUNCTION("""COMPUTED_VALUE"""),44734.0)</f>
        <v>44734</v>
      </c>
      <c r="B800" s="6" t="str">
        <f>IFERROR(__xludf.DUMMYFUNCTION("""COMPUTED_VALUE"""),"lunch")</f>
        <v>lunch</v>
      </c>
      <c r="C800" s="6" t="str">
        <f>IFERROR(__xludf.DUMMYFUNCTION("""COMPUTED_VALUE"""),"employee A")</f>
        <v>employee A</v>
      </c>
      <c r="D800" s="7">
        <f>IFERROR(__xludf.DUMMYFUNCTION("""COMPUTED_VALUE"""),96.2)</f>
        <v>96.2</v>
      </c>
      <c r="E800" s="6" t="str">
        <f>IFERROR(__xludf.DUMMYFUNCTION("""COMPUTED_VALUE"""),"No")</f>
        <v>No</v>
      </c>
      <c r="F800" s="8" t="str">
        <f>IFERROR(__xludf.DUMMYFUNCTION("""COMPUTED_VALUE"""),"No")</f>
        <v>No</v>
      </c>
    </row>
    <row r="801">
      <c r="A801" s="5">
        <f>IFERROR(__xludf.DUMMYFUNCTION("""COMPUTED_VALUE"""),44734.0)</f>
        <v>44734</v>
      </c>
      <c r="B801" s="6" t="str">
        <f>IFERROR(__xludf.DUMMYFUNCTION("""COMPUTED_VALUE"""),"dinner")</f>
        <v>dinner</v>
      </c>
      <c r="C801" s="6" t="str">
        <f>IFERROR(__xludf.DUMMYFUNCTION("""COMPUTED_VALUE"""),"employee J")</f>
        <v>employee J</v>
      </c>
      <c r="D801" s="7">
        <f>IFERROR(__xludf.DUMMYFUNCTION("""COMPUTED_VALUE"""),64.03)</f>
        <v>64.03</v>
      </c>
      <c r="E801" s="6" t="str">
        <f>IFERROR(__xludf.DUMMYFUNCTION("""COMPUTED_VALUE"""),"No")</f>
        <v>No</v>
      </c>
      <c r="F801" s="8" t="str">
        <f>IFERROR(__xludf.DUMMYFUNCTION("""COMPUTED_VALUE"""),"No")</f>
        <v>No</v>
      </c>
    </row>
    <row r="802">
      <c r="A802" s="5">
        <f>IFERROR(__xludf.DUMMYFUNCTION("""COMPUTED_VALUE"""),44734.0)</f>
        <v>44734</v>
      </c>
      <c r="B802" s="6" t="str">
        <f>IFERROR(__xludf.DUMMYFUNCTION("""COMPUTED_VALUE"""),"dinner")</f>
        <v>dinner</v>
      </c>
      <c r="C802" s="6" t="str">
        <f>IFERROR(__xludf.DUMMYFUNCTION("""COMPUTED_VALUE"""),"employee P")</f>
        <v>employee P</v>
      </c>
      <c r="D802" s="7">
        <f>IFERROR(__xludf.DUMMYFUNCTION("""COMPUTED_VALUE"""),64.03)</f>
        <v>64.03</v>
      </c>
      <c r="E802" s="6" t="str">
        <f>IFERROR(__xludf.DUMMYFUNCTION("""COMPUTED_VALUE"""),"No")</f>
        <v>No</v>
      </c>
      <c r="F802" s="8" t="str">
        <f>IFERROR(__xludf.DUMMYFUNCTION("""COMPUTED_VALUE"""),"No")</f>
        <v>No</v>
      </c>
    </row>
    <row r="803">
      <c r="A803" s="5">
        <f>IFERROR(__xludf.DUMMYFUNCTION("""COMPUTED_VALUE"""),44734.0)</f>
        <v>44734</v>
      </c>
      <c r="B803" s="6" t="str">
        <f>IFERROR(__xludf.DUMMYFUNCTION("""COMPUTED_VALUE"""),"dinner")</f>
        <v>dinner</v>
      </c>
      <c r="C803" s="6" t="str">
        <f>IFERROR(__xludf.DUMMYFUNCTION("""COMPUTED_VALUE"""),"employee G")</f>
        <v>employee G</v>
      </c>
      <c r="D803" s="7">
        <f>IFERROR(__xludf.DUMMYFUNCTION("""COMPUTED_VALUE"""),49.81)</f>
        <v>49.81</v>
      </c>
      <c r="E803" s="6" t="str">
        <f>IFERROR(__xludf.DUMMYFUNCTION("""COMPUTED_VALUE"""),"No")</f>
        <v>No</v>
      </c>
      <c r="F803" s="8" t="str">
        <f>IFERROR(__xludf.DUMMYFUNCTION("""COMPUTED_VALUE"""),"No")</f>
        <v>No</v>
      </c>
    </row>
    <row r="804">
      <c r="A804" s="5">
        <f>IFERROR(__xludf.DUMMYFUNCTION("""COMPUTED_VALUE"""),44735.0)</f>
        <v>44735</v>
      </c>
      <c r="B804" s="6" t="str">
        <f>IFERROR(__xludf.DUMMYFUNCTION("""COMPUTED_VALUE"""),"lunch")</f>
        <v>lunch</v>
      </c>
      <c r="C804" s="6" t="str">
        <f>IFERROR(__xludf.DUMMYFUNCTION("""COMPUTED_VALUE"""),"employee A")</f>
        <v>employee A</v>
      </c>
      <c r="D804" s="7">
        <f>IFERROR(__xludf.DUMMYFUNCTION("""COMPUTED_VALUE"""),51.94)</f>
        <v>51.94</v>
      </c>
      <c r="E804" s="6" t="str">
        <f>IFERROR(__xludf.DUMMYFUNCTION("""COMPUTED_VALUE"""),"No")</f>
        <v>No</v>
      </c>
      <c r="F804" s="8" t="str">
        <f>IFERROR(__xludf.DUMMYFUNCTION("""COMPUTED_VALUE"""),"No")</f>
        <v>No</v>
      </c>
    </row>
    <row r="805">
      <c r="A805" s="5">
        <f>IFERROR(__xludf.DUMMYFUNCTION("""COMPUTED_VALUE"""),44735.0)</f>
        <v>44735</v>
      </c>
      <c r="B805" s="6" t="str">
        <f>IFERROR(__xludf.DUMMYFUNCTION("""COMPUTED_VALUE"""),"dinner")</f>
        <v>dinner</v>
      </c>
      <c r="C805" s="6" t="str">
        <f>IFERROR(__xludf.DUMMYFUNCTION("""COMPUTED_VALUE"""),"employee B")</f>
        <v>employee B</v>
      </c>
      <c r="D805" s="7">
        <f>IFERROR(__xludf.DUMMYFUNCTION("""COMPUTED_VALUE"""),50.11)</f>
        <v>50.11</v>
      </c>
      <c r="E805" s="6" t="str">
        <f>IFERROR(__xludf.DUMMYFUNCTION("""COMPUTED_VALUE"""),"No")</f>
        <v>No</v>
      </c>
      <c r="F805" s="8" t="str">
        <f>IFERROR(__xludf.DUMMYFUNCTION("""COMPUTED_VALUE"""),"No")</f>
        <v>No</v>
      </c>
    </row>
    <row r="806">
      <c r="A806" s="5">
        <f>IFERROR(__xludf.DUMMYFUNCTION("""COMPUTED_VALUE"""),44735.0)</f>
        <v>44735</v>
      </c>
      <c r="B806" s="6" t="str">
        <f>IFERROR(__xludf.DUMMYFUNCTION("""COMPUTED_VALUE"""),"dinner")</f>
        <v>dinner</v>
      </c>
      <c r="C806" s="6" t="str">
        <f>IFERROR(__xludf.DUMMYFUNCTION("""COMPUTED_VALUE"""),"employee P")</f>
        <v>employee P</v>
      </c>
      <c r="D806" s="7">
        <f>IFERROR(__xludf.DUMMYFUNCTION("""COMPUTED_VALUE"""),50.11)</f>
        <v>50.11</v>
      </c>
      <c r="E806" s="6" t="str">
        <f>IFERROR(__xludf.DUMMYFUNCTION("""COMPUTED_VALUE"""),"No")</f>
        <v>No</v>
      </c>
      <c r="F806" s="8" t="str">
        <f>IFERROR(__xludf.DUMMYFUNCTION("""COMPUTED_VALUE"""),"No")</f>
        <v>No</v>
      </c>
    </row>
    <row r="807">
      <c r="A807" s="5">
        <f>IFERROR(__xludf.DUMMYFUNCTION("""COMPUTED_VALUE"""),44735.0)</f>
        <v>44735</v>
      </c>
      <c r="B807" s="6" t="str">
        <f>IFERROR(__xludf.DUMMYFUNCTION("""COMPUTED_VALUE"""),"dinner")</f>
        <v>dinner</v>
      </c>
      <c r="C807" s="6" t="str">
        <f>IFERROR(__xludf.DUMMYFUNCTION("""COMPUTED_VALUE"""),"employee I")</f>
        <v>employee I</v>
      </c>
      <c r="D807" s="7">
        <f>IFERROR(__xludf.DUMMYFUNCTION("""COMPUTED_VALUE"""),38.99)</f>
        <v>38.99</v>
      </c>
      <c r="E807" s="6" t="str">
        <f>IFERROR(__xludf.DUMMYFUNCTION("""COMPUTED_VALUE"""),"No")</f>
        <v>No</v>
      </c>
      <c r="F807" s="8" t="str">
        <f>IFERROR(__xludf.DUMMYFUNCTION("""COMPUTED_VALUE"""),"No")</f>
        <v>No</v>
      </c>
    </row>
    <row r="808">
      <c r="A808" s="5">
        <f>IFERROR(__xludf.DUMMYFUNCTION("""COMPUTED_VALUE"""),44736.0)</f>
        <v>44736</v>
      </c>
      <c r="B808" s="6" t="str">
        <f>IFERROR(__xludf.DUMMYFUNCTION("""COMPUTED_VALUE"""),"lunch")</f>
        <v>lunch</v>
      </c>
      <c r="C808" s="6" t="str">
        <f>IFERROR(__xludf.DUMMYFUNCTION("""COMPUTED_VALUE"""),"employee J")</f>
        <v>employee J</v>
      </c>
      <c r="D808" s="7">
        <f>IFERROR(__xludf.DUMMYFUNCTION("""COMPUTED_VALUE"""),109.71)</f>
        <v>109.71</v>
      </c>
      <c r="E808" s="6" t="str">
        <f>IFERROR(__xludf.DUMMYFUNCTION("""COMPUTED_VALUE"""),"No")</f>
        <v>No</v>
      </c>
      <c r="F808" s="8" t="str">
        <f>IFERROR(__xludf.DUMMYFUNCTION("""COMPUTED_VALUE"""),"No")</f>
        <v>No</v>
      </c>
    </row>
    <row r="809">
      <c r="A809" s="5">
        <f>IFERROR(__xludf.DUMMYFUNCTION("""COMPUTED_VALUE"""),44736.0)</f>
        <v>44736</v>
      </c>
      <c r="B809" s="6" t="str">
        <f>IFERROR(__xludf.DUMMYFUNCTION("""COMPUTED_VALUE"""),"dinner")</f>
        <v>dinner</v>
      </c>
      <c r="C809" s="6" t="str">
        <f>IFERROR(__xludf.DUMMYFUNCTION("""COMPUTED_VALUE"""),"employee J")</f>
        <v>employee J</v>
      </c>
      <c r="D809" s="7">
        <f>IFERROR(__xludf.DUMMYFUNCTION("""COMPUTED_VALUE"""),65.07)</f>
        <v>65.07</v>
      </c>
      <c r="E809" s="6" t="str">
        <f>IFERROR(__xludf.DUMMYFUNCTION("""COMPUTED_VALUE"""),"No")</f>
        <v>No</v>
      </c>
      <c r="F809" s="8" t="str">
        <f>IFERROR(__xludf.DUMMYFUNCTION("""COMPUTED_VALUE"""),"No")</f>
        <v>No</v>
      </c>
    </row>
    <row r="810">
      <c r="A810" s="5">
        <f>IFERROR(__xludf.DUMMYFUNCTION("""COMPUTED_VALUE"""),44736.0)</f>
        <v>44736</v>
      </c>
      <c r="B810" s="6" t="str">
        <f>IFERROR(__xludf.DUMMYFUNCTION("""COMPUTED_VALUE"""),"dinner")</f>
        <v>dinner</v>
      </c>
      <c r="C810" s="6" t="str">
        <f>IFERROR(__xludf.DUMMYFUNCTION("""COMPUTED_VALUE"""),"employee L")</f>
        <v>employee L</v>
      </c>
      <c r="D810" s="7">
        <f>IFERROR(__xludf.DUMMYFUNCTION("""COMPUTED_VALUE"""),65.07)</f>
        <v>65.07</v>
      </c>
      <c r="E810" s="6" t="str">
        <f>IFERROR(__xludf.DUMMYFUNCTION("""COMPUTED_VALUE"""),"No")</f>
        <v>No</v>
      </c>
      <c r="F810" s="8" t="str">
        <f>IFERROR(__xludf.DUMMYFUNCTION("""COMPUTED_VALUE"""),"No")</f>
        <v>No</v>
      </c>
    </row>
    <row r="811">
      <c r="A811" s="5">
        <f>IFERROR(__xludf.DUMMYFUNCTION("""COMPUTED_VALUE"""),44736.0)</f>
        <v>44736</v>
      </c>
      <c r="B811" s="6" t="str">
        <f>IFERROR(__xludf.DUMMYFUNCTION("""COMPUTED_VALUE"""),"dinner")</f>
        <v>dinner</v>
      </c>
      <c r="C811" s="6" t="str">
        <f>IFERROR(__xludf.DUMMYFUNCTION("""COMPUTED_VALUE"""),"employee G")</f>
        <v>employee G</v>
      </c>
      <c r="D811" s="7">
        <f>IFERROR(__xludf.DUMMYFUNCTION("""COMPUTED_VALUE"""),50.6)</f>
        <v>50.6</v>
      </c>
      <c r="E811" s="6" t="str">
        <f>IFERROR(__xludf.DUMMYFUNCTION("""COMPUTED_VALUE"""),"No")</f>
        <v>No</v>
      </c>
      <c r="F811" s="8" t="str">
        <f>IFERROR(__xludf.DUMMYFUNCTION("""COMPUTED_VALUE"""),"No")</f>
        <v>No</v>
      </c>
    </row>
    <row r="812">
      <c r="A812" s="5">
        <f>IFERROR(__xludf.DUMMYFUNCTION("""COMPUTED_VALUE"""),44737.0)</f>
        <v>44737</v>
      </c>
      <c r="B812" s="6" t="str">
        <f>IFERROR(__xludf.DUMMYFUNCTION("""COMPUTED_VALUE"""),"lunch")</f>
        <v>lunch</v>
      </c>
      <c r="C812" s="6" t="str">
        <f>IFERROR(__xludf.DUMMYFUNCTION("""COMPUTED_VALUE"""),"employee B")</f>
        <v>employee B</v>
      </c>
      <c r="D812" s="7">
        <f>IFERROR(__xludf.DUMMYFUNCTION("""COMPUTED_VALUE"""),48.04)</f>
        <v>48.04</v>
      </c>
      <c r="E812" s="6" t="str">
        <f>IFERROR(__xludf.DUMMYFUNCTION("""COMPUTED_VALUE"""),"No")</f>
        <v>No</v>
      </c>
      <c r="F812" s="8" t="str">
        <f>IFERROR(__xludf.DUMMYFUNCTION("""COMPUTED_VALUE"""),"No")</f>
        <v>No</v>
      </c>
    </row>
    <row r="813">
      <c r="A813" s="5">
        <f>IFERROR(__xludf.DUMMYFUNCTION("""COMPUTED_VALUE"""),44737.0)</f>
        <v>44737</v>
      </c>
      <c r="B813" s="6" t="str">
        <f>IFERROR(__xludf.DUMMYFUNCTION("""COMPUTED_VALUE"""),"lunch")</f>
        <v>lunch</v>
      </c>
      <c r="C813" s="6" t="str">
        <f>IFERROR(__xludf.DUMMYFUNCTION("""COMPUTED_VALUE"""),"employee L")</f>
        <v>employee L</v>
      </c>
      <c r="D813" s="7">
        <f>IFERROR(__xludf.DUMMYFUNCTION("""COMPUTED_VALUE"""),48.04)</f>
        <v>48.04</v>
      </c>
      <c r="E813" s="6" t="str">
        <f>IFERROR(__xludf.DUMMYFUNCTION("""COMPUTED_VALUE"""),"No")</f>
        <v>No</v>
      </c>
      <c r="F813" s="8" t="str">
        <f>IFERROR(__xludf.DUMMYFUNCTION("""COMPUTED_VALUE"""),"No")</f>
        <v>No</v>
      </c>
    </row>
    <row r="814">
      <c r="A814" s="5">
        <f>IFERROR(__xludf.DUMMYFUNCTION("""COMPUTED_VALUE"""),44737.0)</f>
        <v>44737</v>
      </c>
      <c r="B814" s="6" t="str">
        <f>IFERROR(__xludf.DUMMYFUNCTION("""COMPUTED_VALUE"""),"lunch")</f>
        <v>lunch</v>
      </c>
      <c r="C814" s="6" t="str">
        <f>IFERROR(__xludf.DUMMYFUNCTION("""COMPUTED_VALUE"""),"employee G")</f>
        <v>employee G</v>
      </c>
      <c r="D814" s="7">
        <f>IFERROR(__xludf.DUMMYFUNCTION("""COMPUTED_VALUE"""),38.45)</f>
        <v>38.45</v>
      </c>
      <c r="E814" s="6" t="str">
        <f>IFERROR(__xludf.DUMMYFUNCTION("""COMPUTED_VALUE"""),"No")</f>
        <v>No</v>
      </c>
      <c r="F814" s="8" t="str">
        <f>IFERROR(__xludf.DUMMYFUNCTION("""COMPUTED_VALUE"""),"No")</f>
        <v>No</v>
      </c>
    </row>
    <row r="815">
      <c r="A815" s="5">
        <f>IFERROR(__xludf.DUMMYFUNCTION("""COMPUTED_VALUE"""),44737.0)</f>
        <v>44737</v>
      </c>
      <c r="B815" s="6" t="str">
        <f>IFERROR(__xludf.DUMMYFUNCTION("""COMPUTED_VALUE"""),"dinner")</f>
        <v>dinner</v>
      </c>
      <c r="C815" s="6" t="str">
        <f>IFERROR(__xludf.DUMMYFUNCTION("""COMPUTED_VALUE"""),"employee L")</f>
        <v>employee L</v>
      </c>
      <c r="D815" s="7">
        <f>IFERROR(__xludf.DUMMYFUNCTION("""COMPUTED_VALUE"""),58.84)</f>
        <v>58.84</v>
      </c>
      <c r="E815" s="6" t="str">
        <f>IFERROR(__xludf.DUMMYFUNCTION("""COMPUTED_VALUE"""),"No")</f>
        <v>No</v>
      </c>
      <c r="F815" s="8" t="str">
        <f>IFERROR(__xludf.DUMMYFUNCTION("""COMPUTED_VALUE"""),"No")</f>
        <v>No</v>
      </c>
    </row>
    <row r="816">
      <c r="A816" s="5">
        <f>IFERROR(__xludf.DUMMYFUNCTION("""COMPUTED_VALUE"""),44737.0)</f>
        <v>44737</v>
      </c>
      <c r="B816" s="6" t="str">
        <f>IFERROR(__xludf.DUMMYFUNCTION("""COMPUTED_VALUE"""),"dinner")</f>
        <v>dinner</v>
      </c>
      <c r="C816" s="6" t="str">
        <f>IFERROR(__xludf.DUMMYFUNCTION("""COMPUTED_VALUE"""),"employee P")</f>
        <v>employee P</v>
      </c>
      <c r="D816" s="7">
        <f>IFERROR(__xludf.DUMMYFUNCTION("""COMPUTED_VALUE"""),58.84)</f>
        <v>58.84</v>
      </c>
      <c r="E816" s="6" t="str">
        <f>IFERROR(__xludf.DUMMYFUNCTION("""COMPUTED_VALUE"""),"No")</f>
        <v>No</v>
      </c>
      <c r="F816" s="8" t="str">
        <f>IFERROR(__xludf.DUMMYFUNCTION("""COMPUTED_VALUE"""),"No")</f>
        <v>No</v>
      </c>
    </row>
    <row r="817">
      <c r="A817" s="5">
        <f>IFERROR(__xludf.DUMMYFUNCTION("""COMPUTED_VALUE"""),44737.0)</f>
        <v>44737</v>
      </c>
      <c r="B817" s="6" t="str">
        <f>IFERROR(__xludf.DUMMYFUNCTION("""COMPUTED_VALUE"""),"dinner")</f>
        <v>dinner</v>
      </c>
      <c r="C817" s="6" t="str">
        <f>IFERROR(__xludf.DUMMYFUNCTION("""COMPUTED_VALUE"""),"employee J")</f>
        <v>employee J</v>
      </c>
      <c r="D817" s="7">
        <f>IFERROR(__xludf.DUMMYFUNCTION("""COMPUTED_VALUE"""),52.3)</f>
        <v>52.3</v>
      </c>
      <c r="E817" s="6" t="str">
        <f>IFERROR(__xludf.DUMMYFUNCTION("""COMPUTED_VALUE"""),"No")</f>
        <v>No</v>
      </c>
      <c r="F817" s="8" t="str">
        <f>IFERROR(__xludf.DUMMYFUNCTION("""COMPUTED_VALUE"""),"No")</f>
        <v>No</v>
      </c>
    </row>
    <row r="818">
      <c r="A818" s="5">
        <f>IFERROR(__xludf.DUMMYFUNCTION("""COMPUTED_VALUE"""),44738.0)</f>
        <v>44738</v>
      </c>
      <c r="B818" s="6" t="str">
        <f>IFERROR(__xludf.DUMMYFUNCTION("""COMPUTED_VALUE"""),"lunch")</f>
        <v>lunch</v>
      </c>
      <c r="C818" s="6" t="str">
        <f>IFERROR(__xludf.DUMMYFUNCTION("""COMPUTED_VALUE"""),"employee L")</f>
        <v>employee L</v>
      </c>
      <c r="D818" s="7">
        <f>IFERROR(__xludf.DUMMYFUNCTION("""COMPUTED_VALUE"""),41.44)</f>
        <v>41.44</v>
      </c>
      <c r="E818" s="6" t="str">
        <f>IFERROR(__xludf.DUMMYFUNCTION("""COMPUTED_VALUE"""),"No")</f>
        <v>No</v>
      </c>
      <c r="F818" s="8" t="str">
        <f>IFERROR(__xludf.DUMMYFUNCTION("""COMPUTED_VALUE"""),"No")</f>
        <v>No</v>
      </c>
    </row>
    <row r="819">
      <c r="A819" s="5">
        <f>IFERROR(__xludf.DUMMYFUNCTION("""COMPUTED_VALUE"""),44738.0)</f>
        <v>44738</v>
      </c>
      <c r="B819" s="6" t="str">
        <f>IFERROR(__xludf.DUMMYFUNCTION("""COMPUTED_VALUE"""),"lunch")</f>
        <v>lunch</v>
      </c>
      <c r="C819" s="6" t="str">
        <f>IFERROR(__xludf.DUMMYFUNCTION("""COMPUTED_VALUE"""),"employee B")</f>
        <v>employee B</v>
      </c>
      <c r="D819" s="7">
        <f>IFERROR(__xludf.DUMMYFUNCTION("""COMPUTED_VALUE"""),59.15)</f>
        <v>59.15</v>
      </c>
      <c r="E819" s="6" t="str">
        <f>IFERROR(__xludf.DUMMYFUNCTION("""COMPUTED_VALUE"""),"No")</f>
        <v>No</v>
      </c>
      <c r="F819" s="8" t="str">
        <f>IFERROR(__xludf.DUMMYFUNCTION("""COMPUTED_VALUE"""),"No")</f>
        <v>No</v>
      </c>
    </row>
    <row r="820">
      <c r="A820" s="5">
        <f>IFERROR(__xludf.DUMMYFUNCTION("""COMPUTED_VALUE"""),44738.0)</f>
        <v>44738</v>
      </c>
      <c r="B820" s="6" t="str">
        <f>IFERROR(__xludf.DUMMYFUNCTION("""COMPUTED_VALUE"""),"lunch")</f>
        <v>lunch</v>
      </c>
      <c r="C820" s="6" t="str">
        <f>IFERROR(__xludf.DUMMYFUNCTION("""COMPUTED_VALUE"""),"employee J")</f>
        <v>employee J</v>
      </c>
      <c r="D820" s="7">
        <f>IFERROR(__xludf.DUMMYFUNCTION("""COMPUTED_VALUE"""),50.28)</f>
        <v>50.28</v>
      </c>
      <c r="E820" s="6" t="str">
        <f>IFERROR(__xludf.DUMMYFUNCTION("""COMPUTED_VALUE"""),"No")</f>
        <v>No</v>
      </c>
      <c r="F820" s="8" t="str">
        <f>IFERROR(__xludf.DUMMYFUNCTION("""COMPUTED_VALUE"""),"No")</f>
        <v>No</v>
      </c>
    </row>
    <row r="821">
      <c r="A821" s="5">
        <f>IFERROR(__xludf.DUMMYFUNCTION("""COMPUTED_VALUE"""),44738.0)</f>
        <v>44738</v>
      </c>
      <c r="B821" s="6" t="str">
        <f>IFERROR(__xludf.DUMMYFUNCTION("""COMPUTED_VALUE"""),"dinner")</f>
        <v>dinner</v>
      </c>
      <c r="C821" s="6" t="str">
        <f>IFERROR(__xludf.DUMMYFUNCTION("""COMPUTED_VALUE"""),"employee L")</f>
        <v>employee L</v>
      </c>
      <c r="D821" s="7">
        <f>IFERROR(__xludf.DUMMYFUNCTION("""COMPUTED_VALUE"""),41.66)</f>
        <v>41.66</v>
      </c>
      <c r="E821" s="6" t="str">
        <f>IFERROR(__xludf.DUMMYFUNCTION("""COMPUTED_VALUE"""),"No")</f>
        <v>No</v>
      </c>
      <c r="F821" s="8" t="str">
        <f>IFERROR(__xludf.DUMMYFUNCTION("""COMPUTED_VALUE"""),"No")</f>
        <v>No</v>
      </c>
    </row>
    <row r="822">
      <c r="A822" s="5">
        <f>IFERROR(__xludf.DUMMYFUNCTION("""COMPUTED_VALUE"""),44738.0)</f>
        <v>44738</v>
      </c>
      <c r="B822" s="6" t="str">
        <f>IFERROR(__xludf.DUMMYFUNCTION("""COMPUTED_VALUE"""),"dinner")</f>
        <v>dinner</v>
      </c>
      <c r="C822" s="6" t="str">
        <f>IFERROR(__xludf.DUMMYFUNCTION("""COMPUTED_VALUE"""),"employee B")</f>
        <v>employee B</v>
      </c>
      <c r="D822" s="7">
        <f>IFERROR(__xludf.DUMMYFUNCTION("""COMPUTED_VALUE"""),27.7)</f>
        <v>27.7</v>
      </c>
      <c r="E822" s="6" t="str">
        <f>IFERROR(__xludf.DUMMYFUNCTION("""COMPUTED_VALUE"""),"No")</f>
        <v>No</v>
      </c>
      <c r="F822" s="8" t="str">
        <f>IFERROR(__xludf.DUMMYFUNCTION("""COMPUTED_VALUE"""),"No")</f>
        <v>No</v>
      </c>
    </row>
    <row r="823">
      <c r="A823" s="5">
        <f>IFERROR(__xludf.DUMMYFUNCTION("""COMPUTED_VALUE"""),44738.0)</f>
        <v>44738</v>
      </c>
      <c r="B823" s="6" t="str">
        <f>IFERROR(__xludf.DUMMYFUNCTION("""COMPUTED_VALUE"""),"dinner")</f>
        <v>dinner</v>
      </c>
      <c r="C823" s="6" t="str">
        <f>IFERROR(__xludf.DUMMYFUNCTION("""COMPUTED_VALUE"""),"employee P")</f>
        <v>employee P</v>
      </c>
      <c r="D823" s="7">
        <f>IFERROR(__xludf.DUMMYFUNCTION("""COMPUTED_VALUE"""),50.0)</f>
        <v>50</v>
      </c>
      <c r="E823" s="6" t="str">
        <f>IFERROR(__xludf.DUMMYFUNCTION("""COMPUTED_VALUE"""),"No")</f>
        <v>No</v>
      </c>
      <c r="F823" s="8" t="str">
        <f>IFERROR(__xludf.DUMMYFUNCTION("""COMPUTED_VALUE"""),"No")</f>
        <v>No</v>
      </c>
    </row>
    <row r="824">
      <c r="A824" s="5">
        <f>IFERROR(__xludf.DUMMYFUNCTION("""COMPUTED_VALUE"""),44739.0)</f>
        <v>44739</v>
      </c>
      <c r="B824" s="6" t="str">
        <f>IFERROR(__xludf.DUMMYFUNCTION("""COMPUTED_VALUE"""),"lunch")</f>
        <v>lunch</v>
      </c>
      <c r="C824" s="6" t="str">
        <f>IFERROR(__xludf.DUMMYFUNCTION("""COMPUTED_VALUE"""),"employee A")</f>
        <v>employee A</v>
      </c>
      <c r="D824" s="7">
        <f>IFERROR(__xludf.DUMMYFUNCTION("""COMPUTED_VALUE"""),54.65)</f>
        <v>54.65</v>
      </c>
      <c r="E824" s="6" t="str">
        <f>IFERROR(__xludf.DUMMYFUNCTION("""COMPUTED_VALUE"""),"No")</f>
        <v>No</v>
      </c>
      <c r="F824" s="8" t="str">
        <f>IFERROR(__xludf.DUMMYFUNCTION("""COMPUTED_VALUE"""),"No")</f>
        <v>No</v>
      </c>
    </row>
    <row r="825">
      <c r="A825" s="5">
        <f>IFERROR(__xludf.DUMMYFUNCTION("""COMPUTED_VALUE"""),44739.0)</f>
        <v>44739</v>
      </c>
      <c r="B825" s="6" t="str">
        <f>IFERROR(__xludf.DUMMYFUNCTION("""COMPUTED_VALUE"""),"dinner")</f>
        <v>dinner</v>
      </c>
      <c r="C825" s="6" t="str">
        <f>IFERROR(__xludf.DUMMYFUNCTION("""COMPUTED_VALUE"""),"employee A")</f>
        <v>employee A</v>
      </c>
      <c r="D825" s="7">
        <f>IFERROR(__xludf.DUMMYFUNCTION("""COMPUTED_VALUE"""),101.18)</f>
        <v>101.18</v>
      </c>
      <c r="E825" s="6" t="str">
        <f>IFERROR(__xludf.DUMMYFUNCTION("""COMPUTED_VALUE"""),"No")</f>
        <v>No</v>
      </c>
      <c r="F825" s="8" t="str">
        <f>IFERROR(__xludf.DUMMYFUNCTION("""COMPUTED_VALUE"""),"No")</f>
        <v>No</v>
      </c>
    </row>
    <row r="826">
      <c r="A826" s="5">
        <f>IFERROR(__xludf.DUMMYFUNCTION("""COMPUTED_VALUE"""),44739.0)</f>
        <v>44739</v>
      </c>
      <c r="B826" s="6" t="str">
        <f>IFERROR(__xludf.DUMMYFUNCTION("""COMPUTED_VALUE"""),"dinner")</f>
        <v>dinner</v>
      </c>
      <c r="C826" s="6" t="str">
        <f>IFERROR(__xludf.DUMMYFUNCTION("""COMPUTED_VALUE"""),"employee I")</f>
        <v>employee I</v>
      </c>
      <c r="D826" s="7">
        <f>IFERROR(__xludf.DUMMYFUNCTION("""COMPUTED_VALUE"""),78.7)</f>
        <v>78.7</v>
      </c>
      <c r="E826" s="6" t="str">
        <f>IFERROR(__xludf.DUMMYFUNCTION("""COMPUTED_VALUE"""),"No")</f>
        <v>No</v>
      </c>
      <c r="F826" s="8" t="str">
        <f>IFERROR(__xludf.DUMMYFUNCTION("""COMPUTED_VALUE"""),"No")</f>
        <v>No</v>
      </c>
    </row>
    <row r="827">
      <c r="A827" s="5">
        <f>IFERROR(__xludf.DUMMYFUNCTION("""COMPUTED_VALUE"""),44740.0)</f>
        <v>44740</v>
      </c>
      <c r="B827" s="6" t="str">
        <f>IFERROR(__xludf.DUMMYFUNCTION("""COMPUTED_VALUE"""),"lunch")</f>
        <v>lunch</v>
      </c>
      <c r="C827" s="6" t="str">
        <f>IFERROR(__xludf.DUMMYFUNCTION("""COMPUTED_VALUE"""),"employee A")</f>
        <v>employee A</v>
      </c>
      <c r="D827" s="7">
        <f>IFERROR(__xludf.DUMMYFUNCTION("""COMPUTED_VALUE"""),99.36)</f>
        <v>99.36</v>
      </c>
      <c r="E827" s="6" t="str">
        <f>IFERROR(__xludf.DUMMYFUNCTION("""COMPUTED_VALUE"""),"No")</f>
        <v>No</v>
      </c>
      <c r="F827" s="8" t="str">
        <f>IFERROR(__xludf.DUMMYFUNCTION("""COMPUTED_VALUE"""),"No")</f>
        <v>No</v>
      </c>
    </row>
    <row r="828">
      <c r="A828" s="5">
        <f>IFERROR(__xludf.DUMMYFUNCTION("""COMPUTED_VALUE"""),44740.0)</f>
        <v>44740</v>
      </c>
      <c r="B828" s="6" t="str">
        <f>IFERROR(__xludf.DUMMYFUNCTION("""COMPUTED_VALUE"""),"dinner")</f>
        <v>dinner</v>
      </c>
      <c r="C828" s="6" t="str">
        <f>IFERROR(__xludf.DUMMYFUNCTION("""COMPUTED_VALUE"""),"employee A")</f>
        <v>employee A</v>
      </c>
      <c r="D828" s="7">
        <f>IFERROR(__xludf.DUMMYFUNCTION("""COMPUTED_VALUE"""),108.49)</f>
        <v>108.49</v>
      </c>
      <c r="E828" s="6" t="str">
        <f>IFERROR(__xludf.DUMMYFUNCTION("""COMPUTED_VALUE"""),"No")</f>
        <v>No</v>
      </c>
      <c r="F828" s="8" t="str">
        <f>IFERROR(__xludf.DUMMYFUNCTION("""COMPUTED_VALUE"""),"No")</f>
        <v>No</v>
      </c>
    </row>
    <row r="829">
      <c r="A829" s="5">
        <f>IFERROR(__xludf.DUMMYFUNCTION("""COMPUTED_VALUE"""),44740.0)</f>
        <v>44740</v>
      </c>
      <c r="B829" s="6" t="str">
        <f>IFERROR(__xludf.DUMMYFUNCTION("""COMPUTED_VALUE"""),"dinner")</f>
        <v>dinner</v>
      </c>
      <c r="C829" s="6" t="str">
        <f>IFERROR(__xludf.DUMMYFUNCTION("""COMPUTED_VALUE"""),"employee I")</f>
        <v>employee I</v>
      </c>
      <c r="D829" s="7">
        <f>IFERROR(__xludf.DUMMYFUNCTION("""COMPUTED_VALUE"""),84.39)</f>
        <v>84.39</v>
      </c>
      <c r="E829" s="6" t="str">
        <f>IFERROR(__xludf.DUMMYFUNCTION("""COMPUTED_VALUE"""),"No")</f>
        <v>No</v>
      </c>
      <c r="F829" s="8" t="str">
        <f>IFERROR(__xludf.DUMMYFUNCTION("""COMPUTED_VALUE"""),"No")</f>
        <v>No</v>
      </c>
    </row>
    <row r="830">
      <c r="A830" s="5">
        <f>IFERROR(__xludf.DUMMYFUNCTION("""COMPUTED_VALUE"""),44741.0)</f>
        <v>44741</v>
      </c>
      <c r="B830" s="6" t="str">
        <f>IFERROR(__xludf.DUMMYFUNCTION("""COMPUTED_VALUE"""),"lunch")</f>
        <v>lunch</v>
      </c>
      <c r="C830" s="6" t="str">
        <f>IFERROR(__xludf.DUMMYFUNCTION("""COMPUTED_VALUE"""),"employee A")</f>
        <v>employee A</v>
      </c>
      <c r="D830" s="7">
        <f>IFERROR(__xludf.DUMMYFUNCTION("""COMPUTED_VALUE"""),60.43)</f>
        <v>60.43</v>
      </c>
      <c r="E830" s="6" t="str">
        <f>IFERROR(__xludf.DUMMYFUNCTION("""COMPUTED_VALUE"""),"No")</f>
        <v>No</v>
      </c>
      <c r="F830" s="8" t="str">
        <f>IFERROR(__xludf.DUMMYFUNCTION("""COMPUTED_VALUE"""),"No")</f>
        <v>No</v>
      </c>
    </row>
    <row r="831">
      <c r="A831" s="5">
        <f>IFERROR(__xludf.DUMMYFUNCTION("""COMPUTED_VALUE"""),44741.0)</f>
        <v>44741</v>
      </c>
      <c r="B831" s="6" t="str">
        <f>IFERROR(__xludf.DUMMYFUNCTION("""COMPUTED_VALUE"""),"dinner")</f>
        <v>dinner</v>
      </c>
      <c r="C831" s="6" t="str">
        <f>IFERROR(__xludf.DUMMYFUNCTION("""COMPUTED_VALUE"""),"employee J")</f>
        <v>employee J</v>
      </c>
      <c r="D831" s="7">
        <f>IFERROR(__xludf.DUMMYFUNCTION("""COMPUTED_VALUE"""),58.87)</f>
        <v>58.87</v>
      </c>
      <c r="E831" s="6" t="str">
        <f>IFERROR(__xludf.DUMMYFUNCTION("""COMPUTED_VALUE"""),"No")</f>
        <v>No</v>
      </c>
      <c r="F831" s="8" t="str">
        <f>IFERROR(__xludf.DUMMYFUNCTION("""COMPUTED_VALUE"""),"No")</f>
        <v>No</v>
      </c>
    </row>
    <row r="832">
      <c r="A832" s="5">
        <f>IFERROR(__xludf.DUMMYFUNCTION("""COMPUTED_VALUE"""),44741.0)</f>
        <v>44741</v>
      </c>
      <c r="B832" s="6" t="str">
        <f>IFERROR(__xludf.DUMMYFUNCTION("""COMPUTED_VALUE"""),"dinner")</f>
        <v>dinner</v>
      </c>
      <c r="C832" s="6" t="str">
        <f>IFERROR(__xludf.DUMMYFUNCTION("""COMPUTED_VALUE"""),"employee I")</f>
        <v>employee I</v>
      </c>
      <c r="D832" s="7">
        <f>IFERROR(__xludf.DUMMYFUNCTION("""COMPUTED_VALUE"""),45.78)</f>
        <v>45.78</v>
      </c>
      <c r="E832" s="6" t="str">
        <f>IFERROR(__xludf.DUMMYFUNCTION("""COMPUTED_VALUE"""),"No")</f>
        <v>No</v>
      </c>
      <c r="F832" s="8" t="str">
        <f>IFERROR(__xludf.DUMMYFUNCTION("""COMPUTED_VALUE"""),"No")</f>
        <v>No</v>
      </c>
    </row>
    <row r="833">
      <c r="A833" s="5">
        <f>IFERROR(__xludf.DUMMYFUNCTION("""COMPUTED_VALUE"""),44742.0)</f>
        <v>44742</v>
      </c>
      <c r="B833" s="6" t="str">
        <f>IFERROR(__xludf.DUMMYFUNCTION("""COMPUTED_VALUE"""),"lunch")</f>
        <v>lunch</v>
      </c>
      <c r="C833" s="6" t="str">
        <f>IFERROR(__xludf.DUMMYFUNCTION("""COMPUTED_VALUE"""),"employee L")</f>
        <v>employee L</v>
      </c>
      <c r="D833" s="7">
        <f>IFERROR(__xludf.DUMMYFUNCTION("""COMPUTED_VALUE"""),108.33)</f>
        <v>108.33</v>
      </c>
      <c r="E833" s="6" t="str">
        <f>IFERROR(__xludf.DUMMYFUNCTION("""COMPUTED_VALUE"""),"No")</f>
        <v>No</v>
      </c>
      <c r="F833" s="8" t="str">
        <f>IFERROR(__xludf.DUMMYFUNCTION("""COMPUTED_VALUE"""),"No")</f>
        <v>No</v>
      </c>
    </row>
    <row r="834">
      <c r="A834" s="5">
        <f>IFERROR(__xludf.DUMMYFUNCTION("""COMPUTED_VALUE"""),44742.0)</f>
        <v>44742</v>
      </c>
      <c r="B834" s="6" t="str">
        <f>IFERROR(__xludf.DUMMYFUNCTION("""COMPUTED_VALUE"""),"dinner")</f>
        <v>dinner</v>
      </c>
      <c r="C834" s="6" t="str">
        <f>IFERROR(__xludf.DUMMYFUNCTION("""COMPUTED_VALUE"""),"employee B")</f>
        <v>employee B</v>
      </c>
      <c r="D834" s="7">
        <f>IFERROR(__xludf.DUMMYFUNCTION("""COMPUTED_VALUE"""),47.39)</f>
        <v>47.39</v>
      </c>
      <c r="E834" s="6" t="str">
        <f>IFERROR(__xludf.DUMMYFUNCTION("""COMPUTED_VALUE"""),"No")</f>
        <v>No</v>
      </c>
      <c r="F834" s="8" t="str">
        <f>IFERROR(__xludf.DUMMYFUNCTION("""COMPUTED_VALUE"""),"No")</f>
        <v>No</v>
      </c>
    </row>
    <row r="835">
      <c r="A835" s="5">
        <f>IFERROR(__xludf.DUMMYFUNCTION("""COMPUTED_VALUE"""),44742.0)</f>
        <v>44742</v>
      </c>
      <c r="B835" s="6" t="str">
        <f>IFERROR(__xludf.DUMMYFUNCTION("""COMPUTED_VALUE"""),"dinner")</f>
        <v>dinner</v>
      </c>
      <c r="C835" s="6" t="str">
        <f>IFERROR(__xludf.DUMMYFUNCTION("""COMPUTED_VALUE"""),"employee P")</f>
        <v>employee P</v>
      </c>
      <c r="D835" s="7">
        <f>IFERROR(__xludf.DUMMYFUNCTION("""COMPUTED_VALUE"""),26.31)</f>
        <v>26.31</v>
      </c>
      <c r="E835" s="6" t="str">
        <f>IFERROR(__xludf.DUMMYFUNCTION("""COMPUTED_VALUE"""),"No")</f>
        <v>No</v>
      </c>
      <c r="F835" s="8" t="str">
        <f>IFERROR(__xludf.DUMMYFUNCTION("""COMPUTED_VALUE"""),"No")</f>
        <v>No</v>
      </c>
    </row>
    <row r="836">
      <c r="A836" s="5">
        <f>IFERROR(__xludf.DUMMYFUNCTION("""COMPUTED_VALUE"""),44742.0)</f>
        <v>44742</v>
      </c>
      <c r="B836" s="6" t="str">
        <f>IFERROR(__xludf.DUMMYFUNCTION("""COMPUTED_VALUE"""),"dinner")</f>
        <v>dinner</v>
      </c>
      <c r="C836" s="6" t="str">
        <f>IFERROR(__xludf.DUMMYFUNCTION("""COMPUTED_VALUE"""),"employee I")</f>
        <v>employee I</v>
      </c>
      <c r="D836" s="7">
        <f>IFERROR(__xludf.DUMMYFUNCTION("""COMPUTED_VALUE"""),36.86)</f>
        <v>36.86</v>
      </c>
      <c r="E836" s="6" t="str">
        <f>IFERROR(__xludf.DUMMYFUNCTION("""COMPUTED_VALUE"""),"No")</f>
        <v>No</v>
      </c>
      <c r="F836" s="8" t="str">
        <f>IFERROR(__xludf.DUMMYFUNCTION("""COMPUTED_VALUE"""),"No")</f>
        <v>No</v>
      </c>
    </row>
    <row r="837">
      <c r="A837" s="5">
        <f>IFERROR(__xludf.DUMMYFUNCTION("""COMPUTED_VALUE"""),44743.0)</f>
        <v>44743</v>
      </c>
      <c r="B837" s="6" t="str">
        <f>IFERROR(__xludf.DUMMYFUNCTION("""COMPUTED_VALUE"""),"lunch")</f>
        <v>lunch</v>
      </c>
      <c r="C837" s="6" t="str">
        <f>IFERROR(__xludf.DUMMYFUNCTION("""COMPUTED_VALUE"""),"employee J")</f>
        <v>employee J</v>
      </c>
      <c r="D837" s="7">
        <f>IFERROR(__xludf.DUMMYFUNCTION("""COMPUTED_VALUE"""),76.07)</f>
        <v>76.07</v>
      </c>
      <c r="E837" s="6" t="str">
        <f>IFERROR(__xludf.DUMMYFUNCTION("""COMPUTED_VALUE"""),"No")</f>
        <v>No</v>
      </c>
      <c r="F837" s="8" t="str">
        <f>IFERROR(__xludf.DUMMYFUNCTION("""COMPUTED_VALUE"""),"No")</f>
        <v>No</v>
      </c>
    </row>
    <row r="838">
      <c r="A838" s="5">
        <f>IFERROR(__xludf.DUMMYFUNCTION("""COMPUTED_VALUE"""),44743.0)</f>
        <v>44743</v>
      </c>
      <c r="B838" s="6" t="str">
        <f>IFERROR(__xludf.DUMMYFUNCTION("""COMPUTED_VALUE"""),"dinner")</f>
        <v>dinner</v>
      </c>
      <c r="C838" s="6" t="str">
        <f>IFERROR(__xludf.DUMMYFUNCTION("""COMPUTED_VALUE"""),"employee J")</f>
        <v>employee J</v>
      </c>
      <c r="D838" s="7">
        <f>IFERROR(__xludf.DUMMYFUNCTION("""COMPUTED_VALUE"""),32.41)</f>
        <v>32.41</v>
      </c>
      <c r="E838" s="6" t="str">
        <f>IFERROR(__xludf.DUMMYFUNCTION("""COMPUTED_VALUE"""),"No")</f>
        <v>No</v>
      </c>
      <c r="F838" s="8" t="str">
        <f>IFERROR(__xludf.DUMMYFUNCTION("""COMPUTED_VALUE"""),"No")</f>
        <v>No</v>
      </c>
    </row>
    <row r="839">
      <c r="A839" s="5">
        <f>IFERROR(__xludf.DUMMYFUNCTION("""COMPUTED_VALUE"""),44743.0)</f>
        <v>44743</v>
      </c>
      <c r="B839" s="6" t="str">
        <f>IFERROR(__xludf.DUMMYFUNCTION("""COMPUTED_VALUE"""),"dinner")</f>
        <v>dinner</v>
      </c>
      <c r="C839" s="6" t="str">
        <f>IFERROR(__xludf.DUMMYFUNCTION("""COMPUTED_VALUE"""),"employee L")</f>
        <v>employee L</v>
      </c>
      <c r="D839" s="7">
        <f>IFERROR(__xludf.DUMMYFUNCTION("""COMPUTED_VALUE"""),37.04)</f>
        <v>37.04</v>
      </c>
      <c r="E839" s="6" t="str">
        <f>IFERROR(__xludf.DUMMYFUNCTION("""COMPUTED_VALUE"""),"No")</f>
        <v>No</v>
      </c>
      <c r="F839" s="8" t="str">
        <f>IFERROR(__xludf.DUMMYFUNCTION("""COMPUTED_VALUE"""),"No")</f>
        <v>No</v>
      </c>
    </row>
    <row r="840">
      <c r="A840" s="5">
        <f>IFERROR(__xludf.DUMMYFUNCTION("""COMPUTED_VALUE"""),44743.0)</f>
        <v>44743</v>
      </c>
      <c r="B840" s="6" t="str">
        <f>IFERROR(__xludf.DUMMYFUNCTION("""COMPUTED_VALUE"""),"dinner")</f>
        <v>dinner</v>
      </c>
      <c r="C840" s="6" t="str">
        <f>IFERROR(__xludf.DUMMYFUNCTION("""COMPUTED_VALUE"""),"employee I")</f>
        <v>employee I</v>
      </c>
      <c r="D840" s="7">
        <f>IFERROR(__xludf.DUMMYFUNCTION("""COMPUTED_VALUE"""),32.41)</f>
        <v>32.41</v>
      </c>
      <c r="E840" s="6" t="str">
        <f>IFERROR(__xludf.DUMMYFUNCTION("""COMPUTED_VALUE"""),"No")</f>
        <v>No</v>
      </c>
      <c r="F840" s="8" t="str">
        <f>IFERROR(__xludf.DUMMYFUNCTION("""COMPUTED_VALUE"""),"No")</f>
        <v>No</v>
      </c>
    </row>
    <row r="841">
      <c r="A841" s="5">
        <f>IFERROR(__xludf.DUMMYFUNCTION("""COMPUTED_VALUE"""),44744.0)</f>
        <v>44744</v>
      </c>
      <c r="B841" s="6" t="str">
        <f>IFERROR(__xludf.DUMMYFUNCTION("""COMPUTED_VALUE"""),"lunch")</f>
        <v>lunch</v>
      </c>
      <c r="C841" s="6" t="str">
        <f>IFERROR(__xludf.DUMMYFUNCTION("""COMPUTED_VALUE"""),"employee B")</f>
        <v>employee B</v>
      </c>
      <c r="D841" s="7">
        <f>IFERROR(__xludf.DUMMYFUNCTION("""COMPUTED_VALUE"""),133.56)</f>
        <v>133.56</v>
      </c>
      <c r="E841" s="6" t="str">
        <f>IFERROR(__xludf.DUMMYFUNCTION("""COMPUTED_VALUE"""),"No")</f>
        <v>No</v>
      </c>
      <c r="F841" s="8" t="str">
        <f>IFERROR(__xludf.DUMMYFUNCTION("""COMPUTED_VALUE"""),"No")</f>
        <v>No</v>
      </c>
    </row>
    <row r="842">
      <c r="A842" s="5">
        <f>IFERROR(__xludf.DUMMYFUNCTION("""COMPUTED_VALUE"""),44744.0)</f>
        <v>44744</v>
      </c>
      <c r="B842" s="6" t="str">
        <f>IFERROR(__xludf.DUMMYFUNCTION("""COMPUTED_VALUE"""),"lunch")</f>
        <v>lunch</v>
      </c>
      <c r="C842" s="6" t="str">
        <f>IFERROR(__xludf.DUMMYFUNCTION("""COMPUTED_VALUE"""),"employee L")</f>
        <v>employee L</v>
      </c>
      <c r="D842" s="7">
        <f>IFERROR(__xludf.DUMMYFUNCTION("""COMPUTED_VALUE"""),76.32)</f>
        <v>76.32</v>
      </c>
      <c r="E842" s="6" t="str">
        <f>IFERROR(__xludf.DUMMYFUNCTION("""COMPUTED_VALUE"""),"No")</f>
        <v>No</v>
      </c>
      <c r="F842" s="8" t="str">
        <f>IFERROR(__xludf.DUMMYFUNCTION("""COMPUTED_VALUE"""),"No")</f>
        <v>No</v>
      </c>
    </row>
    <row r="843">
      <c r="A843" s="5">
        <f>IFERROR(__xludf.DUMMYFUNCTION("""COMPUTED_VALUE"""),44744.0)</f>
        <v>44744</v>
      </c>
      <c r="B843" s="6" t="str">
        <f>IFERROR(__xludf.DUMMYFUNCTION("""COMPUTED_VALUE"""),"lunch")</f>
        <v>lunch</v>
      </c>
      <c r="C843" s="6" t="str">
        <f>IFERROR(__xludf.DUMMYFUNCTION("""COMPUTED_VALUE"""),"employee G")</f>
        <v>employee G</v>
      </c>
      <c r="D843" s="7">
        <f>IFERROR(__xludf.DUMMYFUNCTION("""COMPUTED_VALUE"""),57.23)</f>
        <v>57.23</v>
      </c>
      <c r="E843" s="6" t="str">
        <f>IFERROR(__xludf.DUMMYFUNCTION("""COMPUTED_VALUE"""),"No")</f>
        <v>No</v>
      </c>
      <c r="F843" s="8" t="str">
        <f>IFERROR(__xludf.DUMMYFUNCTION("""COMPUTED_VALUE"""),"No")</f>
        <v>No</v>
      </c>
    </row>
    <row r="844">
      <c r="A844" s="5">
        <f>IFERROR(__xludf.DUMMYFUNCTION("""COMPUTED_VALUE"""),44744.0)</f>
        <v>44744</v>
      </c>
      <c r="B844" s="6" t="str">
        <f>IFERROR(__xludf.DUMMYFUNCTION("""COMPUTED_VALUE"""),"dinner")</f>
        <v>dinner</v>
      </c>
      <c r="C844" s="6" t="str">
        <f>IFERROR(__xludf.DUMMYFUNCTION("""COMPUTED_VALUE"""),"employee B")</f>
        <v>employee B</v>
      </c>
      <c r="D844" s="7">
        <f>IFERROR(__xludf.DUMMYFUNCTION("""COMPUTED_VALUE"""),69.02)</f>
        <v>69.02</v>
      </c>
      <c r="E844" s="6" t="str">
        <f>IFERROR(__xludf.DUMMYFUNCTION("""COMPUTED_VALUE"""),"No")</f>
        <v>No</v>
      </c>
      <c r="F844" s="8" t="str">
        <f>IFERROR(__xludf.DUMMYFUNCTION("""COMPUTED_VALUE"""),"No")</f>
        <v>No</v>
      </c>
    </row>
    <row r="845">
      <c r="A845" s="5">
        <f>IFERROR(__xludf.DUMMYFUNCTION("""COMPUTED_VALUE"""),44744.0)</f>
        <v>44744</v>
      </c>
      <c r="B845" s="6" t="str">
        <f>IFERROR(__xludf.DUMMYFUNCTION("""COMPUTED_VALUE"""),"dinner")</f>
        <v>dinner</v>
      </c>
      <c r="C845" s="6" t="str">
        <f>IFERROR(__xludf.DUMMYFUNCTION("""COMPUTED_VALUE"""),"employee L")</f>
        <v>employee L</v>
      </c>
      <c r="D845" s="7">
        <f>IFERROR(__xludf.DUMMYFUNCTION("""COMPUTED_VALUE"""),77.65)</f>
        <v>77.65</v>
      </c>
      <c r="E845" s="6" t="str">
        <f>IFERROR(__xludf.DUMMYFUNCTION("""COMPUTED_VALUE"""),"No")</f>
        <v>No</v>
      </c>
      <c r="F845" s="8" t="str">
        <f>IFERROR(__xludf.DUMMYFUNCTION("""COMPUTED_VALUE"""),"No")</f>
        <v>No</v>
      </c>
    </row>
    <row r="846">
      <c r="A846" s="5">
        <f>IFERROR(__xludf.DUMMYFUNCTION("""COMPUTED_VALUE"""),44744.0)</f>
        <v>44744</v>
      </c>
      <c r="B846" s="6" t="str">
        <f>IFERROR(__xludf.DUMMYFUNCTION("""COMPUTED_VALUE"""),"dinner")</f>
        <v>dinner</v>
      </c>
      <c r="C846" s="6" t="str">
        <f>IFERROR(__xludf.DUMMYFUNCTION("""COMPUTED_VALUE"""),"employee P")</f>
        <v>employee P</v>
      </c>
      <c r="D846" s="7">
        <f>IFERROR(__xludf.DUMMYFUNCTION("""COMPUTED_VALUE"""),77.65)</f>
        <v>77.65</v>
      </c>
      <c r="E846" s="6" t="str">
        <f>IFERROR(__xludf.DUMMYFUNCTION("""COMPUTED_VALUE"""),"No")</f>
        <v>No</v>
      </c>
      <c r="F846" s="8" t="str">
        <f>IFERROR(__xludf.DUMMYFUNCTION("""COMPUTED_VALUE"""),"No")</f>
        <v>No</v>
      </c>
    </row>
    <row r="847">
      <c r="A847" s="5">
        <f>IFERROR(__xludf.DUMMYFUNCTION("""COMPUTED_VALUE"""),44745.0)</f>
        <v>44745</v>
      </c>
      <c r="B847" s="6" t="str">
        <f>IFERROR(__xludf.DUMMYFUNCTION("""COMPUTED_VALUE"""),"lunch")</f>
        <v>lunch</v>
      </c>
      <c r="C847" s="6" t="str">
        <f>IFERROR(__xludf.DUMMYFUNCTION("""COMPUTED_VALUE"""),"employee L")</f>
        <v>employee L</v>
      </c>
      <c r="D847" s="7">
        <f>IFERROR(__xludf.DUMMYFUNCTION("""COMPUTED_VALUE"""),109.97)</f>
        <v>109.97</v>
      </c>
      <c r="E847" s="6" t="str">
        <f>IFERROR(__xludf.DUMMYFUNCTION("""COMPUTED_VALUE"""),"No")</f>
        <v>No</v>
      </c>
      <c r="F847" s="8" t="str">
        <f>IFERROR(__xludf.DUMMYFUNCTION("""COMPUTED_VALUE"""),"No")</f>
        <v>No</v>
      </c>
    </row>
    <row r="848">
      <c r="A848" s="5">
        <f>IFERROR(__xludf.DUMMYFUNCTION("""COMPUTED_VALUE"""),44745.0)</f>
        <v>44745</v>
      </c>
      <c r="B848" s="6" t="str">
        <f>IFERROR(__xludf.DUMMYFUNCTION("""COMPUTED_VALUE"""),"lunch")</f>
        <v>lunch</v>
      </c>
      <c r="C848" s="6" t="str">
        <f>IFERROR(__xludf.DUMMYFUNCTION("""COMPUTED_VALUE"""),"employee B")</f>
        <v>employee B</v>
      </c>
      <c r="D848" s="7">
        <f>IFERROR(__xludf.DUMMYFUNCTION("""COMPUTED_VALUE"""),39.27)</f>
        <v>39.27</v>
      </c>
      <c r="E848" s="6" t="str">
        <f>IFERROR(__xludf.DUMMYFUNCTION("""COMPUTED_VALUE"""),"No")</f>
        <v>No</v>
      </c>
      <c r="F848" s="8" t="str">
        <f>IFERROR(__xludf.DUMMYFUNCTION("""COMPUTED_VALUE"""),"No")</f>
        <v>No</v>
      </c>
    </row>
    <row r="849">
      <c r="A849" s="5">
        <f>IFERROR(__xludf.DUMMYFUNCTION("""COMPUTED_VALUE"""),44745.0)</f>
        <v>44745</v>
      </c>
      <c r="B849" s="6" t="str">
        <f>IFERROR(__xludf.DUMMYFUNCTION("""COMPUTED_VALUE"""),"lunch")</f>
        <v>lunch</v>
      </c>
      <c r="C849" s="6" t="str">
        <f>IFERROR(__xludf.DUMMYFUNCTION("""COMPUTED_VALUE"""),"employee J")</f>
        <v>employee J</v>
      </c>
      <c r="D849" s="7">
        <f>IFERROR(__xludf.DUMMYFUNCTION("""COMPUTED_VALUE"""),78.52)</f>
        <v>78.52</v>
      </c>
      <c r="E849" s="6" t="str">
        <f>IFERROR(__xludf.DUMMYFUNCTION("""COMPUTED_VALUE"""),"No")</f>
        <v>No</v>
      </c>
      <c r="F849" s="8" t="str">
        <f>IFERROR(__xludf.DUMMYFUNCTION("""COMPUTED_VALUE"""),"No")</f>
        <v>No</v>
      </c>
    </row>
    <row r="850">
      <c r="A850" s="5">
        <f>IFERROR(__xludf.DUMMYFUNCTION("""COMPUTED_VALUE"""),44745.0)</f>
        <v>44745</v>
      </c>
      <c r="B850" s="6" t="str">
        <f>IFERROR(__xludf.DUMMYFUNCTION("""COMPUTED_VALUE"""),"dinner")</f>
        <v>dinner</v>
      </c>
      <c r="C850" s="6" t="str">
        <f>IFERROR(__xludf.DUMMYFUNCTION("""COMPUTED_VALUE"""),"employee P")</f>
        <v>employee P</v>
      </c>
      <c r="D850" s="7">
        <f>IFERROR(__xludf.DUMMYFUNCTION("""COMPUTED_VALUE"""),47.0)</f>
        <v>47</v>
      </c>
      <c r="E850" s="6" t="str">
        <f>IFERROR(__xludf.DUMMYFUNCTION("""COMPUTED_VALUE"""),"No")</f>
        <v>No</v>
      </c>
      <c r="F850" s="8" t="str">
        <f>IFERROR(__xludf.DUMMYFUNCTION("""COMPUTED_VALUE"""),"No")</f>
        <v>No</v>
      </c>
    </row>
    <row r="851">
      <c r="A851" s="5">
        <f>IFERROR(__xludf.DUMMYFUNCTION("""COMPUTED_VALUE"""),44745.0)</f>
        <v>44745</v>
      </c>
      <c r="B851" s="6" t="str">
        <f>IFERROR(__xludf.DUMMYFUNCTION("""COMPUTED_VALUE"""),"dinner")</f>
        <v>dinner</v>
      </c>
      <c r="C851" s="6" t="str">
        <f>IFERROR(__xludf.DUMMYFUNCTION("""COMPUTED_VALUE"""),"employee L")</f>
        <v>employee L</v>
      </c>
      <c r="D851" s="7">
        <f>IFERROR(__xludf.DUMMYFUNCTION("""COMPUTED_VALUE"""),36.5)</f>
        <v>36.5</v>
      </c>
      <c r="E851" s="6" t="str">
        <f>IFERROR(__xludf.DUMMYFUNCTION("""COMPUTED_VALUE"""),"No")</f>
        <v>No</v>
      </c>
      <c r="F851" s="8" t="str">
        <f>IFERROR(__xludf.DUMMYFUNCTION("""COMPUTED_VALUE"""),"No")</f>
        <v>No</v>
      </c>
    </row>
    <row r="852">
      <c r="A852" s="5">
        <f>IFERROR(__xludf.DUMMYFUNCTION("""COMPUTED_VALUE"""),44745.0)</f>
        <v>44745</v>
      </c>
      <c r="B852" s="6" t="str">
        <f>IFERROR(__xludf.DUMMYFUNCTION("""COMPUTED_VALUE"""),"dinner")</f>
        <v>dinner</v>
      </c>
      <c r="C852" s="6" t="str">
        <f>IFERROR(__xludf.DUMMYFUNCTION("""COMPUTED_VALUE"""),"employee G")</f>
        <v>employee G</v>
      </c>
      <c r="D852" s="7">
        <f>IFERROR(__xludf.DUMMYFUNCTION("""COMPUTED_VALUE"""),36.5)</f>
        <v>36.5</v>
      </c>
      <c r="E852" s="6" t="str">
        <f>IFERROR(__xludf.DUMMYFUNCTION("""COMPUTED_VALUE"""),"No")</f>
        <v>No</v>
      </c>
      <c r="F852" s="8" t="str">
        <f>IFERROR(__xludf.DUMMYFUNCTION("""COMPUTED_VALUE"""),"No")</f>
        <v>No</v>
      </c>
    </row>
    <row r="853">
      <c r="A853" s="5">
        <f>IFERROR(__xludf.DUMMYFUNCTION("""COMPUTED_VALUE"""),44746.0)</f>
        <v>44746</v>
      </c>
      <c r="B853" s="6" t="str">
        <f>IFERROR(__xludf.DUMMYFUNCTION("""COMPUTED_VALUE"""),"lunch")</f>
        <v>lunch</v>
      </c>
      <c r="C853" s="6" t="str">
        <f>IFERROR(__xludf.DUMMYFUNCTION("""COMPUTED_VALUE"""),"employee A")</f>
        <v>employee A</v>
      </c>
      <c r="D853" s="7">
        <f>IFERROR(__xludf.DUMMYFUNCTION("""COMPUTED_VALUE"""),70.83)</f>
        <v>70.83</v>
      </c>
      <c r="E853" s="6" t="str">
        <f>IFERROR(__xludf.DUMMYFUNCTION("""COMPUTED_VALUE"""),"No")</f>
        <v>No</v>
      </c>
      <c r="F853" s="8" t="str">
        <f>IFERROR(__xludf.DUMMYFUNCTION("""COMPUTED_VALUE"""),"No")</f>
        <v>No</v>
      </c>
    </row>
    <row r="854">
      <c r="A854" s="5">
        <f>IFERROR(__xludf.DUMMYFUNCTION("""COMPUTED_VALUE"""),44746.0)</f>
        <v>44746</v>
      </c>
      <c r="B854" s="6" t="str">
        <f>IFERROR(__xludf.DUMMYFUNCTION("""COMPUTED_VALUE"""),"lunch")</f>
        <v>lunch</v>
      </c>
      <c r="C854" s="6" t="str">
        <f>IFERROR(__xludf.DUMMYFUNCTION("""COMPUTED_VALUE"""),"employee P")</f>
        <v>employee P</v>
      </c>
      <c r="D854" s="7">
        <f>IFERROR(__xludf.DUMMYFUNCTION("""COMPUTED_VALUE"""),56.6)</f>
        <v>56.6</v>
      </c>
      <c r="E854" s="6" t="str">
        <f>IFERROR(__xludf.DUMMYFUNCTION("""COMPUTED_VALUE"""),"No")</f>
        <v>No</v>
      </c>
      <c r="F854" s="8" t="str">
        <f>IFERROR(__xludf.DUMMYFUNCTION("""COMPUTED_VALUE"""),"No")</f>
        <v>No</v>
      </c>
    </row>
    <row r="855">
      <c r="A855" s="5">
        <f>IFERROR(__xludf.DUMMYFUNCTION("""COMPUTED_VALUE"""),44746.0)</f>
        <v>44746</v>
      </c>
      <c r="B855" s="6" t="str">
        <f>IFERROR(__xludf.DUMMYFUNCTION("""COMPUTED_VALUE"""),"dinner")</f>
        <v>dinner</v>
      </c>
      <c r="C855" s="6" t="str">
        <f>IFERROR(__xludf.DUMMYFUNCTION("""COMPUTED_VALUE"""),"employee A")</f>
        <v>employee A</v>
      </c>
      <c r="D855" s="7">
        <f>IFERROR(__xludf.DUMMYFUNCTION("""COMPUTED_VALUE"""),101.57)</f>
        <v>101.57</v>
      </c>
      <c r="E855" s="6" t="str">
        <f>IFERROR(__xludf.DUMMYFUNCTION("""COMPUTED_VALUE"""),"No")</f>
        <v>No</v>
      </c>
      <c r="F855" s="8" t="str">
        <f>IFERROR(__xludf.DUMMYFUNCTION("""COMPUTED_VALUE"""),"No")</f>
        <v>No</v>
      </c>
    </row>
    <row r="856">
      <c r="A856" s="5">
        <f>IFERROR(__xludf.DUMMYFUNCTION("""COMPUTED_VALUE"""),44746.0)</f>
        <v>44746</v>
      </c>
      <c r="B856" s="6" t="str">
        <f>IFERROR(__xludf.DUMMYFUNCTION("""COMPUTED_VALUE"""),"dinner")</f>
        <v>dinner</v>
      </c>
      <c r="C856" s="6" t="str">
        <f>IFERROR(__xludf.DUMMYFUNCTION("""COMPUTED_VALUE"""),"employee P")</f>
        <v>employee P</v>
      </c>
      <c r="D856" s="7">
        <f>IFERROR(__xludf.DUMMYFUNCTION("""COMPUTED_VALUE"""),101.58)</f>
        <v>101.58</v>
      </c>
      <c r="E856" s="6" t="str">
        <f>IFERROR(__xludf.DUMMYFUNCTION("""COMPUTED_VALUE"""),"No")</f>
        <v>No</v>
      </c>
      <c r="F856" s="8" t="str">
        <f>IFERROR(__xludf.DUMMYFUNCTION("""COMPUTED_VALUE"""),"No")</f>
        <v>No</v>
      </c>
    </row>
    <row r="857">
      <c r="A857" s="5">
        <f>IFERROR(__xludf.DUMMYFUNCTION("""COMPUTED_VALUE"""),44746.0)</f>
        <v>44746</v>
      </c>
      <c r="B857" s="6" t="str">
        <f>IFERROR(__xludf.DUMMYFUNCTION("""COMPUTED_VALUE"""),"dinner")</f>
        <v>dinner</v>
      </c>
      <c r="C857" s="6" t="str">
        <f>IFERROR(__xludf.DUMMYFUNCTION("""COMPUTED_VALUE"""),"employee G")</f>
        <v>employee G</v>
      </c>
      <c r="D857" s="7">
        <f>IFERROR(__xludf.DUMMYFUNCTION("""COMPUTED_VALUE"""),73.35)</f>
        <v>73.35</v>
      </c>
      <c r="E857" s="6" t="str">
        <f>IFERROR(__xludf.DUMMYFUNCTION("""COMPUTED_VALUE"""),"No")</f>
        <v>No</v>
      </c>
      <c r="F857" s="8" t="str">
        <f>IFERROR(__xludf.DUMMYFUNCTION("""COMPUTED_VALUE"""),"No")</f>
        <v>No</v>
      </c>
    </row>
    <row r="858">
      <c r="A858" s="5">
        <f>IFERROR(__xludf.DUMMYFUNCTION("""COMPUTED_VALUE"""),44747.0)</f>
        <v>44747</v>
      </c>
      <c r="B858" s="6" t="str">
        <f>IFERROR(__xludf.DUMMYFUNCTION("""COMPUTED_VALUE"""),"lunch")</f>
        <v>lunch</v>
      </c>
      <c r="C858" s="6" t="str">
        <f>IFERROR(__xludf.DUMMYFUNCTION("""COMPUTED_VALUE"""),"employee A")</f>
        <v>employee A</v>
      </c>
      <c r="D858" s="7">
        <f>IFERROR(__xludf.DUMMYFUNCTION("""COMPUTED_VALUE"""),117.11)</f>
        <v>117.11</v>
      </c>
      <c r="E858" s="6" t="str">
        <f>IFERROR(__xludf.DUMMYFUNCTION("""COMPUTED_VALUE"""),"No")</f>
        <v>No</v>
      </c>
      <c r="F858" s="8" t="str">
        <f>IFERROR(__xludf.DUMMYFUNCTION("""COMPUTED_VALUE"""),"No")</f>
        <v>No</v>
      </c>
    </row>
    <row r="859">
      <c r="A859" s="5">
        <f>IFERROR(__xludf.DUMMYFUNCTION("""COMPUTED_VALUE"""),44747.0)</f>
        <v>44747</v>
      </c>
      <c r="B859" s="6" t="str">
        <f>IFERROR(__xludf.DUMMYFUNCTION("""COMPUTED_VALUE"""),"dinner")</f>
        <v>dinner</v>
      </c>
      <c r="C859" s="6" t="str">
        <f>IFERROR(__xludf.DUMMYFUNCTION("""COMPUTED_VALUE"""),"employee A")</f>
        <v>employee A</v>
      </c>
      <c r="D859" s="7">
        <f>IFERROR(__xludf.DUMMYFUNCTION("""COMPUTED_VALUE"""),80.29)</f>
        <v>80.29</v>
      </c>
      <c r="E859" s="6" t="str">
        <f>IFERROR(__xludf.DUMMYFUNCTION("""COMPUTED_VALUE"""),"No")</f>
        <v>No</v>
      </c>
      <c r="F859" s="8" t="str">
        <f>IFERROR(__xludf.DUMMYFUNCTION("""COMPUTED_VALUE"""),"No")</f>
        <v>No</v>
      </c>
    </row>
    <row r="860">
      <c r="A860" s="5">
        <f>IFERROR(__xludf.DUMMYFUNCTION("""COMPUTED_VALUE"""),44747.0)</f>
        <v>44747</v>
      </c>
      <c r="B860" s="6" t="str">
        <f>IFERROR(__xludf.DUMMYFUNCTION("""COMPUTED_VALUE"""),"dinner")</f>
        <v>dinner</v>
      </c>
      <c r="C860" s="6" t="str">
        <f>IFERROR(__xludf.DUMMYFUNCTION("""COMPUTED_VALUE"""),"employee I")</f>
        <v>employee I</v>
      </c>
      <c r="D860" s="7">
        <f>IFERROR(__xludf.DUMMYFUNCTION("""COMPUTED_VALUE"""),66.12)</f>
        <v>66.12</v>
      </c>
      <c r="E860" s="6" t="str">
        <f>IFERROR(__xludf.DUMMYFUNCTION("""COMPUTED_VALUE"""),"No")</f>
        <v>No</v>
      </c>
      <c r="F860" s="8" t="str">
        <f>IFERROR(__xludf.DUMMYFUNCTION("""COMPUTED_VALUE"""),"No")</f>
        <v>No</v>
      </c>
    </row>
    <row r="861">
      <c r="A861" s="5">
        <f>IFERROR(__xludf.DUMMYFUNCTION("""COMPUTED_VALUE"""),44747.0)</f>
        <v>44747</v>
      </c>
      <c r="B861" s="6" t="str">
        <f>IFERROR(__xludf.DUMMYFUNCTION("""COMPUTED_VALUE"""),"dinner")</f>
        <v>dinner</v>
      </c>
      <c r="C861" s="6" t="str">
        <f>IFERROR(__xludf.DUMMYFUNCTION("""COMPUTED_VALUE"""),"employee G")</f>
        <v>employee G</v>
      </c>
      <c r="D861" s="7">
        <f>IFERROR(__xludf.DUMMYFUNCTION("""COMPUTED_VALUE"""),66.12)</f>
        <v>66.12</v>
      </c>
      <c r="E861" s="6" t="str">
        <f>IFERROR(__xludf.DUMMYFUNCTION("""COMPUTED_VALUE"""),"No")</f>
        <v>No</v>
      </c>
      <c r="F861" s="8" t="str">
        <f>IFERROR(__xludf.DUMMYFUNCTION("""COMPUTED_VALUE"""),"No")</f>
        <v>No</v>
      </c>
    </row>
    <row r="862">
      <c r="A862" s="5">
        <f>IFERROR(__xludf.DUMMYFUNCTION("""COMPUTED_VALUE"""),44748.0)</f>
        <v>44748</v>
      </c>
      <c r="B862" s="6" t="str">
        <f>IFERROR(__xludf.DUMMYFUNCTION("""COMPUTED_VALUE"""),"lunch")</f>
        <v>lunch</v>
      </c>
      <c r="C862" s="6" t="str">
        <f>IFERROR(__xludf.DUMMYFUNCTION("""COMPUTED_VALUE"""),"employee J")</f>
        <v>employee J</v>
      </c>
      <c r="D862" s="7">
        <f>IFERROR(__xludf.DUMMYFUNCTION("""COMPUTED_VALUE"""),31.28)</f>
        <v>31.28</v>
      </c>
      <c r="E862" s="6" t="str">
        <f>IFERROR(__xludf.DUMMYFUNCTION("""COMPUTED_VALUE"""),"No")</f>
        <v>No</v>
      </c>
      <c r="F862" s="8" t="str">
        <f>IFERROR(__xludf.DUMMYFUNCTION("""COMPUTED_VALUE"""),"No")</f>
        <v>No</v>
      </c>
    </row>
    <row r="863">
      <c r="A863" s="5">
        <f>IFERROR(__xludf.DUMMYFUNCTION("""COMPUTED_VALUE"""),44748.0)</f>
        <v>44748</v>
      </c>
      <c r="B863" s="6" t="str">
        <f>IFERROR(__xludf.DUMMYFUNCTION("""COMPUTED_VALUE"""),"dinner")</f>
        <v>dinner</v>
      </c>
      <c r="C863" s="6" t="str">
        <f>IFERROR(__xludf.DUMMYFUNCTION("""COMPUTED_VALUE"""),"employee J")</f>
        <v>employee J</v>
      </c>
      <c r="D863" s="7">
        <f>IFERROR(__xludf.DUMMYFUNCTION("""COMPUTED_VALUE"""),58.54)</f>
        <v>58.54</v>
      </c>
      <c r="E863" s="6" t="str">
        <f>IFERROR(__xludf.DUMMYFUNCTION("""COMPUTED_VALUE"""),"No")</f>
        <v>No</v>
      </c>
      <c r="F863" s="8" t="str">
        <f>IFERROR(__xludf.DUMMYFUNCTION("""COMPUTED_VALUE"""),"No")</f>
        <v>No</v>
      </c>
    </row>
    <row r="864">
      <c r="A864" s="5">
        <f>IFERROR(__xludf.DUMMYFUNCTION("""COMPUTED_VALUE"""),44748.0)</f>
        <v>44748</v>
      </c>
      <c r="B864" s="6" t="str">
        <f>IFERROR(__xludf.DUMMYFUNCTION("""COMPUTED_VALUE"""),"dinner")</f>
        <v>dinner</v>
      </c>
      <c r="C864" s="6" t="str">
        <f>IFERROR(__xludf.DUMMYFUNCTION("""COMPUTED_VALUE"""),"employee L")</f>
        <v>employee L</v>
      </c>
      <c r="D864" s="7">
        <f>IFERROR(__xludf.DUMMYFUNCTION("""COMPUTED_VALUE"""),52.03)</f>
        <v>52.03</v>
      </c>
      <c r="E864" s="6" t="str">
        <f>IFERROR(__xludf.DUMMYFUNCTION("""COMPUTED_VALUE"""),"No")</f>
        <v>No</v>
      </c>
      <c r="F864" s="8" t="str">
        <f>IFERROR(__xludf.DUMMYFUNCTION("""COMPUTED_VALUE"""),"No")</f>
        <v>No</v>
      </c>
    </row>
    <row r="865">
      <c r="A865" s="5">
        <f>IFERROR(__xludf.DUMMYFUNCTION("""COMPUTED_VALUE"""),44749.0)</f>
        <v>44749</v>
      </c>
      <c r="B865" s="6" t="str">
        <f>IFERROR(__xludf.DUMMYFUNCTION("""COMPUTED_VALUE"""),"lunch")</f>
        <v>lunch</v>
      </c>
      <c r="C865" s="6" t="str">
        <f>IFERROR(__xludf.DUMMYFUNCTION("""COMPUTED_VALUE"""),"employee L")</f>
        <v>employee L</v>
      </c>
      <c r="D865" s="7">
        <f>IFERROR(__xludf.DUMMYFUNCTION("""COMPUTED_VALUE"""),80.42)</f>
        <v>80.42</v>
      </c>
      <c r="E865" s="6" t="str">
        <f>IFERROR(__xludf.DUMMYFUNCTION("""COMPUTED_VALUE"""),"No")</f>
        <v>No</v>
      </c>
      <c r="F865" s="8" t="str">
        <f>IFERROR(__xludf.DUMMYFUNCTION("""COMPUTED_VALUE"""),"No")</f>
        <v>No</v>
      </c>
    </row>
    <row r="866">
      <c r="A866" s="5">
        <f>IFERROR(__xludf.DUMMYFUNCTION("""COMPUTED_VALUE"""),44749.0)</f>
        <v>44749</v>
      </c>
      <c r="B866" s="6" t="str">
        <f>IFERROR(__xludf.DUMMYFUNCTION("""COMPUTED_VALUE"""),"dinner")</f>
        <v>dinner</v>
      </c>
      <c r="C866" s="6" t="str">
        <f>IFERROR(__xludf.DUMMYFUNCTION("""COMPUTED_VALUE"""),"employee L")</f>
        <v>employee L</v>
      </c>
      <c r="D866" s="7">
        <f>IFERROR(__xludf.DUMMYFUNCTION("""COMPUTED_VALUE"""),48.36)</f>
        <v>48.36</v>
      </c>
      <c r="E866" s="6" t="str">
        <f>IFERROR(__xludf.DUMMYFUNCTION("""COMPUTED_VALUE"""),"No")</f>
        <v>No</v>
      </c>
      <c r="F866" s="8" t="str">
        <f>IFERROR(__xludf.DUMMYFUNCTION("""COMPUTED_VALUE"""),"No")</f>
        <v>No</v>
      </c>
    </row>
    <row r="867">
      <c r="A867" s="5">
        <f>IFERROR(__xludf.DUMMYFUNCTION("""COMPUTED_VALUE"""),44749.0)</f>
        <v>44749</v>
      </c>
      <c r="B867" s="6" t="str">
        <f>IFERROR(__xludf.DUMMYFUNCTION("""COMPUTED_VALUE"""),"dinner")</f>
        <v>dinner</v>
      </c>
      <c r="C867" s="6" t="str">
        <f>IFERROR(__xludf.DUMMYFUNCTION("""COMPUTED_VALUE"""),"employee B")</f>
        <v>employee B</v>
      </c>
      <c r="D867" s="7">
        <f>IFERROR(__xludf.DUMMYFUNCTION("""COMPUTED_VALUE"""),54.41)</f>
        <v>54.41</v>
      </c>
      <c r="E867" s="6" t="str">
        <f>IFERROR(__xludf.DUMMYFUNCTION("""COMPUTED_VALUE"""),"No")</f>
        <v>No</v>
      </c>
      <c r="F867" s="8" t="str">
        <f>IFERROR(__xludf.DUMMYFUNCTION("""COMPUTED_VALUE"""),"No")</f>
        <v>No</v>
      </c>
    </row>
    <row r="868">
      <c r="A868" s="5">
        <f>IFERROR(__xludf.DUMMYFUNCTION("""COMPUTED_VALUE"""),44749.0)</f>
        <v>44749</v>
      </c>
      <c r="B868" s="6" t="str">
        <f>IFERROR(__xludf.DUMMYFUNCTION("""COMPUTED_VALUE"""),"dinner")</f>
        <v>dinner</v>
      </c>
      <c r="C868" s="6" t="str">
        <f>IFERROR(__xludf.DUMMYFUNCTION("""COMPUTED_VALUE"""),"employee G")</f>
        <v>employee G</v>
      </c>
      <c r="D868" s="7">
        <f>IFERROR(__xludf.DUMMYFUNCTION("""COMPUTED_VALUE"""),42.32)</f>
        <v>42.32</v>
      </c>
      <c r="E868" s="6" t="str">
        <f>IFERROR(__xludf.DUMMYFUNCTION("""COMPUTED_VALUE"""),"No")</f>
        <v>No</v>
      </c>
      <c r="F868" s="8" t="str">
        <f>IFERROR(__xludf.DUMMYFUNCTION("""COMPUTED_VALUE"""),"No")</f>
        <v>No</v>
      </c>
    </row>
    <row r="869">
      <c r="A869" s="5">
        <f>IFERROR(__xludf.DUMMYFUNCTION("""COMPUTED_VALUE"""),44750.0)</f>
        <v>44750</v>
      </c>
      <c r="B869" s="6" t="str">
        <f>IFERROR(__xludf.DUMMYFUNCTION("""COMPUTED_VALUE"""),"lunch")</f>
        <v>lunch</v>
      </c>
      <c r="C869" s="6" t="str">
        <f>IFERROR(__xludf.DUMMYFUNCTION("""COMPUTED_VALUE"""),"employee L")</f>
        <v>employee L</v>
      </c>
      <c r="D869" s="7">
        <f>IFERROR(__xludf.DUMMYFUNCTION("""COMPUTED_VALUE"""),73.2)</f>
        <v>73.2</v>
      </c>
      <c r="E869" s="6" t="str">
        <f>IFERROR(__xludf.DUMMYFUNCTION("""COMPUTED_VALUE"""),"No")</f>
        <v>No</v>
      </c>
      <c r="F869" s="8" t="str">
        <f>IFERROR(__xludf.DUMMYFUNCTION("""COMPUTED_VALUE"""),"No")</f>
        <v>No</v>
      </c>
    </row>
    <row r="870">
      <c r="A870" s="5">
        <f>IFERROR(__xludf.DUMMYFUNCTION("""COMPUTED_VALUE"""),44750.0)</f>
        <v>44750</v>
      </c>
      <c r="B870" s="6" t="str">
        <f>IFERROR(__xludf.DUMMYFUNCTION("""COMPUTED_VALUE"""),"dinner")</f>
        <v>dinner</v>
      </c>
      <c r="C870" s="6" t="str">
        <f>IFERROR(__xludf.DUMMYFUNCTION("""COMPUTED_VALUE"""),"employee L")</f>
        <v>employee L</v>
      </c>
      <c r="D870" s="7">
        <f>IFERROR(__xludf.DUMMYFUNCTION("""COMPUTED_VALUE"""),85.61)</f>
        <v>85.61</v>
      </c>
      <c r="E870" s="6" t="str">
        <f>IFERROR(__xludf.DUMMYFUNCTION("""COMPUTED_VALUE"""),"No")</f>
        <v>No</v>
      </c>
      <c r="F870" s="8" t="str">
        <f>IFERROR(__xludf.DUMMYFUNCTION("""COMPUTED_VALUE"""),"No")</f>
        <v>No</v>
      </c>
    </row>
    <row r="871">
      <c r="A871" s="5">
        <f>IFERROR(__xludf.DUMMYFUNCTION("""COMPUTED_VALUE"""),44750.0)</f>
        <v>44750</v>
      </c>
      <c r="B871" s="6" t="str">
        <f>IFERROR(__xludf.DUMMYFUNCTION("""COMPUTED_VALUE"""),"dinner")</f>
        <v>dinner</v>
      </c>
      <c r="C871" s="6" t="str">
        <f>IFERROR(__xludf.DUMMYFUNCTION("""COMPUTED_VALUE"""),"employee J")</f>
        <v>employee J</v>
      </c>
      <c r="D871" s="7">
        <f>IFERROR(__xludf.DUMMYFUNCTION("""COMPUTED_VALUE"""),71.35)</f>
        <v>71.35</v>
      </c>
      <c r="E871" s="6" t="str">
        <f>IFERROR(__xludf.DUMMYFUNCTION("""COMPUTED_VALUE"""),"No")</f>
        <v>No</v>
      </c>
      <c r="F871" s="8" t="str">
        <f>IFERROR(__xludf.DUMMYFUNCTION("""COMPUTED_VALUE"""),"No")</f>
        <v>No</v>
      </c>
    </row>
    <row r="872">
      <c r="A872" s="5">
        <f>IFERROR(__xludf.DUMMYFUNCTION("""COMPUTED_VALUE"""),44750.0)</f>
        <v>44750</v>
      </c>
      <c r="B872" s="6" t="str">
        <f>IFERROR(__xludf.DUMMYFUNCTION("""COMPUTED_VALUE"""),"dinner")</f>
        <v>dinner</v>
      </c>
      <c r="C872" s="6" t="str">
        <f>IFERROR(__xludf.DUMMYFUNCTION("""COMPUTED_VALUE"""),"employee I")</f>
        <v>employee I</v>
      </c>
      <c r="D872" s="7">
        <f>IFERROR(__xludf.DUMMYFUNCTION("""COMPUTED_VALUE"""),66.59)</f>
        <v>66.59</v>
      </c>
      <c r="E872" s="6" t="str">
        <f>IFERROR(__xludf.DUMMYFUNCTION("""COMPUTED_VALUE"""),"No")</f>
        <v>No</v>
      </c>
      <c r="F872" s="8" t="str">
        <f>IFERROR(__xludf.DUMMYFUNCTION("""COMPUTED_VALUE"""),"No")</f>
        <v>No</v>
      </c>
    </row>
    <row r="873">
      <c r="A873" s="5">
        <f>IFERROR(__xludf.DUMMYFUNCTION("""COMPUTED_VALUE"""),44751.0)</f>
        <v>44751</v>
      </c>
      <c r="B873" s="6" t="str">
        <f>IFERROR(__xludf.DUMMYFUNCTION("""COMPUTED_VALUE"""),"lunch")</f>
        <v>lunch</v>
      </c>
      <c r="C873" s="6" t="str">
        <f>IFERROR(__xludf.DUMMYFUNCTION("""COMPUTED_VALUE"""),"employee B")</f>
        <v>employee B</v>
      </c>
      <c r="D873" s="7">
        <f>IFERROR(__xludf.DUMMYFUNCTION("""COMPUTED_VALUE"""),78.19)</f>
        <v>78.19</v>
      </c>
      <c r="E873" s="6" t="str">
        <f>IFERROR(__xludf.DUMMYFUNCTION("""COMPUTED_VALUE"""),"No")</f>
        <v>No</v>
      </c>
      <c r="F873" s="8" t="str">
        <f>IFERROR(__xludf.DUMMYFUNCTION("""COMPUTED_VALUE"""),"No")</f>
        <v>No</v>
      </c>
    </row>
    <row r="874">
      <c r="A874" s="5">
        <f>IFERROR(__xludf.DUMMYFUNCTION("""COMPUTED_VALUE"""),44751.0)</f>
        <v>44751</v>
      </c>
      <c r="B874" s="6" t="str">
        <f>IFERROR(__xludf.DUMMYFUNCTION("""COMPUTED_VALUE"""),"lunch")</f>
        <v>lunch</v>
      </c>
      <c r="C874" s="6" t="str">
        <f>IFERROR(__xludf.DUMMYFUNCTION("""COMPUTED_VALUE"""),"employee P")</f>
        <v>employee P</v>
      </c>
      <c r="D874" s="7">
        <f>IFERROR(__xludf.DUMMYFUNCTION("""COMPUTED_VALUE"""),55.85)</f>
        <v>55.85</v>
      </c>
      <c r="E874" s="6" t="str">
        <f>IFERROR(__xludf.DUMMYFUNCTION("""COMPUTED_VALUE"""),"No")</f>
        <v>No</v>
      </c>
      <c r="F874" s="8" t="str">
        <f>IFERROR(__xludf.DUMMYFUNCTION("""COMPUTED_VALUE"""),"No")</f>
        <v>No</v>
      </c>
    </row>
    <row r="875">
      <c r="A875" s="5">
        <f>IFERROR(__xludf.DUMMYFUNCTION("""COMPUTED_VALUE"""),44751.0)</f>
        <v>44751</v>
      </c>
      <c r="B875" s="6" t="str">
        <f>IFERROR(__xludf.DUMMYFUNCTION("""COMPUTED_VALUE"""),"lunch")</f>
        <v>lunch</v>
      </c>
      <c r="C875" s="6" t="str">
        <f>IFERROR(__xludf.DUMMYFUNCTION("""COMPUTED_VALUE"""),"employee G")</f>
        <v>employee G</v>
      </c>
      <c r="D875" s="7">
        <f>IFERROR(__xludf.DUMMYFUNCTION("""COMPUTED_VALUE"""),33.5)</f>
        <v>33.5</v>
      </c>
      <c r="E875" s="6" t="str">
        <f>IFERROR(__xludf.DUMMYFUNCTION("""COMPUTED_VALUE"""),"No")</f>
        <v>No</v>
      </c>
      <c r="F875" s="8" t="str">
        <f>IFERROR(__xludf.DUMMYFUNCTION("""COMPUTED_VALUE"""),"No")</f>
        <v>No</v>
      </c>
    </row>
    <row r="876">
      <c r="A876" s="5">
        <f>IFERROR(__xludf.DUMMYFUNCTION("""COMPUTED_VALUE"""),44751.0)</f>
        <v>44751</v>
      </c>
      <c r="B876" s="6" t="str">
        <f>IFERROR(__xludf.DUMMYFUNCTION("""COMPUTED_VALUE"""),"dinner")</f>
        <v>dinner</v>
      </c>
      <c r="C876" s="6" t="str">
        <f>IFERROR(__xludf.DUMMYFUNCTION("""COMPUTED_VALUE"""),"employee B")</f>
        <v>employee B</v>
      </c>
      <c r="D876" s="7">
        <f>IFERROR(__xludf.DUMMYFUNCTION("""COMPUTED_VALUE"""),52.09)</f>
        <v>52.09</v>
      </c>
      <c r="E876" s="6" t="str">
        <f>IFERROR(__xludf.DUMMYFUNCTION("""COMPUTED_VALUE"""),"No")</f>
        <v>No</v>
      </c>
      <c r="F876" s="8" t="str">
        <f>IFERROR(__xludf.DUMMYFUNCTION("""COMPUTED_VALUE"""),"No")</f>
        <v>No</v>
      </c>
    </row>
    <row r="877">
      <c r="A877" s="5">
        <f>IFERROR(__xludf.DUMMYFUNCTION("""COMPUTED_VALUE"""),44751.0)</f>
        <v>44751</v>
      </c>
      <c r="B877" s="6" t="str">
        <f>IFERROR(__xludf.DUMMYFUNCTION("""COMPUTED_VALUE"""),"dinner")</f>
        <v>dinner</v>
      </c>
      <c r="C877" s="6" t="str">
        <f>IFERROR(__xludf.DUMMYFUNCTION("""COMPUTED_VALUE"""),"employee J")</f>
        <v>employee J</v>
      </c>
      <c r="D877" s="7">
        <f>IFERROR(__xludf.DUMMYFUNCTION("""COMPUTED_VALUE"""),52.09)</f>
        <v>52.09</v>
      </c>
      <c r="E877" s="6" t="str">
        <f>IFERROR(__xludf.DUMMYFUNCTION("""COMPUTED_VALUE"""),"No")</f>
        <v>No</v>
      </c>
      <c r="F877" s="8" t="str">
        <f>IFERROR(__xludf.DUMMYFUNCTION("""COMPUTED_VALUE"""),"No")</f>
        <v>No</v>
      </c>
    </row>
    <row r="878">
      <c r="A878" s="5">
        <f>IFERROR(__xludf.DUMMYFUNCTION("""COMPUTED_VALUE"""),44751.0)</f>
        <v>44751</v>
      </c>
      <c r="B878" s="6" t="str">
        <f>IFERROR(__xludf.DUMMYFUNCTION("""COMPUTED_VALUE"""),"dinner")</f>
        <v>dinner</v>
      </c>
      <c r="C878" s="6" t="str">
        <f>IFERROR(__xludf.DUMMYFUNCTION("""COMPUTED_VALUE"""),"employee P")</f>
        <v>employee P</v>
      </c>
      <c r="D878" s="7">
        <f>IFERROR(__xludf.DUMMYFUNCTION("""COMPUTED_VALUE"""),58.6)</f>
        <v>58.6</v>
      </c>
      <c r="E878" s="6" t="str">
        <f>IFERROR(__xludf.DUMMYFUNCTION("""COMPUTED_VALUE"""),"No")</f>
        <v>No</v>
      </c>
      <c r="F878" s="8" t="str">
        <f>IFERROR(__xludf.DUMMYFUNCTION("""COMPUTED_VALUE"""),"No")</f>
        <v>No</v>
      </c>
    </row>
    <row r="879">
      <c r="A879" s="5">
        <f>IFERROR(__xludf.DUMMYFUNCTION("""COMPUTED_VALUE"""),44752.0)</f>
        <v>44752</v>
      </c>
      <c r="B879" s="6" t="str">
        <f>IFERROR(__xludf.DUMMYFUNCTION("""COMPUTED_VALUE"""),"lunch")</f>
        <v>lunch</v>
      </c>
      <c r="C879" s="6" t="str">
        <f>IFERROR(__xludf.DUMMYFUNCTION("""COMPUTED_VALUE"""),"employee A")</f>
        <v>employee A</v>
      </c>
      <c r="D879" s="7">
        <f>IFERROR(__xludf.DUMMYFUNCTION("""COMPUTED_VALUE"""),125.65)</f>
        <v>125.65</v>
      </c>
      <c r="E879" s="6" t="str">
        <f>IFERROR(__xludf.DUMMYFUNCTION("""COMPUTED_VALUE"""),"No")</f>
        <v>No</v>
      </c>
      <c r="F879" s="8" t="str">
        <f>IFERROR(__xludf.DUMMYFUNCTION("""COMPUTED_VALUE"""),"No")</f>
        <v>No</v>
      </c>
    </row>
    <row r="880">
      <c r="A880" s="5">
        <f>IFERROR(__xludf.DUMMYFUNCTION("""COMPUTED_VALUE"""),44752.0)</f>
        <v>44752</v>
      </c>
      <c r="B880" s="6" t="str">
        <f>IFERROR(__xludf.DUMMYFUNCTION("""COMPUTED_VALUE"""),"lunch")</f>
        <v>lunch</v>
      </c>
      <c r="C880" s="6" t="str">
        <f>IFERROR(__xludf.DUMMYFUNCTION("""COMPUTED_VALUE"""),"employee B")</f>
        <v>employee B</v>
      </c>
      <c r="D880" s="7">
        <f>IFERROR(__xludf.DUMMYFUNCTION("""COMPUTED_VALUE"""),89.75)</f>
        <v>89.75</v>
      </c>
      <c r="E880" s="6" t="str">
        <f>IFERROR(__xludf.DUMMYFUNCTION("""COMPUTED_VALUE"""),"No")</f>
        <v>No</v>
      </c>
      <c r="F880" s="8" t="str">
        <f>IFERROR(__xludf.DUMMYFUNCTION("""COMPUTED_VALUE"""),"No")</f>
        <v>No</v>
      </c>
    </row>
    <row r="881">
      <c r="A881" s="5">
        <f>IFERROR(__xludf.DUMMYFUNCTION("""COMPUTED_VALUE"""),44752.0)</f>
        <v>44752</v>
      </c>
      <c r="B881" s="6" t="str">
        <f>IFERROR(__xludf.DUMMYFUNCTION("""COMPUTED_VALUE"""),"lunch")</f>
        <v>lunch</v>
      </c>
      <c r="C881" s="6" t="str">
        <f>IFERROR(__xludf.DUMMYFUNCTION("""COMPUTED_VALUE"""),"employee J")</f>
        <v>employee J</v>
      </c>
      <c r="D881" s="7">
        <f>IFERROR(__xludf.DUMMYFUNCTION("""COMPUTED_VALUE"""),80.71)</f>
        <v>80.71</v>
      </c>
      <c r="E881" s="6" t="str">
        <f>IFERROR(__xludf.DUMMYFUNCTION("""COMPUTED_VALUE"""),"No")</f>
        <v>No</v>
      </c>
      <c r="F881" s="8" t="str">
        <f>IFERROR(__xludf.DUMMYFUNCTION("""COMPUTED_VALUE"""),"No")</f>
        <v>No</v>
      </c>
    </row>
    <row r="882">
      <c r="A882" s="5">
        <f>IFERROR(__xludf.DUMMYFUNCTION("""COMPUTED_VALUE"""),44752.0)</f>
        <v>44752</v>
      </c>
      <c r="B882" s="6" t="str">
        <f>IFERROR(__xludf.DUMMYFUNCTION("""COMPUTED_VALUE"""),"dinner")</f>
        <v>dinner</v>
      </c>
      <c r="C882" s="6" t="str">
        <f>IFERROR(__xludf.DUMMYFUNCTION("""COMPUTED_VALUE"""),"employee B")</f>
        <v>employee B</v>
      </c>
      <c r="D882" s="7">
        <f>IFERROR(__xludf.DUMMYFUNCTION("""COMPUTED_VALUE"""),68.65)</f>
        <v>68.65</v>
      </c>
      <c r="E882" s="6" t="str">
        <f>IFERROR(__xludf.DUMMYFUNCTION("""COMPUTED_VALUE"""),"No")</f>
        <v>No</v>
      </c>
      <c r="F882" s="8" t="str">
        <f>IFERROR(__xludf.DUMMYFUNCTION("""COMPUTED_VALUE"""),"No")</f>
        <v>No</v>
      </c>
    </row>
    <row r="883">
      <c r="A883" s="5">
        <f>IFERROR(__xludf.DUMMYFUNCTION("""COMPUTED_VALUE"""),44752.0)</f>
        <v>44752</v>
      </c>
      <c r="B883" s="6" t="str">
        <f>IFERROR(__xludf.DUMMYFUNCTION("""COMPUTED_VALUE"""),"dinner")</f>
        <v>dinner</v>
      </c>
      <c r="C883" s="6" t="str">
        <f>IFERROR(__xludf.DUMMYFUNCTION("""COMPUTED_VALUE"""),"employee J")</f>
        <v>employee J</v>
      </c>
      <c r="D883" s="7">
        <f>IFERROR(__xludf.DUMMYFUNCTION("""COMPUTED_VALUE"""),68.65)</f>
        <v>68.65</v>
      </c>
      <c r="E883" s="6" t="str">
        <f>IFERROR(__xludf.DUMMYFUNCTION("""COMPUTED_VALUE"""),"No")</f>
        <v>No</v>
      </c>
      <c r="F883" s="8" t="str">
        <f>IFERROR(__xludf.DUMMYFUNCTION("""COMPUTED_VALUE"""),"No")</f>
        <v>No</v>
      </c>
    </row>
    <row r="884">
      <c r="A884" s="5">
        <f>IFERROR(__xludf.DUMMYFUNCTION("""COMPUTED_VALUE"""),44752.0)</f>
        <v>44752</v>
      </c>
      <c r="B884" s="6" t="str">
        <f>IFERROR(__xludf.DUMMYFUNCTION("""COMPUTED_VALUE"""),"dinner")</f>
        <v>dinner</v>
      </c>
      <c r="C884" s="6" t="str">
        <f>IFERROR(__xludf.DUMMYFUNCTION("""COMPUTED_VALUE"""),"employee G")</f>
        <v>employee G</v>
      </c>
      <c r="D884" s="7">
        <f>IFERROR(__xludf.DUMMYFUNCTION("""COMPUTED_VALUE"""),68.65)</f>
        <v>68.65</v>
      </c>
      <c r="E884" s="6" t="str">
        <f>IFERROR(__xludf.DUMMYFUNCTION("""COMPUTED_VALUE"""),"No")</f>
        <v>No</v>
      </c>
      <c r="F884" s="8" t="str">
        <f>IFERROR(__xludf.DUMMYFUNCTION("""COMPUTED_VALUE"""),"No")</f>
        <v>No</v>
      </c>
    </row>
    <row r="885">
      <c r="A885" s="5">
        <f>IFERROR(__xludf.DUMMYFUNCTION("""COMPUTED_VALUE"""),44753.0)</f>
        <v>44753</v>
      </c>
      <c r="B885" s="6" t="str">
        <f>IFERROR(__xludf.DUMMYFUNCTION("""COMPUTED_VALUE"""),"lunch")</f>
        <v>lunch</v>
      </c>
      <c r="C885" s="6" t="str">
        <f>IFERROR(__xludf.DUMMYFUNCTION("""COMPUTED_VALUE"""),"employee A")</f>
        <v>employee A</v>
      </c>
      <c r="D885" s="7">
        <f>IFERROR(__xludf.DUMMYFUNCTION("""COMPUTED_VALUE"""),86.88)</f>
        <v>86.88</v>
      </c>
      <c r="E885" s="6" t="str">
        <f>IFERROR(__xludf.DUMMYFUNCTION("""COMPUTED_VALUE"""),"No")</f>
        <v>No</v>
      </c>
      <c r="F885" s="8" t="str">
        <f>IFERROR(__xludf.DUMMYFUNCTION("""COMPUTED_VALUE"""),"No")</f>
        <v>No</v>
      </c>
    </row>
    <row r="886">
      <c r="A886" s="5">
        <f>IFERROR(__xludf.DUMMYFUNCTION("""COMPUTED_VALUE"""),44753.0)</f>
        <v>44753</v>
      </c>
      <c r="B886" s="6" t="str">
        <f>IFERROR(__xludf.DUMMYFUNCTION("""COMPUTED_VALUE"""),"dinner")</f>
        <v>dinner</v>
      </c>
      <c r="C886" s="6" t="str">
        <f>IFERROR(__xludf.DUMMYFUNCTION("""COMPUTED_VALUE"""),"employee A")</f>
        <v>employee A</v>
      </c>
      <c r="D886" s="7">
        <f>IFERROR(__xludf.DUMMYFUNCTION("""COMPUTED_VALUE"""),33.0)</f>
        <v>33</v>
      </c>
      <c r="E886" s="6" t="str">
        <f>IFERROR(__xludf.DUMMYFUNCTION("""COMPUTED_VALUE"""),"No")</f>
        <v>No</v>
      </c>
      <c r="F886" s="8" t="str">
        <f>IFERROR(__xludf.DUMMYFUNCTION("""COMPUTED_VALUE"""),"No")</f>
        <v>No</v>
      </c>
    </row>
    <row r="887">
      <c r="A887" s="5">
        <f>IFERROR(__xludf.DUMMYFUNCTION("""COMPUTED_VALUE"""),44753.0)</f>
        <v>44753</v>
      </c>
      <c r="B887" s="6" t="str">
        <f>IFERROR(__xludf.DUMMYFUNCTION("""COMPUTED_VALUE"""),"dinner")</f>
        <v>dinner</v>
      </c>
      <c r="C887" s="6" t="str">
        <f>IFERROR(__xludf.DUMMYFUNCTION("""COMPUTED_VALUE"""),"employee P")</f>
        <v>employee P</v>
      </c>
      <c r="D887" s="7">
        <f>IFERROR(__xludf.DUMMYFUNCTION("""COMPUTED_VALUE"""),58.87)</f>
        <v>58.87</v>
      </c>
      <c r="E887" s="6" t="str">
        <f>IFERROR(__xludf.DUMMYFUNCTION("""COMPUTED_VALUE"""),"No")</f>
        <v>No</v>
      </c>
      <c r="F887" s="8" t="str">
        <f>IFERROR(__xludf.DUMMYFUNCTION("""COMPUTED_VALUE"""),"No")</f>
        <v>No</v>
      </c>
    </row>
    <row r="888">
      <c r="A888" s="5">
        <f>IFERROR(__xludf.DUMMYFUNCTION("""COMPUTED_VALUE"""),44753.0)</f>
        <v>44753</v>
      </c>
      <c r="B888" s="6" t="str">
        <f>IFERROR(__xludf.DUMMYFUNCTION("""COMPUTED_VALUE"""),"dinner")</f>
        <v>dinner</v>
      </c>
      <c r="C888" s="6" t="str">
        <f>IFERROR(__xludf.DUMMYFUNCTION("""COMPUTED_VALUE"""),"employee G")</f>
        <v>employee G</v>
      </c>
      <c r="D888" s="7">
        <f>IFERROR(__xludf.DUMMYFUNCTION("""COMPUTED_VALUE"""),46.0)</f>
        <v>46</v>
      </c>
      <c r="E888" s="6" t="str">
        <f>IFERROR(__xludf.DUMMYFUNCTION("""COMPUTED_VALUE"""),"No")</f>
        <v>No</v>
      </c>
      <c r="F888" s="8" t="str">
        <f>IFERROR(__xludf.DUMMYFUNCTION("""COMPUTED_VALUE"""),"No")</f>
        <v>No</v>
      </c>
    </row>
    <row r="889">
      <c r="A889" s="5">
        <f>IFERROR(__xludf.DUMMYFUNCTION("""COMPUTED_VALUE"""),44754.0)</f>
        <v>44754</v>
      </c>
      <c r="B889" s="6" t="str">
        <f>IFERROR(__xludf.DUMMYFUNCTION("""COMPUTED_VALUE"""),"lunch")</f>
        <v>lunch</v>
      </c>
      <c r="C889" s="6" t="str">
        <f>IFERROR(__xludf.DUMMYFUNCTION("""COMPUTED_VALUE"""),"employee A")</f>
        <v>employee A</v>
      </c>
      <c r="D889" s="7">
        <f>IFERROR(__xludf.DUMMYFUNCTION("""COMPUTED_VALUE"""),72.68)</f>
        <v>72.68</v>
      </c>
      <c r="E889" s="6" t="str">
        <f>IFERROR(__xludf.DUMMYFUNCTION("""COMPUTED_VALUE"""),"No")</f>
        <v>No</v>
      </c>
      <c r="F889" s="8" t="str">
        <f>IFERROR(__xludf.DUMMYFUNCTION("""COMPUTED_VALUE"""),"No")</f>
        <v>No</v>
      </c>
    </row>
    <row r="890">
      <c r="A890" s="5">
        <f>IFERROR(__xludf.DUMMYFUNCTION("""COMPUTED_VALUE"""),44754.0)</f>
        <v>44754</v>
      </c>
      <c r="B890" s="6" t="str">
        <f>IFERROR(__xludf.DUMMYFUNCTION("""COMPUTED_VALUE"""),"dinner")</f>
        <v>dinner</v>
      </c>
      <c r="C890" s="6" t="str">
        <f>IFERROR(__xludf.DUMMYFUNCTION("""COMPUTED_VALUE"""),"employee A")</f>
        <v>employee A</v>
      </c>
      <c r="D890" s="7">
        <f>IFERROR(__xludf.DUMMYFUNCTION("""COMPUTED_VALUE"""),44.27)</f>
        <v>44.27</v>
      </c>
      <c r="E890" s="6" t="str">
        <f>IFERROR(__xludf.DUMMYFUNCTION("""COMPUTED_VALUE"""),"No")</f>
        <v>No</v>
      </c>
      <c r="F890" s="8" t="str">
        <f>IFERROR(__xludf.DUMMYFUNCTION("""COMPUTED_VALUE"""),"No")</f>
        <v>No</v>
      </c>
    </row>
    <row r="891">
      <c r="A891" s="5">
        <f>IFERROR(__xludf.DUMMYFUNCTION("""COMPUTED_VALUE"""),44754.0)</f>
        <v>44754</v>
      </c>
      <c r="B891" s="6" t="str">
        <f>IFERROR(__xludf.DUMMYFUNCTION("""COMPUTED_VALUE"""),"dinner")</f>
        <v>dinner</v>
      </c>
      <c r="C891" s="6" t="str">
        <f>IFERROR(__xludf.DUMMYFUNCTION("""COMPUTED_VALUE"""),"employee J")</f>
        <v>employee J</v>
      </c>
      <c r="D891" s="7">
        <f>IFERROR(__xludf.DUMMYFUNCTION("""COMPUTED_VALUE"""),49.8)</f>
        <v>49.8</v>
      </c>
      <c r="E891" s="6" t="str">
        <f>IFERROR(__xludf.DUMMYFUNCTION("""COMPUTED_VALUE"""),"No")</f>
        <v>No</v>
      </c>
      <c r="F891" s="8" t="str">
        <f>IFERROR(__xludf.DUMMYFUNCTION("""COMPUTED_VALUE"""),"No")</f>
        <v>No</v>
      </c>
    </row>
    <row r="892">
      <c r="A892" s="5">
        <f>IFERROR(__xludf.DUMMYFUNCTION("""COMPUTED_VALUE"""),44755.0)</f>
        <v>44755</v>
      </c>
      <c r="B892" s="6" t="str">
        <f>IFERROR(__xludf.DUMMYFUNCTION("""COMPUTED_VALUE"""),"lunch")</f>
        <v>lunch</v>
      </c>
      <c r="C892" s="6" t="str">
        <f>IFERROR(__xludf.DUMMYFUNCTION("""COMPUTED_VALUE"""),"employee J")</f>
        <v>employee J</v>
      </c>
      <c r="D892" s="7">
        <f>IFERROR(__xludf.DUMMYFUNCTION("""COMPUTED_VALUE"""),40.14)</f>
        <v>40.14</v>
      </c>
      <c r="E892" s="6" t="str">
        <f>IFERROR(__xludf.DUMMYFUNCTION("""COMPUTED_VALUE"""),"No")</f>
        <v>No</v>
      </c>
      <c r="F892" s="8" t="str">
        <f>IFERROR(__xludf.DUMMYFUNCTION("""COMPUTED_VALUE"""),"No")</f>
        <v>No</v>
      </c>
    </row>
    <row r="893">
      <c r="A893" s="5">
        <f>IFERROR(__xludf.DUMMYFUNCTION("""COMPUTED_VALUE"""),44755.0)</f>
        <v>44755</v>
      </c>
      <c r="B893" s="6" t="str">
        <f>IFERROR(__xludf.DUMMYFUNCTION("""COMPUTED_VALUE"""),"dinner")</f>
        <v>dinner</v>
      </c>
      <c r="C893" s="6" t="str">
        <f>IFERROR(__xludf.DUMMYFUNCTION("""COMPUTED_VALUE"""),"employee J")</f>
        <v>employee J</v>
      </c>
      <c r="D893" s="7">
        <f>IFERROR(__xludf.DUMMYFUNCTION("""COMPUTED_VALUE"""),57.6)</f>
        <v>57.6</v>
      </c>
      <c r="E893" s="6" t="str">
        <f>IFERROR(__xludf.DUMMYFUNCTION("""COMPUTED_VALUE"""),"No")</f>
        <v>No</v>
      </c>
      <c r="F893" s="8" t="str">
        <f>IFERROR(__xludf.DUMMYFUNCTION("""COMPUTED_VALUE"""),"No")</f>
        <v>No</v>
      </c>
    </row>
    <row r="894">
      <c r="A894" s="5">
        <f>IFERROR(__xludf.DUMMYFUNCTION("""COMPUTED_VALUE"""),44755.0)</f>
        <v>44755</v>
      </c>
      <c r="B894" s="6" t="str">
        <f>IFERROR(__xludf.DUMMYFUNCTION("""COMPUTED_VALUE"""),"dinner")</f>
        <v>dinner</v>
      </c>
      <c r="C894" s="6" t="str">
        <f>IFERROR(__xludf.DUMMYFUNCTION("""COMPUTED_VALUE"""),"employee P")</f>
        <v>employee P</v>
      </c>
      <c r="D894" s="7">
        <f>IFERROR(__xludf.DUMMYFUNCTION("""COMPUTED_VALUE"""),86.4)</f>
        <v>86.4</v>
      </c>
      <c r="E894" s="6" t="str">
        <f>IFERROR(__xludf.DUMMYFUNCTION("""COMPUTED_VALUE"""),"No")</f>
        <v>No</v>
      </c>
      <c r="F894" s="8" t="str">
        <f>IFERROR(__xludf.DUMMYFUNCTION("""COMPUTED_VALUE"""),"No")</f>
        <v>No</v>
      </c>
    </row>
    <row r="895">
      <c r="A895" s="5">
        <f>IFERROR(__xludf.DUMMYFUNCTION("""COMPUTED_VALUE"""),44755.0)</f>
        <v>44755</v>
      </c>
      <c r="B895" s="6" t="str">
        <f>IFERROR(__xludf.DUMMYFUNCTION("""COMPUTED_VALUE"""),"dinner")</f>
        <v>dinner</v>
      </c>
      <c r="C895" s="6" t="str">
        <f>IFERROR(__xludf.DUMMYFUNCTION("""COMPUTED_VALUE"""),"employee A")</f>
        <v>employee A</v>
      </c>
      <c r="D895" s="7">
        <f>IFERROR(__xludf.DUMMYFUNCTION("""COMPUTED_VALUE"""),67.21)</f>
        <v>67.21</v>
      </c>
      <c r="E895" s="6" t="str">
        <f>IFERROR(__xludf.DUMMYFUNCTION("""COMPUTED_VALUE"""),"No")</f>
        <v>No</v>
      </c>
      <c r="F895" s="8" t="str">
        <f>IFERROR(__xludf.DUMMYFUNCTION("""COMPUTED_VALUE"""),"No")</f>
        <v>No</v>
      </c>
    </row>
    <row r="896">
      <c r="A896" s="5">
        <f>IFERROR(__xludf.DUMMYFUNCTION("""COMPUTED_VALUE"""),44756.0)</f>
        <v>44756</v>
      </c>
      <c r="B896" s="6" t="str">
        <f>IFERROR(__xludf.DUMMYFUNCTION("""COMPUTED_VALUE"""),"lunch")</f>
        <v>lunch</v>
      </c>
      <c r="C896" s="6" t="str">
        <f>IFERROR(__xludf.DUMMYFUNCTION("""COMPUTED_VALUE"""),"employee J")</f>
        <v>employee J</v>
      </c>
      <c r="D896" s="7">
        <f>IFERROR(__xludf.DUMMYFUNCTION("""COMPUTED_VALUE"""),133.29)</f>
        <v>133.29</v>
      </c>
      <c r="E896" s="6" t="str">
        <f>IFERROR(__xludf.DUMMYFUNCTION("""COMPUTED_VALUE"""),"No")</f>
        <v>No</v>
      </c>
      <c r="F896" s="8" t="str">
        <f>IFERROR(__xludf.DUMMYFUNCTION("""COMPUTED_VALUE"""),"No")</f>
        <v>No</v>
      </c>
    </row>
    <row r="897">
      <c r="A897" s="5">
        <f>IFERROR(__xludf.DUMMYFUNCTION("""COMPUTED_VALUE"""),44756.0)</f>
        <v>44756</v>
      </c>
      <c r="B897" s="6" t="str">
        <f>IFERROR(__xludf.DUMMYFUNCTION("""COMPUTED_VALUE"""),"dinner")</f>
        <v>dinner</v>
      </c>
      <c r="C897" s="6" t="str">
        <f>IFERROR(__xludf.DUMMYFUNCTION("""COMPUTED_VALUE"""),"employee B")</f>
        <v>employee B</v>
      </c>
      <c r="D897" s="7">
        <f>IFERROR(__xludf.DUMMYFUNCTION("""COMPUTED_VALUE"""),62.91)</f>
        <v>62.91</v>
      </c>
      <c r="E897" s="6" t="str">
        <f>IFERROR(__xludf.DUMMYFUNCTION("""COMPUTED_VALUE"""),"No")</f>
        <v>No</v>
      </c>
      <c r="F897" s="8" t="str">
        <f>IFERROR(__xludf.DUMMYFUNCTION("""COMPUTED_VALUE"""),"No")</f>
        <v>No</v>
      </c>
    </row>
    <row r="898">
      <c r="A898" s="5">
        <f>IFERROR(__xludf.DUMMYFUNCTION("""COMPUTED_VALUE"""),44756.0)</f>
        <v>44756</v>
      </c>
      <c r="B898" s="6" t="str">
        <f>IFERROR(__xludf.DUMMYFUNCTION("""COMPUTED_VALUE"""),"dinner")</f>
        <v>dinner</v>
      </c>
      <c r="C898" s="6" t="str">
        <f>IFERROR(__xludf.DUMMYFUNCTION("""COMPUTED_VALUE"""),"employee P")</f>
        <v>employee P</v>
      </c>
      <c r="D898" s="7">
        <f>IFERROR(__xludf.DUMMYFUNCTION("""COMPUTED_VALUE"""),62.91)</f>
        <v>62.91</v>
      </c>
      <c r="E898" s="6" t="str">
        <f>IFERROR(__xludf.DUMMYFUNCTION("""COMPUTED_VALUE"""),"No")</f>
        <v>No</v>
      </c>
      <c r="F898" s="8" t="str">
        <f>IFERROR(__xludf.DUMMYFUNCTION("""COMPUTED_VALUE"""),"No")</f>
        <v>No</v>
      </c>
    </row>
    <row r="899">
      <c r="A899" s="5">
        <f>IFERROR(__xludf.DUMMYFUNCTION("""COMPUTED_VALUE"""),44756.0)</f>
        <v>44756</v>
      </c>
      <c r="B899" s="6" t="str">
        <f>IFERROR(__xludf.DUMMYFUNCTION("""COMPUTED_VALUE"""),"dinner")</f>
        <v>dinner</v>
      </c>
      <c r="C899" s="6" t="str">
        <f>IFERROR(__xludf.DUMMYFUNCTION("""COMPUTED_VALUE"""),"employee G")</f>
        <v>employee G</v>
      </c>
      <c r="D899" s="7">
        <f>IFERROR(__xludf.DUMMYFUNCTION("""COMPUTED_VALUE"""),34.93)</f>
        <v>34.93</v>
      </c>
      <c r="E899" s="6" t="str">
        <f>IFERROR(__xludf.DUMMYFUNCTION("""COMPUTED_VALUE"""),"No")</f>
        <v>No</v>
      </c>
      <c r="F899" s="8" t="str">
        <f>IFERROR(__xludf.DUMMYFUNCTION("""COMPUTED_VALUE"""),"No")</f>
        <v>No</v>
      </c>
    </row>
    <row r="900">
      <c r="A900" s="5">
        <f>IFERROR(__xludf.DUMMYFUNCTION("""COMPUTED_VALUE"""),44757.0)</f>
        <v>44757</v>
      </c>
      <c r="B900" s="6" t="str">
        <f>IFERROR(__xludf.DUMMYFUNCTION("""COMPUTED_VALUE"""),"lunch")</f>
        <v>lunch</v>
      </c>
      <c r="C900" s="6" t="str">
        <f>IFERROR(__xludf.DUMMYFUNCTION("""COMPUTED_VALUE"""),"employee L")</f>
        <v>employee L</v>
      </c>
      <c r="D900" s="7">
        <f>IFERROR(__xludf.DUMMYFUNCTION("""COMPUTED_VALUE"""),70.9)</f>
        <v>70.9</v>
      </c>
      <c r="E900" s="6" t="str">
        <f>IFERROR(__xludf.DUMMYFUNCTION("""COMPUTED_VALUE"""),"No")</f>
        <v>No</v>
      </c>
      <c r="F900" s="8" t="str">
        <f>IFERROR(__xludf.DUMMYFUNCTION("""COMPUTED_VALUE"""),"No")</f>
        <v>No</v>
      </c>
    </row>
    <row r="901">
      <c r="A901" s="5">
        <f>IFERROR(__xludf.DUMMYFUNCTION("""COMPUTED_VALUE"""),44757.0)</f>
        <v>44757</v>
      </c>
      <c r="B901" s="6" t="str">
        <f>IFERROR(__xludf.DUMMYFUNCTION("""COMPUTED_VALUE"""),"lunch")</f>
        <v>lunch</v>
      </c>
      <c r="C901" s="6" t="str">
        <f>IFERROR(__xludf.DUMMYFUNCTION("""COMPUTED_VALUE"""),"employee A")</f>
        <v>employee A</v>
      </c>
      <c r="D901" s="7">
        <f>IFERROR(__xludf.DUMMYFUNCTION("""COMPUTED_VALUE"""),10.63)</f>
        <v>10.63</v>
      </c>
      <c r="E901" s="6" t="str">
        <f>IFERROR(__xludf.DUMMYFUNCTION("""COMPUTED_VALUE"""),"No")</f>
        <v>No</v>
      </c>
      <c r="F901" s="8" t="str">
        <f>IFERROR(__xludf.DUMMYFUNCTION("""COMPUTED_VALUE"""),"No")</f>
        <v>No</v>
      </c>
    </row>
    <row r="902">
      <c r="A902" s="5">
        <f>IFERROR(__xludf.DUMMYFUNCTION("""COMPUTED_VALUE"""),44757.0)</f>
        <v>44757</v>
      </c>
      <c r="B902" s="6" t="str">
        <f>IFERROR(__xludf.DUMMYFUNCTION("""COMPUTED_VALUE"""),"dinner")</f>
        <v>dinner</v>
      </c>
      <c r="C902" s="6" t="str">
        <f>IFERROR(__xludf.DUMMYFUNCTION("""COMPUTED_VALUE"""),"employee L")</f>
        <v>employee L</v>
      </c>
      <c r="D902" s="7">
        <f>IFERROR(__xludf.DUMMYFUNCTION("""COMPUTED_VALUE"""),83.93)</f>
        <v>83.93</v>
      </c>
      <c r="E902" s="6" t="str">
        <f>IFERROR(__xludf.DUMMYFUNCTION("""COMPUTED_VALUE"""),"No")</f>
        <v>No</v>
      </c>
      <c r="F902" s="8" t="str">
        <f>IFERROR(__xludf.DUMMYFUNCTION("""COMPUTED_VALUE"""),"No")</f>
        <v>No</v>
      </c>
    </row>
    <row r="903">
      <c r="A903" s="5">
        <f>IFERROR(__xludf.DUMMYFUNCTION("""COMPUTED_VALUE"""),44757.0)</f>
        <v>44757</v>
      </c>
      <c r="B903" s="6" t="str">
        <f>IFERROR(__xludf.DUMMYFUNCTION("""COMPUTED_VALUE"""),"dinner")</f>
        <v>dinner</v>
      </c>
      <c r="C903" s="6" t="str">
        <f>IFERROR(__xludf.DUMMYFUNCTION("""COMPUTED_VALUE"""),"employee B")</f>
        <v>employee B</v>
      </c>
      <c r="D903" s="7">
        <f>IFERROR(__xludf.DUMMYFUNCTION("""COMPUTED_VALUE"""),83.93)</f>
        <v>83.93</v>
      </c>
      <c r="E903" s="6" t="str">
        <f>IFERROR(__xludf.DUMMYFUNCTION("""COMPUTED_VALUE"""),"No")</f>
        <v>No</v>
      </c>
      <c r="F903" s="8" t="str">
        <f>IFERROR(__xludf.DUMMYFUNCTION("""COMPUTED_VALUE"""),"No")</f>
        <v>No</v>
      </c>
    </row>
    <row r="904">
      <c r="A904" s="5">
        <f>IFERROR(__xludf.DUMMYFUNCTION("""COMPUTED_VALUE"""),44757.0)</f>
        <v>44757</v>
      </c>
      <c r="B904" s="6" t="str">
        <f>IFERROR(__xludf.DUMMYFUNCTION("""COMPUTED_VALUE"""),"dinner")</f>
        <v>dinner</v>
      </c>
      <c r="C904" s="6" t="str">
        <f>IFERROR(__xludf.DUMMYFUNCTION("""COMPUTED_VALUE"""),"employee J")</f>
        <v>employee J</v>
      </c>
      <c r="D904" s="7">
        <f>IFERROR(__xludf.DUMMYFUNCTION("""COMPUTED_VALUE"""),74.56)</f>
        <v>74.56</v>
      </c>
      <c r="E904" s="6" t="str">
        <f>IFERROR(__xludf.DUMMYFUNCTION("""COMPUTED_VALUE"""),"No")</f>
        <v>No</v>
      </c>
      <c r="F904" s="8" t="str">
        <f>IFERROR(__xludf.DUMMYFUNCTION("""COMPUTED_VALUE"""),"No")</f>
        <v>No</v>
      </c>
    </row>
    <row r="905">
      <c r="A905" s="5">
        <f>IFERROR(__xludf.DUMMYFUNCTION("""COMPUTED_VALUE"""),44758.0)</f>
        <v>44758</v>
      </c>
      <c r="B905" s="6" t="str">
        <f>IFERROR(__xludf.DUMMYFUNCTION("""COMPUTED_VALUE"""),"lunch")</f>
        <v>lunch</v>
      </c>
      <c r="C905" s="6" t="str">
        <f>IFERROR(__xludf.DUMMYFUNCTION("""COMPUTED_VALUE"""),"employee B")</f>
        <v>employee B</v>
      </c>
      <c r="D905" s="7">
        <f>IFERROR(__xludf.DUMMYFUNCTION("""COMPUTED_VALUE"""),97.37)</f>
        <v>97.37</v>
      </c>
      <c r="E905" s="6" t="str">
        <f>IFERROR(__xludf.DUMMYFUNCTION("""COMPUTED_VALUE"""),"No")</f>
        <v>No</v>
      </c>
      <c r="F905" s="8" t="str">
        <f>IFERROR(__xludf.DUMMYFUNCTION("""COMPUTED_VALUE"""),"No")</f>
        <v>No</v>
      </c>
    </row>
    <row r="906">
      <c r="A906" s="5">
        <f>IFERROR(__xludf.DUMMYFUNCTION("""COMPUTED_VALUE"""),44758.0)</f>
        <v>44758</v>
      </c>
      <c r="B906" s="6" t="str">
        <f>IFERROR(__xludf.DUMMYFUNCTION("""COMPUTED_VALUE"""),"lunch")</f>
        <v>lunch</v>
      </c>
      <c r="C906" s="6" t="str">
        <f>IFERROR(__xludf.DUMMYFUNCTION("""COMPUTED_VALUE"""),"employee L")</f>
        <v>employee L</v>
      </c>
      <c r="D906" s="7">
        <f>IFERROR(__xludf.DUMMYFUNCTION("""COMPUTED_VALUE"""),69.55)</f>
        <v>69.55</v>
      </c>
      <c r="E906" s="6" t="str">
        <f>IFERROR(__xludf.DUMMYFUNCTION("""COMPUTED_VALUE"""),"No")</f>
        <v>No</v>
      </c>
      <c r="F906" s="8" t="str">
        <f>IFERROR(__xludf.DUMMYFUNCTION("""COMPUTED_VALUE"""),"No")</f>
        <v>No</v>
      </c>
    </row>
    <row r="907">
      <c r="A907" s="5">
        <f>IFERROR(__xludf.DUMMYFUNCTION("""COMPUTED_VALUE"""),44758.0)</f>
        <v>44758</v>
      </c>
      <c r="B907" s="6" t="str">
        <f>IFERROR(__xludf.DUMMYFUNCTION("""COMPUTED_VALUE"""),"lunch")</f>
        <v>lunch</v>
      </c>
      <c r="C907" s="6" t="str">
        <f>IFERROR(__xludf.DUMMYFUNCTION("""COMPUTED_VALUE"""),"employee G")</f>
        <v>employee G</v>
      </c>
      <c r="D907" s="7">
        <f>IFERROR(__xludf.DUMMYFUNCTION("""COMPUTED_VALUE"""),55.6)</f>
        <v>55.6</v>
      </c>
      <c r="E907" s="6" t="str">
        <f>IFERROR(__xludf.DUMMYFUNCTION("""COMPUTED_VALUE"""),"No")</f>
        <v>No</v>
      </c>
      <c r="F907" s="8" t="str">
        <f>IFERROR(__xludf.DUMMYFUNCTION("""COMPUTED_VALUE"""),"No")</f>
        <v>No</v>
      </c>
    </row>
    <row r="908">
      <c r="A908" s="5">
        <f>IFERROR(__xludf.DUMMYFUNCTION("""COMPUTED_VALUE"""),44758.0)</f>
        <v>44758</v>
      </c>
      <c r="B908" s="6" t="str">
        <f>IFERROR(__xludf.DUMMYFUNCTION("""COMPUTED_VALUE"""),"dinner")</f>
        <v>dinner</v>
      </c>
      <c r="C908" s="6" t="str">
        <f>IFERROR(__xludf.DUMMYFUNCTION("""COMPUTED_VALUE"""),"employee L")</f>
        <v>employee L</v>
      </c>
      <c r="D908" s="7">
        <f>IFERROR(__xludf.DUMMYFUNCTION("""COMPUTED_VALUE"""),42.21)</f>
        <v>42.21</v>
      </c>
      <c r="E908" s="6" t="str">
        <f>IFERROR(__xludf.DUMMYFUNCTION("""COMPUTED_VALUE"""),"No")</f>
        <v>No</v>
      </c>
      <c r="F908" s="8" t="str">
        <f>IFERROR(__xludf.DUMMYFUNCTION("""COMPUTED_VALUE"""),"No")</f>
        <v>No</v>
      </c>
    </row>
    <row r="909">
      <c r="A909" s="5">
        <f>IFERROR(__xludf.DUMMYFUNCTION("""COMPUTED_VALUE"""),44758.0)</f>
        <v>44758</v>
      </c>
      <c r="B909" s="6" t="str">
        <f>IFERROR(__xludf.DUMMYFUNCTION("""COMPUTED_VALUE"""),"dinner")</f>
        <v>dinner</v>
      </c>
      <c r="C909" s="6" t="str">
        <f>IFERROR(__xludf.DUMMYFUNCTION("""COMPUTED_VALUE"""),"employee J")</f>
        <v>employee J</v>
      </c>
      <c r="D909" s="7">
        <f>IFERROR(__xludf.DUMMYFUNCTION("""COMPUTED_VALUE"""),58.44)</f>
        <v>58.44</v>
      </c>
      <c r="E909" s="6" t="str">
        <f>IFERROR(__xludf.DUMMYFUNCTION("""COMPUTED_VALUE"""),"No")</f>
        <v>No</v>
      </c>
      <c r="F909" s="8" t="str">
        <f>IFERROR(__xludf.DUMMYFUNCTION("""COMPUTED_VALUE"""),"No")</f>
        <v>No</v>
      </c>
    </row>
    <row r="910">
      <c r="A910" s="5">
        <f>IFERROR(__xludf.DUMMYFUNCTION("""COMPUTED_VALUE"""),44758.0)</f>
        <v>44758</v>
      </c>
      <c r="B910" s="6" t="str">
        <f>IFERROR(__xludf.DUMMYFUNCTION("""COMPUTED_VALUE"""),"dinner")</f>
        <v>dinner</v>
      </c>
      <c r="C910" s="6" t="str">
        <f>IFERROR(__xludf.DUMMYFUNCTION("""COMPUTED_VALUE"""),"employee P")</f>
        <v>employee P</v>
      </c>
      <c r="D910" s="7">
        <f>IFERROR(__xludf.DUMMYFUNCTION("""COMPUTED_VALUE"""),58.44)</f>
        <v>58.44</v>
      </c>
      <c r="E910" s="6" t="str">
        <f>IFERROR(__xludf.DUMMYFUNCTION("""COMPUTED_VALUE"""),"No")</f>
        <v>No</v>
      </c>
      <c r="F910" s="8" t="str">
        <f>IFERROR(__xludf.DUMMYFUNCTION("""COMPUTED_VALUE"""),"No")</f>
        <v>No</v>
      </c>
    </row>
    <row r="911">
      <c r="A911" s="5">
        <f>IFERROR(__xludf.DUMMYFUNCTION("""COMPUTED_VALUE"""),44759.0)</f>
        <v>44759</v>
      </c>
      <c r="B911" s="6" t="str">
        <f>IFERROR(__xludf.DUMMYFUNCTION("""COMPUTED_VALUE"""),"lunch")</f>
        <v>lunch</v>
      </c>
      <c r="C911" s="6" t="str">
        <f>IFERROR(__xludf.DUMMYFUNCTION("""COMPUTED_VALUE"""),"employee P")</f>
        <v>employee P</v>
      </c>
      <c r="D911" s="7">
        <f>IFERROR(__xludf.DUMMYFUNCTION("""COMPUTED_VALUE"""),68.55)</f>
        <v>68.55</v>
      </c>
      <c r="E911" s="6" t="str">
        <f>IFERROR(__xludf.DUMMYFUNCTION("""COMPUTED_VALUE"""),"No")</f>
        <v>No</v>
      </c>
      <c r="F911" s="8" t="str">
        <f>IFERROR(__xludf.DUMMYFUNCTION("""COMPUTED_VALUE"""),"No")</f>
        <v>No</v>
      </c>
    </row>
    <row r="912">
      <c r="A912" s="5">
        <f>IFERROR(__xludf.DUMMYFUNCTION("""COMPUTED_VALUE"""),44759.0)</f>
        <v>44759</v>
      </c>
      <c r="B912" s="6" t="str">
        <f>IFERROR(__xludf.DUMMYFUNCTION("""COMPUTED_VALUE"""),"lunch")</f>
        <v>lunch</v>
      </c>
      <c r="C912" s="6" t="str">
        <f>IFERROR(__xludf.DUMMYFUNCTION("""COMPUTED_VALUE"""),"employee B")</f>
        <v>employee B</v>
      </c>
      <c r="D912" s="7">
        <f>IFERROR(__xludf.DUMMYFUNCTION("""COMPUTED_VALUE"""),80.66)</f>
        <v>80.66</v>
      </c>
      <c r="E912" s="6" t="str">
        <f>IFERROR(__xludf.DUMMYFUNCTION("""COMPUTED_VALUE"""),"No")</f>
        <v>No</v>
      </c>
      <c r="F912" s="8" t="str">
        <f>IFERROR(__xludf.DUMMYFUNCTION("""COMPUTED_VALUE"""),"No")</f>
        <v>No</v>
      </c>
    </row>
    <row r="913">
      <c r="A913" s="5">
        <f>IFERROR(__xludf.DUMMYFUNCTION("""COMPUTED_VALUE"""),44759.0)</f>
        <v>44759</v>
      </c>
      <c r="B913" s="6" t="str">
        <f>IFERROR(__xludf.DUMMYFUNCTION("""COMPUTED_VALUE"""),"lunch")</f>
        <v>lunch</v>
      </c>
      <c r="C913" s="6" t="str">
        <f>IFERROR(__xludf.DUMMYFUNCTION("""COMPUTED_VALUE"""),"employee L")</f>
        <v>employee L</v>
      </c>
      <c r="D913" s="7">
        <f>IFERROR(__xludf.DUMMYFUNCTION("""COMPUTED_VALUE"""),112.91)</f>
        <v>112.91</v>
      </c>
      <c r="E913" s="6" t="str">
        <f>IFERROR(__xludf.DUMMYFUNCTION("""COMPUTED_VALUE"""),"No")</f>
        <v>No</v>
      </c>
      <c r="F913" s="8" t="str">
        <f>IFERROR(__xludf.DUMMYFUNCTION("""COMPUTED_VALUE"""),"No")</f>
        <v>No</v>
      </c>
    </row>
    <row r="914">
      <c r="A914" s="5">
        <f>IFERROR(__xludf.DUMMYFUNCTION("""COMPUTED_VALUE"""),44759.0)</f>
        <v>44759</v>
      </c>
      <c r="B914" s="6" t="str">
        <f>IFERROR(__xludf.DUMMYFUNCTION("""COMPUTED_VALUE"""),"dinner")</f>
        <v>dinner</v>
      </c>
      <c r="C914" s="6" t="str">
        <f>IFERROR(__xludf.DUMMYFUNCTION("""COMPUTED_VALUE"""),"employee B")</f>
        <v>employee B</v>
      </c>
      <c r="D914" s="7">
        <f>IFERROR(__xludf.DUMMYFUNCTION("""COMPUTED_VALUE"""),52.58)</f>
        <v>52.58</v>
      </c>
      <c r="E914" s="6" t="str">
        <f>IFERROR(__xludf.DUMMYFUNCTION("""COMPUTED_VALUE"""),"No")</f>
        <v>No</v>
      </c>
      <c r="F914" s="8" t="str">
        <f>IFERROR(__xludf.DUMMYFUNCTION("""COMPUTED_VALUE"""),"No")</f>
        <v>No</v>
      </c>
    </row>
    <row r="915">
      <c r="A915" s="5">
        <f>IFERROR(__xludf.DUMMYFUNCTION("""COMPUTED_VALUE"""),44759.0)</f>
        <v>44759</v>
      </c>
      <c r="B915" s="6" t="str">
        <f>IFERROR(__xludf.DUMMYFUNCTION("""COMPUTED_VALUE"""),"dinner")</f>
        <v>dinner</v>
      </c>
      <c r="C915" s="6" t="str">
        <f>IFERROR(__xludf.DUMMYFUNCTION("""COMPUTED_VALUE"""),"employee J")</f>
        <v>employee J</v>
      </c>
      <c r="D915" s="7">
        <f>IFERROR(__xludf.DUMMYFUNCTION("""COMPUTED_VALUE"""),52.58)</f>
        <v>52.58</v>
      </c>
      <c r="E915" s="6" t="str">
        <f>IFERROR(__xludf.DUMMYFUNCTION("""COMPUTED_VALUE"""),"No")</f>
        <v>No</v>
      </c>
      <c r="F915" s="8" t="str">
        <f>IFERROR(__xludf.DUMMYFUNCTION("""COMPUTED_VALUE"""),"No")</f>
        <v>No</v>
      </c>
    </row>
    <row r="916">
      <c r="A916" s="5">
        <f>IFERROR(__xludf.DUMMYFUNCTION("""COMPUTED_VALUE"""),44759.0)</f>
        <v>44759</v>
      </c>
      <c r="B916" s="6" t="str">
        <f>IFERROR(__xludf.DUMMYFUNCTION("""COMPUTED_VALUE"""),"dinner")</f>
        <v>dinner</v>
      </c>
      <c r="C916" s="6" t="str">
        <f>IFERROR(__xludf.DUMMYFUNCTION("""COMPUTED_VALUE"""),"employee G")</f>
        <v>employee G</v>
      </c>
      <c r="D916" s="7">
        <f>IFERROR(__xludf.DUMMYFUNCTION("""COMPUTED_VALUE"""),52.58)</f>
        <v>52.58</v>
      </c>
      <c r="E916" s="6" t="str">
        <f>IFERROR(__xludf.DUMMYFUNCTION("""COMPUTED_VALUE"""),"No")</f>
        <v>No</v>
      </c>
      <c r="F916" s="8" t="str">
        <f>IFERROR(__xludf.DUMMYFUNCTION("""COMPUTED_VALUE"""),"No")</f>
        <v>No</v>
      </c>
    </row>
    <row r="917">
      <c r="A917" s="5">
        <f>IFERROR(__xludf.DUMMYFUNCTION("""COMPUTED_VALUE"""),44760.0)</f>
        <v>44760</v>
      </c>
      <c r="B917" s="6" t="str">
        <f>IFERROR(__xludf.DUMMYFUNCTION("""COMPUTED_VALUE"""),"lunch")</f>
        <v>lunch</v>
      </c>
      <c r="C917" s="6" t="str">
        <f>IFERROR(__xludf.DUMMYFUNCTION("""COMPUTED_VALUE"""),"employee A")</f>
        <v>employee A</v>
      </c>
      <c r="D917" s="7">
        <f>IFERROR(__xludf.DUMMYFUNCTION("""COMPUTED_VALUE"""),85.98)</f>
        <v>85.98</v>
      </c>
      <c r="E917" s="6" t="str">
        <f>IFERROR(__xludf.DUMMYFUNCTION("""COMPUTED_VALUE"""),"No")</f>
        <v>No</v>
      </c>
      <c r="F917" s="8" t="str">
        <f>IFERROR(__xludf.DUMMYFUNCTION("""COMPUTED_VALUE"""),"No")</f>
        <v>No</v>
      </c>
    </row>
    <row r="918">
      <c r="A918" s="5">
        <f>IFERROR(__xludf.DUMMYFUNCTION("""COMPUTED_VALUE"""),44760.0)</f>
        <v>44760</v>
      </c>
      <c r="B918" s="6" t="str">
        <f>IFERROR(__xludf.DUMMYFUNCTION("""COMPUTED_VALUE"""),"dinner")</f>
        <v>dinner</v>
      </c>
      <c r="C918" s="6" t="str">
        <f>IFERROR(__xludf.DUMMYFUNCTION("""COMPUTED_VALUE"""),"employee A")</f>
        <v>employee A</v>
      </c>
      <c r="D918" s="7">
        <f>IFERROR(__xludf.DUMMYFUNCTION("""COMPUTED_VALUE"""),38.97)</f>
        <v>38.97</v>
      </c>
      <c r="E918" s="6" t="str">
        <f>IFERROR(__xludf.DUMMYFUNCTION("""COMPUTED_VALUE"""),"No")</f>
        <v>No</v>
      </c>
      <c r="F918" s="8" t="str">
        <f>IFERROR(__xludf.DUMMYFUNCTION("""COMPUTED_VALUE"""),"No")</f>
        <v>No</v>
      </c>
    </row>
    <row r="919">
      <c r="A919" s="5">
        <f>IFERROR(__xludf.DUMMYFUNCTION("""COMPUTED_VALUE"""),44760.0)</f>
        <v>44760</v>
      </c>
      <c r="B919" s="6" t="str">
        <f>IFERROR(__xludf.DUMMYFUNCTION("""COMPUTED_VALUE"""),"dinner")</f>
        <v>dinner</v>
      </c>
      <c r="C919" s="6" t="str">
        <f>IFERROR(__xludf.DUMMYFUNCTION("""COMPUTED_VALUE"""),"employee G")</f>
        <v>employee G</v>
      </c>
      <c r="D919" s="7">
        <f>IFERROR(__xludf.DUMMYFUNCTION("""COMPUTED_VALUE"""),30.31)</f>
        <v>30.31</v>
      </c>
      <c r="E919" s="6" t="str">
        <f>IFERROR(__xludf.DUMMYFUNCTION("""COMPUTED_VALUE"""),"No")</f>
        <v>No</v>
      </c>
      <c r="F919" s="8" t="str">
        <f>IFERROR(__xludf.DUMMYFUNCTION("""COMPUTED_VALUE"""),"No")</f>
        <v>No</v>
      </c>
    </row>
    <row r="920">
      <c r="A920" s="5">
        <f>IFERROR(__xludf.DUMMYFUNCTION("""COMPUTED_VALUE"""),44760.0)</f>
        <v>44760</v>
      </c>
      <c r="B920" s="6" t="str">
        <f>IFERROR(__xludf.DUMMYFUNCTION("""COMPUTED_VALUE"""),"dinner")</f>
        <v>dinner</v>
      </c>
      <c r="C920" s="6" t="str">
        <f>IFERROR(__xludf.DUMMYFUNCTION("""COMPUTED_VALUE"""),"employee P")</f>
        <v>employee P</v>
      </c>
      <c r="D920" s="7">
        <f>IFERROR(__xludf.DUMMYFUNCTION("""COMPUTED_VALUE"""),30.31)</f>
        <v>30.31</v>
      </c>
      <c r="E920" s="6" t="str">
        <f>IFERROR(__xludf.DUMMYFUNCTION("""COMPUTED_VALUE"""),"No")</f>
        <v>No</v>
      </c>
      <c r="F920" s="8" t="str">
        <f>IFERROR(__xludf.DUMMYFUNCTION("""COMPUTED_VALUE"""),"No")</f>
        <v>No</v>
      </c>
    </row>
    <row r="921">
      <c r="A921" s="5">
        <f>IFERROR(__xludf.DUMMYFUNCTION("""COMPUTED_VALUE"""),44761.0)</f>
        <v>44761</v>
      </c>
      <c r="B921" s="6" t="str">
        <f>IFERROR(__xludf.DUMMYFUNCTION("""COMPUTED_VALUE"""),"lunch")</f>
        <v>lunch</v>
      </c>
      <c r="C921" s="6" t="str">
        <f>IFERROR(__xludf.DUMMYFUNCTION("""COMPUTED_VALUE"""),"employee A")</f>
        <v>employee A</v>
      </c>
      <c r="D921" s="7">
        <f>IFERROR(__xludf.DUMMYFUNCTION("""COMPUTED_VALUE"""),39.05)</f>
        <v>39.05</v>
      </c>
      <c r="E921" s="6" t="str">
        <f>IFERROR(__xludf.DUMMYFUNCTION("""COMPUTED_VALUE"""),"No")</f>
        <v>No</v>
      </c>
      <c r="F921" s="8" t="str">
        <f>IFERROR(__xludf.DUMMYFUNCTION("""COMPUTED_VALUE"""),"No")</f>
        <v>No</v>
      </c>
    </row>
    <row r="922">
      <c r="A922" s="5">
        <f>IFERROR(__xludf.DUMMYFUNCTION("""COMPUTED_VALUE"""),44761.0)</f>
        <v>44761</v>
      </c>
      <c r="B922" s="6" t="str">
        <f>IFERROR(__xludf.DUMMYFUNCTION("""COMPUTED_VALUE"""),"dinner")</f>
        <v>dinner</v>
      </c>
      <c r="C922" s="6" t="str">
        <f>IFERROR(__xludf.DUMMYFUNCTION("""COMPUTED_VALUE"""),"employee A")</f>
        <v>employee A</v>
      </c>
      <c r="D922" s="7">
        <f>IFERROR(__xludf.DUMMYFUNCTION("""COMPUTED_VALUE"""),113.63)</f>
        <v>113.63</v>
      </c>
      <c r="E922" s="6" t="str">
        <f>IFERROR(__xludf.DUMMYFUNCTION("""COMPUTED_VALUE"""),"No")</f>
        <v>No</v>
      </c>
      <c r="F922" s="8" t="str">
        <f>IFERROR(__xludf.DUMMYFUNCTION("""COMPUTED_VALUE"""),"No")</f>
        <v>No</v>
      </c>
    </row>
    <row r="923">
      <c r="A923" s="5">
        <f>IFERROR(__xludf.DUMMYFUNCTION("""COMPUTED_VALUE"""),44761.0)</f>
        <v>44761</v>
      </c>
      <c r="B923" s="6" t="str">
        <f>IFERROR(__xludf.DUMMYFUNCTION("""COMPUTED_VALUE"""),"dinner")</f>
        <v>dinner</v>
      </c>
      <c r="C923" s="6" t="str">
        <f>IFERROR(__xludf.DUMMYFUNCTION("""COMPUTED_VALUE"""),"employee J")</f>
        <v>employee J</v>
      </c>
      <c r="D923" s="7">
        <f>IFERROR(__xludf.DUMMYFUNCTION("""COMPUTED_VALUE"""),113.63)</f>
        <v>113.63</v>
      </c>
      <c r="E923" s="6" t="str">
        <f>IFERROR(__xludf.DUMMYFUNCTION("""COMPUTED_VALUE"""),"No")</f>
        <v>No</v>
      </c>
      <c r="F923" s="8" t="str">
        <f>IFERROR(__xludf.DUMMYFUNCTION("""COMPUTED_VALUE"""),"No")</f>
        <v>No</v>
      </c>
    </row>
    <row r="924">
      <c r="A924" s="5">
        <f>IFERROR(__xludf.DUMMYFUNCTION("""COMPUTED_VALUE"""),44762.0)</f>
        <v>44762</v>
      </c>
      <c r="B924" s="6" t="str">
        <f>IFERROR(__xludf.DUMMYFUNCTION("""COMPUTED_VALUE"""),"lunch")</f>
        <v>lunch</v>
      </c>
      <c r="C924" s="6" t="str">
        <f>IFERROR(__xludf.DUMMYFUNCTION("""COMPUTED_VALUE"""),"employee J")</f>
        <v>employee J</v>
      </c>
      <c r="D924" s="7">
        <f>IFERROR(__xludf.DUMMYFUNCTION("""COMPUTED_VALUE"""),57.19)</f>
        <v>57.19</v>
      </c>
      <c r="E924" s="6" t="str">
        <f>IFERROR(__xludf.DUMMYFUNCTION("""COMPUTED_VALUE"""),"No")</f>
        <v>No</v>
      </c>
      <c r="F924" s="8" t="str">
        <f>IFERROR(__xludf.DUMMYFUNCTION("""COMPUTED_VALUE"""),"No")</f>
        <v>No</v>
      </c>
    </row>
    <row r="925">
      <c r="A925" s="5">
        <f>IFERROR(__xludf.DUMMYFUNCTION("""COMPUTED_VALUE"""),44762.0)</f>
        <v>44762</v>
      </c>
      <c r="B925" s="6" t="str">
        <f>IFERROR(__xludf.DUMMYFUNCTION("""COMPUTED_VALUE"""),"dinner")</f>
        <v>dinner</v>
      </c>
      <c r="C925" s="6" t="str">
        <f>IFERROR(__xludf.DUMMYFUNCTION("""COMPUTED_VALUE"""),"employee J")</f>
        <v>employee J</v>
      </c>
      <c r="D925" s="7">
        <f>IFERROR(__xludf.DUMMYFUNCTION("""COMPUTED_VALUE"""),56.14)</f>
        <v>56.14</v>
      </c>
      <c r="E925" s="6" t="str">
        <f>IFERROR(__xludf.DUMMYFUNCTION("""COMPUTED_VALUE"""),"No")</f>
        <v>No</v>
      </c>
      <c r="F925" s="8" t="str">
        <f>IFERROR(__xludf.DUMMYFUNCTION("""COMPUTED_VALUE"""),"No")</f>
        <v>No</v>
      </c>
    </row>
    <row r="926">
      <c r="A926" s="5">
        <f>IFERROR(__xludf.DUMMYFUNCTION("""COMPUTED_VALUE"""),44762.0)</f>
        <v>44762</v>
      </c>
      <c r="B926" s="6" t="str">
        <f>IFERROR(__xludf.DUMMYFUNCTION("""COMPUTED_VALUE"""),"dinner")</f>
        <v>dinner</v>
      </c>
      <c r="C926" s="6" t="str">
        <f>IFERROR(__xludf.DUMMYFUNCTION("""COMPUTED_VALUE"""),"employee I")</f>
        <v>employee I</v>
      </c>
      <c r="D926" s="7">
        <f>IFERROR(__xludf.DUMMYFUNCTION("""COMPUTED_VALUE"""),43.66)</f>
        <v>43.66</v>
      </c>
      <c r="E926" s="6" t="str">
        <f>IFERROR(__xludf.DUMMYFUNCTION("""COMPUTED_VALUE"""),"No")</f>
        <v>No</v>
      </c>
      <c r="F926" s="8" t="str">
        <f>IFERROR(__xludf.DUMMYFUNCTION("""COMPUTED_VALUE"""),"No")</f>
        <v>No</v>
      </c>
    </row>
    <row r="927">
      <c r="A927" s="5">
        <f>IFERROR(__xludf.DUMMYFUNCTION("""COMPUTED_VALUE"""),44762.0)</f>
        <v>44762</v>
      </c>
      <c r="B927" s="6" t="str">
        <f>IFERROR(__xludf.DUMMYFUNCTION("""COMPUTED_VALUE"""),"dinner")</f>
        <v>dinner</v>
      </c>
      <c r="C927" s="6" t="str">
        <f>IFERROR(__xludf.DUMMYFUNCTION("""COMPUTED_VALUE"""),"employee G")</f>
        <v>employee G</v>
      </c>
      <c r="D927" s="7">
        <f>IFERROR(__xludf.DUMMYFUNCTION("""COMPUTED_VALUE"""),37.43)</f>
        <v>37.43</v>
      </c>
      <c r="E927" s="6" t="str">
        <f>IFERROR(__xludf.DUMMYFUNCTION("""COMPUTED_VALUE"""),"No")</f>
        <v>No</v>
      </c>
      <c r="F927" s="8" t="str">
        <f>IFERROR(__xludf.DUMMYFUNCTION("""COMPUTED_VALUE"""),"No")</f>
        <v>No</v>
      </c>
    </row>
    <row r="928">
      <c r="A928" s="5">
        <f>IFERROR(__xludf.DUMMYFUNCTION("""COMPUTED_VALUE"""),44763.0)</f>
        <v>44763</v>
      </c>
      <c r="B928" s="6" t="str">
        <f>IFERROR(__xludf.DUMMYFUNCTION("""COMPUTED_VALUE"""),"lunch")</f>
        <v>lunch</v>
      </c>
      <c r="C928" s="6" t="str">
        <f>IFERROR(__xludf.DUMMYFUNCTION("""COMPUTED_VALUE"""),"employee A")</f>
        <v>employee A</v>
      </c>
      <c r="D928" s="7">
        <f>IFERROR(__xludf.DUMMYFUNCTION("""COMPUTED_VALUE"""),89.04)</f>
        <v>89.04</v>
      </c>
      <c r="E928" s="6" t="str">
        <f>IFERROR(__xludf.DUMMYFUNCTION("""COMPUTED_VALUE"""),"No")</f>
        <v>No</v>
      </c>
      <c r="F928" s="8" t="str">
        <f>IFERROR(__xludf.DUMMYFUNCTION("""COMPUTED_VALUE"""),"No")</f>
        <v>No</v>
      </c>
    </row>
    <row r="929">
      <c r="A929" s="5">
        <f>IFERROR(__xludf.DUMMYFUNCTION("""COMPUTED_VALUE"""),44763.0)</f>
        <v>44763</v>
      </c>
      <c r="B929" s="6" t="str">
        <f>IFERROR(__xludf.DUMMYFUNCTION("""COMPUTED_VALUE"""),"dinner")</f>
        <v>dinner</v>
      </c>
      <c r="C929" s="6" t="str">
        <f>IFERROR(__xludf.DUMMYFUNCTION("""COMPUTED_VALUE"""),"employee A")</f>
        <v>employee A</v>
      </c>
      <c r="D929" s="7">
        <f>IFERROR(__xludf.DUMMYFUNCTION("""COMPUTED_VALUE"""),21.0)</f>
        <v>21</v>
      </c>
      <c r="E929" s="6" t="str">
        <f>IFERROR(__xludf.DUMMYFUNCTION("""COMPUTED_VALUE"""),"No")</f>
        <v>No</v>
      </c>
      <c r="F929" s="8" t="str">
        <f>IFERROR(__xludf.DUMMYFUNCTION("""COMPUTED_VALUE"""),"No")</f>
        <v>No</v>
      </c>
    </row>
    <row r="930">
      <c r="A930" s="5">
        <f>IFERROR(__xludf.DUMMYFUNCTION("""COMPUTED_VALUE"""),44763.0)</f>
        <v>44763</v>
      </c>
      <c r="B930" s="6" t="str">
        <f>IFERROR(__xludf.DUMMYFUNCTION("""COMPUTED_VALUE"""),"dinner")</f>
        <v>dinner</v>
      </c>
      <c r="C930" s="6" t="str">
        <f>IFERROR(__xludf.DUMMYFUNCTION("""COMPUTED_VALUE"""),"employee P")</f>
        <v>employee P</v>
      </c>
      <c r="D930" s="7">
        <f>IFERROR(__xludf.DUMMYFUNCTION("""COMPUTED_VALUE"""),33.3)</f>
        <v>33.3</v>
      </c>
      <c r="E930" s="6" t="str">
        <f>IFERROR(__xludf.DUMMYFUNCTION("""COMPUTED_VALUE"""),"No")</f>
        <v>No</v>
      </c>
      <c r="F930" s="8" t="str">
        <f>IFERROR(__xludf.DUMMYFUNCTION("""COMPUTED_VALUE"""),"No")</f>
        <v>No</v>
      </c>
    </row>
    <row r="931">
      <c r="A931" s="5">
        <f>IFERROR(__xludf.DUMMYFUNCTION("""COMPUTED_VALUE"""),44763.0)</f>
        <v>44763</v>
      </c>
      <c r="B931" s="6" t="str">
        <f>IFERROR(__xludf.DUMMYFUNCTION("""COMPUTED_VALUE"""),"dinner")</f>
        <v>dinner</v>
      </c>
      <c r="C931" s="6" t="str">
        <f>IFERROR(__xludf.DUMMYFUNCTION("""COMPUTED_VALUE"""),"employee G")</f>
        <v>employee G</v>
      </c>
      <c r="D931" s="7">
        <f>IFERROR(__xludf.DUMMYFUNCTION("""COMPUTED_VALUE"""),27.0)</f>
        <v>27</v>
      </c>
      <c r="E931" s="6" t="str">
        <f>IFERROR(__xludf.DUMMYFUNCTION("""COMPUTED_VALUE"""),"No")</f>
        <v>No</v>
      </c>
      <c r="F931" s="8" t="str">
        <f>IFERROR(__xludf.DUMMYFUNCTION("""COMPUTED_VALUE"""),"No")</f>
        <v>No</v>
      </c>
    </row>
    <row r="932">
      <c r="A932" s="5">
        <f>IFERROR(__xludf.DUMMYFUNCTION("""COMPUTED_VALUE"""),44764.0)</f>
        <v>44764</v>
      </c>
      <c r="B932" s="6" t="str">
        <f>IFERROR(__xludf.DUMMYFUNCTION("""COMPUTED_VALUE"""),"lunch")</f>
        <v>lunch</v>
      </c>
      <c r="C932" s="6" t="str">
        <f>IFERROR(__xludf.DUMMYFUNCTION("""COMPUTED_VALUE"""),"employee J")</f>
        <v>employee J</v>
      </c>
      <c r="D932" s="7">
        <f>IFERROR(__xludf.DUMMYFUNCTION("""COMPUTED_VALUE"""),109.64)</f>
        <v>109.64</v>
      </c>
      <c r="E932" s="6" t="str">
        <f>IFERROR(__xludf.DUMMYFUNCTION("""COMPUTED_VALUE"""),"No")</f>
        <v>No</v>
      </c>
      <c r="F932" s="8" t="str">
        <f>IFERROR(__xludf.DUMMYFUNCTION("""COMPUTED_VALUE"""),"No")</f>
        <v>No</v>
      </c>
    </row>
    <row r="933">
      <c r="A933" s="5">
        <f>IFERROR(__xludf.DUMMYFUNCTION("""COMPUTED_VALUE"""),44764.0)</f>
        <v>44764</v>
      </c>
      <c r="B933" s="6" t="str">
        <f>IFERROR(__xludf.DUMMYFUNCTION("""COMPUTED_VALUE"""),"lunch")</f>
        <v>lunch</v>
      </c>
      <c r="C933" s="6" t="str">
        <f>IFERROR(__xludf.DUMMYFUNCTION("""COMPUTED_VALUE"""),"employee P")</f>
        <v>employee P</v>
      </c>
      <c r="D933" s="7">
        <f>IFERROR(__xludf.DUMMYFUNCTION("""COMPUTED_VALUE"""),36.55)</f>
        <v>36.55</v>
      </c>
      <c r="E933" s="6" t="str">
        <f>IFERROR(__xludf.DUMMYFUNCTION("""COMPUTED_VALUE"""),"No")</f>
        <v>No</v>
      </c>
      <c r="F933" s="8" t="str">
        <f>IFERROR(__xludf.DUMMYFUNCTION("""COMPUTED_VALUE"""),"No")</f>
        <v>No</v>
      </c>
    </row>
    <row r="934">
      <c r="A934" s="5">
        <f>IFERROR(__xludf.DUMMYFUNCTION("""COMPUTED_VALUE"""),44764.0)</f>
        <v>44764</v>
      </c>
      <c r="B934" s="6" t="str">
        <f>IFERROR(__xludf.DUMMYFUNCTION("""COMPUTED_VALUE"""),"dinner")</f>
        <v>dinner</v>
      </c>
      <c r="C934" s="6" t="str">
        <f>IFERROR(__xludf.DUMMYFUNCTION("""COMPUTED_VALUE"""),"employee J")</f>
        <v>employee J</v>
      </c>
      <c r="D934" s="7">
        <f>IFERROR(__xludf.DUMMYFUNCTION("""COMPUTED_VALUE"""),56.43)</f>
        <v>56.43</v>
      </c>
      <c r="E934" s="6" t="str">
        <f>IFERROR(__xludf.DUMMYFUNCTION("""COMPUTED_VALUE"""),"No")</f>
        <v>No</v>
      </c>
      <c r="F934" s="8" t="str">
        <f>IFERROR(__xludf.DUMMYFUNCTION("""COMPUTED_VALUE"""),"No")</f>
        <v>No</v>
      </c>
    </row>
    <row r="935">
      <c r="A935" s="5">
        <f>IFERROR(__xludf.DUMMYFUNCTION("""COMPUTED_VALUE"""),44764.0)</f>
        <v>44764</v>
      </c>
      <c r="B935" s="6" t="str">
        <f>IFERROR(__xludf.DUMMYFUNCTION("""COMPUTED_VALUE"""),"dinner")</f>
        <v>dinner</v>
      </c>
      <c r="C935" s="6" t="str">
        <f>IFERROR(__xludf.DUMMYFUNCTION("""COMPUTED_VALUE"""),"employee I")</f>
        <v>employee I</v>
      </c>
      <c r="D935" s="7">
        <f>IFERROR(__xludf.DUMMYFUNCTION("""COMPUTED_VALUE"""),56.43)</f>
        <v>56.43</v>
      </c>
      <c r="E935" s="6" t="str">
        <f>IFERROR(__xludf.DUMMYFUNCTION("""COMPUTED_VALUE"""),"No")</f>
        <v>No</v>
      </c>
      <c r="F935" s="8" t="str">
        <f>IFERROR(__xludf.DUMMYFUNCTION("""COMPUTED_VALUE"""),"No")</f>
        <v>No</v>
      </c>
    </row>
    <row r="936">
      <c r="A936" s="5">
        <f>IFERROR(__xludf.DUMMYFUNCTION("""COMPUTED_VALUE"""),44764.0)</f>
        <v>44764</v>
      </c>
      <c r="B936" s="6" t="str">
        <f>IFERROR(__xludf.DUMMYFUNCTION("""COMPUTED_VALUE"""),"dinner")</f>
        <v>dinner</v>
      </c>
      <c r="C936" s="6" t="str">
        <f>IFERROR(__xludf.DUMMYFUNCTION("""COMPUTED_VALUE"""),"employee B")</f>
        <v>employee B</v>
      </c>
      <c r="D936" s="7">
        <f>IFERROR(__xludf.DUMMYFUNCTION("""COMPUTED_VALUE"""),49.56)</f>
        <v>49.56</v>
      </c>
      <c r="E936" s="6" t="str">
        <f>IFERROR(__xludf.DUMMYFUNCTION("""COMPUTED_VALUE"""),"No")</f>
        <v>No</v>
      </c>
      <c r="F936" s="8" t="str">
        <f>IFERROR(__xludf.DUMMYFUNCTION("""COMPUTED_VALUE"""),"No")</f>
        <v>No</v>
      </c>
    </row>
    <row r="937">
      <c r="A937" s="5">
        <f>IFERROR(__xludf.DUMMYFUNCTION("""COMPUTED_VALUE"""),44765.0)</f>
        <v>44765</v>
      </c>
      <c r="B937" s="6" t="str">
        <f>IFERROR(__xludf.DUMMYFUNCTION("""COMPUTED_VALUE"""),"lunch")</f>
        <v>lunch</v>
      </c>
      <c r="C937" s="6" t="str">
        <f>IFERROR(__xludf.DUMMYFUNCTION("""COMPUTED_VALUE"""),"employee B")</f>
        <v>employee B</v>
      </c>
      <c r="D937" s="7">
        <f>IFERROR(__xludf.DUMMYFUNCTION("""COMPUTED_VALUE"""),107.31)</f>
        <v>107.31</v>
      </c>
      <c r="E937" s="6" t="str">
        <f>IFERROR(__xludf.DUMMYFUNCTION("""COMPUTED_VALUE"""),"No")</f>
        <v>No</v>
      </c>
      <c r="F937" s="8" t="str">
        <f>IFERROR(__xludf.DUMMYFUNCTION("""COMPUTED_VALUE"""),"No")</f>
        <v>No</v>
      </c>
    </row>
    <row r="938">
      <c r="A938" s="5">
        <f>IFERROR(__xludf.DUMMYFUNCTION("""COMPUTED_VALUE"""),44765.0)</f>
        <v>44765</v>
      </c>
      <c r="B938" s="6" t="str">
        <f>IFERROR(__xludf.DUMMYFUNCTION("""COMPUTED_VALUE"""),"lunch")</f>
        <v>lunch</v>
      </c>
      <c r="C938" s="6" t="str">
        <f>IFERROR(__xludf.DUMMYFUNCTION("""COMPUTED_VALUE"""),"employee L")</f>
        <v>employee L</v>
      </c>
      <c r="D938" s="7">
        <f>IFERROR(__xludf.DUMMYFUNCTION("""COMPUTED_VALUE"""),76.65)</f>
        <v>76.65</v>
      </c>
      <c r="E938" s="6" t="str">
        <f>IFERROR(__xludf.DUMMYFUNCTION("""COMPUTED_VALUE"""),"No")</f>
        <v>No</v>
      </c>
      <c r="F938" s="8" t="str">
        <f>IFERROR(__xludf.DUMMYFUNCTION("""COMPUTED_VALUE"""),"No")</f>
        <v>No</v>
      </c>
    </row>
    <row r="939">
      <c r="A939" s="5">
        <f>IFERROR(__xludf.DUMMYFUNCTION("""COMPUTED_VALUE"""),44765.0)</f>
        <v>44765</v>
      </c>
      <c r="B939" s="6" t="str">
        <f>IFERROR(__xludf.DUMMYFUNCTION("""COMPUTED_VALUE"""),"lunch")</f>
        <v>lunch</v>
      </c>
      <c r="C939" s="6" t="str">
        <f>IFERROR(__xludf.DUMMYFUNCTION("""COMPUTED_VALUE"""),"employee G")</f>
        <v>employee G</v>
      </c>
      <c r="D939" s="7">
        <f>IFERROR(__xludf.DUMMYFUNCTION("""COMPUTED_VALUE"""),53.71)</f>
        <v>53.71</v>
      </c>
      <c r="E939" s="6" t="str">
        <f>IFERROR(__xludf.DUMMYFUNCTION("""COMPUTED_VALUE"""),"No")</f>
        <v>No</v>
      </c>
      <c r="F939" s="8" t="str">
        <f>IFERROR(__xludf.DUMMYFUNCTION("""COMPUTED_VALUE"""),"No")</f>
        <v>No</v>
      </c>
    </row>
    <row r="940">
      <c r="A940" s="5">
        <f>IFERROR(__xludf.DUMMYFUNCTION("""COMPUTED_VALUE"""),44765.0)</f>
        <v>44765</v>
      </c>
      <c r="B940" s="6" t="str">
        <f>IFERROR(__xludf.DUMMYFUNCTION("""COMPUTED_VALUE"""),"dinner")</f>
        <v>dinner</v>
      </c>
      <c r="C940" s="6" t="str">
        <f>IFERROR(__xludf.DUMMYFUNCTION("""COMPUTED_VALUE"""),"employee L")</f>
        <v>employee L</v>
      </c>
      <c r="D940" s="7">
        <f>IFERROR(__xludf.DUMMYFUNCTION("""COMPUTED_VALUE"""),66.33)</f>
        <v>66.33</v>
      </c>
      <c r="E940" s="6" t="str">
        <f>IFERROR(__xludf.DUMMYFUNCTION("""COMPUTED_VALUE"""),"No")</f>
        <v>No</v>
      </c>
      <c r="F940" s="8" t="str">
        <f>IFERROR(__xludf.DUMMYFUNCTION("""COMPUTED_VALUE"""),"No")</f>
        <v>No</v>
      </c>
    </row>
    <row r="941">
      <c r="A941" s="5">
        <f>IFERROR(__xludf.DUMMYFUNCTION("""COMPUTED_VALUE"""),44765.0)</f>
        <v>44765</v>
      </c>
      <c r="B941" s="6" t="str">
        <f>IFERROR(__xludf.DUMMYFUNCTION("""COMPUTED_VALUE"""),"dinner")</f>
        <v>dinner</v>
      </c>
      <c r="C941" s="6" t="str">
        <f>IFERROR(__xludf.DUMMYFUNCTION("""COMPUTED_VALUE"""),"employee J")</f>
        <v>employee J</v>
      </c>
      <c r="D941" s="7">
        <f>IFERROR(__xludf.DUMMYFUNCTION("""COMPUTED_VALUE"""),66.33)</f>
        <v>66.33</v>
      </c>
      <c r="E941" s="6" t="str">
        <f>IFERROR(__xludf.DUMMYFUNCTION("""COMPUTED_VALUE"""),"No")</f>
        <v>No</v>
      </c>
      <c r="F941" s="8" t="str">
        <f>IFERROR(__xludf.DUMMYFUNCTION("""COMPUTED_VALUE"""),"No")</f>
        <v>No</v>
      </c>
    </row>
    <row r="942">
      <c r="A942" s="5">
        <f>IFERROR(__xludf.DUMMYFUNCTION("""COMPUTED_VALUE"""),44766.0)</f>
        <v>44766</v>
      </c>
      <c r="B942" s="6" t="str">
        <f>IFERROR(__xludf.DUMMYFUNCTION("""COMPUTED_VALUE"""),"lunch")</f>
        <v>lunch</v>
      </c>
      <c r="C942" s="6" t="str">
        <f>IFERROR(__xludf.DUMMYFUNCTION("""COMPUTED_VALUE"""),"employee L")</f>
        <v>employee L</v>
      </c>
      <c r="D942" s="7">
        <f>IFERROR(__xludf.DUMMYFUNCTION("""COMPUTED_VALUE"""),66.51)</f>
        <v>66.51</v>
      </c>
      <c r="E942" s="6" t="str">
        <f>IFERROR(__xludf.DUMMYFUNCTION("""COMPUTED_VALUE"""),"No")</f>
        <v>No</v>
      </c>
      <c r="F942" s="8" t="str">
        <f>IFERROR(__xludf.DUMMYFUNCTION("""COMPUTED_VALUE"""),"No")</f>
        <v>No</v>
      </c>
    </row>
    <row r="943">
      <c r="A943" s="5">
        <f>IFERROR(__xludf.DUMMYFUNCTION("""COMPUTED_VALUE"""),44766.0)</f>
        <v>44766</v>
      </c>
      <c r="B943" s="6" t="str">
        <f>IFERROR(__xludf.DUMMYFUNCTION("""COMPUTED_VALUE"""),"lunch")</f>
        <v>lunch</v>
      </c>
      <c r="C943" s="6" t="str">
        <f>IFERROR(__xludf.DUMMYFUNCTION("""COMPUTED_VALUE"""),"employee B")</f>
        <v>employee B</v>
      </c>
      <c r="D943" s="7">
        <f>IFERROR(__xludf.DUMMYFUNCTION("""COMPUTED_VALUE"""),57.01)</f>
        <v>57.01</v>
      </c>
      <c r="E943" s="6" t="str">
        <f>IFERROR(__xludf.DUMMYFUNCTION("""COMPUTED_VALUE"""),"No")</f>
        <v>No</v>
      </c>
      <c r="F943" s="8" t="str">
        <f>IFERROR(__xludf.DUMMYFUNCTION("""COMPUTED_VALUE"""),"No")</f>
        <v>No</v>
      </c>
    </row>
    <row r="944">
      <c r="A944" s="5">
        <f>IFERROR(__xludf.DUMMYFUNCTION("""COMPUTED_VALUE"""),44766.0)</f>
        <v>44766</v>
      </c>
      <c r="B944" s="6" t="str">
        <f>IFERROR(__xludf.DUMMYFUNCTION("""COMPUTED_VALUE"""),"lunch")</f>
        <v>lunch</v>
      </c>
      <c r="C944" s="6" t="str">
        <f>IFERROR(__xludf.DUMMYFUNCTION("""COMPUTED_VALUE"""),"employee J")</f>
        <v>employee J</v>
      </c>
      <c r="D944" s="7">
        <f>IFERROR(__xludf.DUMMYFUNCTION("""COMPUTED_VALUE"""),63.35)</f>
        <v>63.35</v>
      </c>
      <c r="E944" s="6" t="str">
        <f>IFERROR(__xludf.DUMMYFUNCTION("""COMPUTED_VALUE"""),"No")</f>
        <v>No</v>
      </c>
      <c r="F944" s="8" t="str">
        <f>IFERROR(__xludf.DUMMYFUNCTION("""COMPUTED_VALUE"""),"No")</f>
        <v>No</v>
      </c>
    </row>
    <row r="945">
      <c r="A945" s="5">
        <f>IFERROR(__xludf.DUMMYFUNCTION("""COMPUTED_VALUE"""),44766.0)</f>
        <v>44766</v>
      </c>
      <c r="B945" s="6" t="str">
        <f>IFERROR(__xludf.DUMMYFUNCTION("""COMPUTED_VALUE"""),"dinner")</f>
        <v>dinner</v>
      </c>
      <c r="C945" s="6" t="str">
        <f>IFERROR(__xludf.DUMMYFUNCTION("""COMPUTED_VALUE"""),"employee L")</f>
        <v>employee L</v>
      </c>
      <c r="D945" s="7">
        <f>IFERROR(__xludf.DUMMYFUNCTION("""COMPUTED_VALUE"""),63.37)</f>
        <v>63.37</v>
      </c>
      <c r="E945" s="6" t="str">
        <f>IFERROR(__xludf.DUMMYFUNCTION("""COMPUTED_VALUE"""),"No")</f>
        <v>No</v>
      </c>
      <c r="F945" s="8" t="str">
        <f>IFERROR(__xludf.DUMMYFUNCTION("""COMPUTED_VALUE"""),"No")</f>
        <v>No</v>
      </c>
    </row>
    <row r="946">
      <c r="A946" s="5">
        <f>IFERROR(__xludf.DUMMYFUNCTION("""COMPUTED_VALUE"""),44766.0)</f>
        <v>44766</v>
      </c>
      <c r="B946" s="6" t="str">
        <f>IFERROR(__xludf.DUMMYFUNCTION("""COMPUTED_VALUE"""),"dinner")</f>
        <v>dinner</v>
      </c>
      <c r="C946" s="6" t="str">
        <f>IFERROR(__xludf.DUMMYFUNCTION("""COMPUTED_VALUE"""),"employee G")</f>
        <v>employee G</v>
      </c>
      <c r="D946" s="7">
        <f>IFERROR(__xludf.DUMMYFUNCTION("""COMPUTED_VALUE"""),63.37)</f>
        <v>63.37</v>
      </c>
      <c r="E946" s="6" t="str">
        <f>IFERROR(__xludf.DUMMYFUNCTION("""COMPUTED_VALUE"""),"No")</f>
        <v>No</v>
      </c>
      <c r="F946" s="8" t="str">
        <f>IFERROR(__xludf.DUMMYFUNCTION("""COMPUTED_VALUE"""),"No")</f>
        <v>No</v>
      </c>
    </row>
    <row r="947">
      <c r="A947" s="5">
        <f>IFERROR(__xludf.DUMMYFUNCTION("""COMPUTED_VALUE"""),44766.0)</f>
        <v>44766</v>
      </c>
      <c r="B947" s="6" t="str">
        <f>IFERROR(__xludf.DUMMYFUNCTION("""COMPUTED_VALUE"""),"dinner")</f>
        <v>dinner</v>
      </c>
      <c r="C947" s="6" t="str">
        <f>IFERROR(__xludf.DUMMYFUNCTION("""COMPUTED_VALUE"""),"employee P")</f>
        <v>employee P</v>
      </c>
      <c r="D947" s="7">
        <f>IFERROR(__xludf.DUMMYFUNCTION("""COMPUTED_VALUE"""),35.22)</f>
        <v>35.22</v>
      </c>
      <c r="E947" s="6" t="str">
        <f>IFERROR(__xludf.DUMMYFUNCTION("""COMPUTED_VALUE"""),"No")</f>
        <v>No</v>
      </c>
      <c r="F947" s="8" t="str">
        <f>IFERROR(__xludf.DUMMYFUNCTION("""COMPUTED_VALUE"""),"No")</f>
        <v>No</v>
      </c>
    </row>
    <row r="948">
      <c r="A948" s="5">
        <f>IFERROR(__xludf.DUMMYFUNCTION("""COMPUTED_VALUE"""),44767.0)</f>
        <v>44767</v>
      </c>
      <c r="B948" s="6" t="str">
        <f>IFERROR(__xludf.DUMMYFUNCTION("""COMPUTED_VALUE"""),"lunch")</f>
        <v>lunch</v>
      </c>
      <c r="C948" s="6" t="str">
        <f>IFERROR(__xludf.DUMMYFUNCTION("""COMPUTED_VALUE"""),"employee A")</f>
        <v>employee A</v>
      </c>
      <c r="D948" s="7">
        <f>IFERROR(__xludf.DUMMYFUNCTION("""COMPUTED_VALUE"""),127.72)</f>
        <v>127.72</v>
      </c>
      <c r="E948" s="6" t="str">
        <f>IFERROR(__xludf.DUMMYFUNCTION("""COMPUTED_VALUE"""),"No")</f>
        <v>No</v>
      </c>
      <c r="F948" s="8" t="str">
        <f>IFERROR(__xludf.DUMMYFUNCTION("""COMPUTED_VALUE"""),"No")</f>
        <v>No</v>
      </c>
    </row>
    <row r="949">
      <c r="A949" s="5">
        <f>IFERROR(__xludf.DUMMYFUNCTION("""COMPUTED_VALUE"""),44767.0)</f>
        <v>44767</v>
      </c>
      <c r="B949" s="6" t="str">
        <f>IFERROR(__xludf.DUMMYFUNCTION("""COMPUTED_VALUE"""),"dinner")</f>
        <v>dinner</v>
      </c>
      <c r="C949" s="6" t="str">
        <f>IFERROR(__xludf.DUMMYFUNCTION("""COMPUTED_VALUE"""),"employee A")</f>
        <v>employee A</v>
      </c>
      <c r="D949" s="7">
        <f>IFERROR(__xludf.DUMMYFUNCTION("""COMPUTED_VALUE"""),85.05)</f>
        <v>85.05</v>
      </c>
      <c r="E949" s="6" t="str">
        <f>IFERROR(__xludf.DUMMYFUNCTION("""COMPUTED_VALUE"""),"No")</f>
        <v>No</v>
      </c>
      <c r="F949" s="8" t="str">
        <f>IFERROR(__xludf.DUMMYFUNCTION("""COMPUTED_VALUE"""),"No")</f>
        <v>No</v>
      </c>
    </row>
    <row r="950">
      <c r="A950" s="5">
        <f>IFERROR(__xludf.DUMMYFUNCTION("""COMPUTED_VALUE"""),44767.0)</f>
        <v>44767</v>
      </c>
      <c r="B950" s="6" t="str">
        <f>IFERROR(__xludf.DUMMYFUNCTION("""COMPUTED_VALUE"""),"dinner")</f>
        <v>dinner</v>
      </c>
      <c r="C950" s="6" t="str">
        <f>IFERROR(__xludf.DUMMYFUNCTION("""COMPUTED_VALUE"""),"employee I")</f>
        <v>employee I</v>
      </c>
      <c r="D950" s="7">
        <f>IFERROR(__xludf.DUMMYFUNCTION("""COMPUTED_VALUE"""),66.15)</f>
        <v>66.15</v>
      </c>
      <c r="E950" s="6" t="str">
        <f>IFERROR(__xludf.DUMMYFUNCTION("""COMPUTED_VALUE"""),"No")</f>
        <v>No</v>
      </c>
      <c r="F950" s="8" t="str">
        <f>IFERROR(__xludf.DUMMYFUNCTION("""COMPUTED_VALUE"""),"No")</f>
        <v>No</v>
      </c>
    </row>
    <row r="951">
      <c r="A951" s="5">
        <f>IFERROR(__xludf.DUMMYFUNCTION("""COMPUTED_VALUE"""),44768.0)</f>
        <v>44768</v>
      </c>
      <c r="B951" s="6" t="str">
        <f>IFERROR(__xludf.DUMMYFUNCTION("""COMPUTED_VALUE"""),"lunch")</f>
        <v>lunch</v>
      </c>
      <c r="C951" s="6" t="str">
        <f>IFERROR(__xludf.DUMMYFUNCTION("""COMPUTED_VALUE"""),"employee A")</f>
        <v>employee A</v>
      </c>
      <c r="D951" s="7">
        <f>IFERROR(__xludf.DUMMYFUNCTION("""COMPUTED_VALUE"""),50.14)</f>
        <v>50.14</v>
      </c>
      <c r="E951" s="6" t="str">
        <f>IFERROR(__xludf.DUMMYFUNCTION("""COMPUTED_VALUE"""),"No")</f>
        <v>No</v>
      </c>
      <c r="F951" s="8" t="str">
        <f>IFERROR(__xludf.DUMMYFUNCTION("""COMPUTED_VALUE"""),"No")</f>
        <v>No</v>
      </c>
    </row>
    <row r="952">
      <c r="A952" s="5">
        <f>IFERROR(__xludf.DUMMYFUNCTION("""COMPUTED_VALUE"""),44768.0)</f>
        <v>44768</v>
      </c>
      <c r="B952" s="6" t="str">
        <f>IFERROR(__xludf.DUMMYFUNCTION("""COMPUTED_VALUE"""),"dinner")</f>
        <v>dinner</v>
      </c>
      <c r="C952" s="6" t="str">
        <f>IFERROR(__xludf.DUMMYFUNCTION("""COMPUTED_VALUE"""),"employee J")</f>
        <v>employee J</v>
      </c>
      <c r="D952" s="7">
        <f>IFERROR(__xludf.DUMMYFUNCTION("""COMPUTED_VALUE"""),78.41)</f>
        <v>78.41</v>
      </c>
      <c r="E952" s="6" t="str">
        <f>IFERROR(__xludf.DUMMYFUNCTION("""COMPUTED_VALUE"""),"No")</f>
        <v>No</v>
      </c>
      <c r="F952" s="8" t="str">
        <f>IFERROR(__xludf.DUMMYFUNCTION("""COMPUTED_VALUE"""),"No")</f>
        <v>No</v>
      </c>
    </row>
    <row r="953">
      <c r="A953" s="5">
        <f>IFERROR(__xludf.DUMMYFUNCTION("""COMPUTED_VALUE"""),44768.0)</f>
        <v>44768</v>
      </c>
      <c r="B953" s="6" t="str">
        <f>IFERROR(__xludf.DUMMYFUNCTION("""COMPUTED_VALUE"""),"dinner")</f>
        <v>dinner</v>
      </c>
      <c r="C953" s="6" t="str">
        <f>IFERROR(__xludf.DUMMYFUNCTION("""COMPUTED_VALUE"""),"employee P")</f>
        <v>employee P</v>
      </c>
      <c r="D953" s="7">
        <f>IFERROR(__xludf.DUMMYFUNCTION("""COMPUTED_VALUE"""),78.41)</f>
        <v>78.41</v>
      </c>
      <c r="E953" s="6" t="str">
        <f>IFERROR(__xludf.DUMMYFUNCTION("""COMPUTED_VALUE"""),"No")</f>
        <v>No</v>
      </c>
      <c r="F953" s="8" t="str">
        <f>IFERROR(__xludf.DUMMYFUNCTION("""COMPUTED_VALUE"""),"No")</f>
        <v>No</v>
      </c>
    </row>
    <row r="954">
      <c r="A954" s="5">
        <f>IFERROR(__xludf.DUMMYFUNCTION("""COMPUTED_VALUE"""),44769.0)</f>
        <v>44769</v>
      </c>
      <c r="B954" s="6" t="str">
        <f>IFERROR(__xludf.DUMMYFUNCTION("""COMPUTED_VALUE"""),"lunch")</f>
        <v>lunch</v>
      </c>
      <c r="C954" s="6" t="str">
        <f>IFERROR(__xludf.DUMMYFUNCTION("""COMPUTED_VALUE"""),"employee J")</f>
        <v>employee J</v>
      </c>
      <c r="D954" s="7">
        <f>IFERROR(__xludf.DUMMYFUNCTION("""COMPUTED_VALUE"""),54.8)</f>
        <v>54.8</v>
      </c>
      <c r="E954" s="6" t="str">
        <f>IFERROR(__xludf.DUMMYFUNCTION("""COMPUTED_VALUE"""),"No")</f>
        <v>No</v>
      </c>
      <c r="F954" s="8" t="str">
        <f>IFERROR(__xludf.DUMMYFUNCTION("""COMPUTED_VALUE"""),"No")</f>
        <v>No</v>
      </c>
    </row>
    <row r="955">
      <c r="A955" s="5">
        <f>IFERROR(__xludf.DUMMYFUNCTION("""COMPUTED_VALUE"""),44769.0)</f>
        <v>44769</v>
      </c>
      <c r="B955" s="6" t="str">
        <f>IFERROR(__xludf.DUMMYFUNCTION("""COMPUTED_VALUE"""),"dinner")</f>
        <v>dinner</v>
      </c>
      <c r="C955" s="6" t="str">
        <f>IFERROR(__xludf.DUMMYFUNCTION("""COMPUTED_VALUE"""),"employee J")</f>
        <v>employee J</v>
      </c>
      <c r="D955" s="7">
        <f>IFERROR(__xludf.DUMMYFUNCTION("""COMPUTED_VALUE"""),60.48)</f>
        <v>60.48</v>
      </c>
      <c r="E955" s="6" t="str">
        <f>IFERROR(__xludf.DUMMYFUNCTION("""COMPUTED_VALUE"""),"No")</f>
        <v>No</v>
      </c>
      <c r="F955" s="8" t="str">
        <f>IFERROR(__xludf.DUMMYFUNCTION("""COMPUTED_VALUE"""),"No")</f>
        <v>No</v>
      </c>
    </row>
    <row r="956">
      <c r="A956" s="5">
        <f>IFERROR(__xludf.DUMMYFUNCTION("""COMPUTED_VALUE"""),44769.0)</f>
        <v>44769</v>
      </c>
      <c r="B956" s="6" t="str">
        <f>IFERROR(__xludf.DUMMYFUNCTION("""COMPUTED_VALUE"""),"dinner")</f>
        <v>dinner</v>
      </c>
      <c r="C956" s="6" t="str">
        <f>IFERROR(__xludf.DUMMYFUNCTION("""COMPUTED_VALUE"""),"employee P")</f>
        <v>employee P</v>
      </c>
      <c r="D956" s="7">
        <f>IFERROR(__xludf.DUMMYFUNCTION("""COMPUTED_VALUE"""),68.08)</f>
        <v>68.08</v>
      </c>
      <c r="E956" s="6" t="str">
        <f>IFERROR(__xludf.DUMMYFUNCTION("""COMPUTED_VALUE"""),"No")</f>
        <v>No</v>
      </c>
      <c r="F956" s="8" t="str">
        <f>IFERROR(__xludf.DUMMYFUNCTION("""COMPUTED_VALUE"""),"No")</f>
        <v>No</v>
      </c>
    </row>
    <row r="957">
      <c r="A957" s="5">
        <f>IFERROR(__xludf.DUMMYFUNCTION("""COMPUTED_VALUE"""),44770.0)</f>
        <v>44770</v>
      </c>
      <c r="B957" s="6" t="str">
        <f>IFERROR(__xludf.DUMMYFUNCTION("""COMPUTED_VALUE"""),"lunch")</f>
        <v>lunch</v>
      </c>
      <c r="C957" s="6" t="str">
        <f>IFERROR(__xludf.DUMMYFUNCTION("""COMPUTED_VALUE"""),"employee L")</f>
        <v>employee L</v>
      </c>
      <c r="D957" s="7">
        <f>IFERROR(__xludf.DUMMYFUNCTION("""COMPUTED_VALUE"""),50.65)</f>
        <v>50.65</v>
      </c>
      <c r="E957" s="6" t="str">
        <f>IFERROR(__xludf.DUMMYFUNCTION("""COMPUTED_VALUE"""),"No")</f>
        <v>No</v>
      </c>
      <c r="F957" s="8" t="str">
        <f>IFERROR(__xludf.DUMMYFUNCTION("""COMPUTED_VALUE"""),"No")</f>
        <v>No</v>
      </c>
    </row>
    <row r="958">
      <c r="A958" s="5">
        <f>IFERROR(__xludf.DUMMYFUNCTION("""COMPUTED_VALUE"""),44770.0)</f>
        <v>44770</v>
      </c>
      <c r="B958" s="6" t="str">
        <f>IFERROR(__xludf.DUMMYFUNCTION("""COMPUTED_VALUE"""),"dinner")</f>
        <v>dinner</v>
      </c>
      <c r="C958" s="6" t="str">
        <f>IFERROR(__xludf.DUMMYFUNCTION("""COMPUTED_VALUE"""),"employee L")</f>
        <v>employee L</v>
      </c>
      <c r="D958" s="7">
        <f>IFERROR(__xludf.DUMMYFUNCTION("""COMPUTED_VALUE"""),66.55)</f>
        <v>66.55</v>
      </c>
      <c r="E958" s="6" t="str">
        <f>IFERROR(__xludf.DUMMYFUNCTION("""COMPUTED_VALUE"""),"No")</f>
        <v>No</v>
      </c>
      <c r="F958" s="8" t="str">
        <f>IFERROR(__xludf.DUMMYFUNCTION("""COMPUTED_VALUE"""),"No")</f>
        <v>No</v>
      </c>
    </row>
    <row r="959">
      <c r="A959" s="5">
        <f>IFERROR(__xludf.DUMMYFUNCTION("""COMPUTED_VALUE"""),44770.0)</f>
        <v>44770</v>
      </c>
      <c r="B959" s="6" t="str">
        <f>IFERROR(__xludf.DUMMYFUNCTION("""COMPUTED_VALUE"""),"dinner")</f>
        <v>dinner</v>
      </c>
      <c r="C959" s="6" t="str">
        <f>IFERROR(__xludf.DUMMYFUNCTION("""COMPUTED_VALUE"""),"employee I")</f>
        <v>employee I</v>
      </c>
      <c r="D959" s="7">
        <f>IFERROR(__xludf.DUMMYFUNCTION("""COMPUTED_VALUE"""),103.53)</f>
        <v>103.53</v>
      </c>
      <c r="E959" s="6" t="str">
        <f>IFERROR(__xludf.DUMMYFUNCTION("""COMPUTED_VALUE"""),"No")</f>
        <v>No</v>
      </c>
      <c r="F959" s="8" t="str">
        <f>IFERROR(__xludf.DUMMYFUNCTION("""COMPUTED_VALUE"""),"No")</f>
        <v>No</v>
      </c>
    </row>
    <row r="960">
      <c r="A960" s="5">
        <f>IFERROR(__xludf.DUMMYFUNCTION("""COMPUTED_VALUE"""),44771.0)</f>
        <v>44771</v>
      </c>
      <c r="B960" s="6" t="str">
        <f>IFERROR(__xludf.DUMMYFUNCTION("""COMPUTED_VALUE"""),"lunch")</f>
        <v>lunch</v>
      </c>
      <c r="C960" s="6" t="str">
        <f>IFERROR(__xludf.DUMMYFUNCTION("""COMPUTED_VALUE"""),"employee A")</f>
        <v>employee A</v>
      </c>
      <c r="D960" s="7">
        <f>IFERROR(__xludf.DUMMYFUNCTION("""COMPUTED_VALUE"""),101.65)</f>
        <v>101.65</v>
      </c>
      <c r="E960" s="6" t="str">
        <f>IFERROR(__xludf.DUMMYFUNCTION("""COMPUTED_VALUE"""),"No")</f>
        <v>No</v>
      </c>
      <c r="F960" s="8" t="str">
        <f>IFERROR(__xludf.DUMMYFUNCTION("""COMPUTED_VALUE"""),"No")</f>
        <v>No</v>
      </c>
    </row>
    <row r="961">
      <c r="A961" s="5">
        <f>IFERROR(__xludf.DUMMYFUNCTION("""COMPUTED_VALUE"""),44771.0)</f>
        <v>44771</v>
      </c>
      <c r="B961" s="6" t="str">
        <f>IFERROR(__xludf.DUMMYFUNCTION("""COMPUTED_VALUE"""),"dinner")</f>
        <v>dinner</v>
      </c>
      <c r="C961" s="6" t="str">
        <f>IFERROR(__xludf.DUMMYFUNCTION("""COMPUTED_VALUE"""),"employee A")</f>
        <v>employee A</v>
      </c>
      <c r="D961" s="7">
        <f>IFERROR(__xludf.DUMMYFUNCTION("""COMPUTED_VALUE"""),46.87)</f>
        <v>46.87</v>
      </c>
      <c r="E961" s="6" t="str">
        <f>IFERROR(__xludf.DUMMYFUNCTION("""COMPUTED_VALUE"""),"No")</f>
        <v>No</v>
      </c>
      <c r="F961" s="8" t="str">
        <f>IFERROR(__xludf.DUMMYFUNCTION("""COMPUTED_VALUE"""),"No")</f>
        <v>No</v>
      </c>
    </row>
    <row r="962">
      <c r="A962" s="5">
        <f>IFERROR(__xludf.DUMMYFUNCTION("""COMPUTED_VALUE"""),44771.0)</f>
        <v>44771</v>
      </c>
      <c r="B962" s="6" t="str">
        <f>IFERROR(__xludf.DUMMYFUNCTION("""COMPUTED_VALUE"""),"dinner")</f>
        <v>dinner</v>
      </c>
      <c r="C962" s="6" t="str">
        <f>IFERROR(__xludf.DUMMYFUNCTION("""COMPUTED_VALUE"""),"employee B")</f>
        <v>employee B</v>
      </c>
      <c r="D962" s="7">
        <f>IFERROR(__xludf.DUMMYFUNCTION("""COMPUTED_VALUE"""),70.38)</f>
        <v>70.38</v>
      </c>
      <c r="E962" s="6" t="str">
        <f>IFERROR(__xludf.DUMMYFUNCTION("""COMPUTED_VALUE"""),"No")</f>
        <v>No</v>
      </c>
      <c r="F962" s="8" t="str">
        <f>IFERROR(__xludf.DUMMYFUNCTION("""COMPUTED_VALUE"""),"No")</f>
        <v>No</v>
      </c>
    </row>
    <row r="963">
      <c r="A963" s="5">
        <f>IFERROR(__xludf.DUMMYFUNCTION("""COMPUTED_VALUE"""),44771.0)</f>
        <v>44771</v>
      </c>
      <c r="B963" s="6" t="str">
        <f>IFERROR(__xludf.DUMMYFUNCTION("""COMPUTED_VALUE"""),"dinner")</f>
        <v>dinner</v>
      </c>
      <c r="C963" s="6" t="str">
        <f>IFERROR(__xludf.DUMMYFUNCTION("""COMPUTED_VALUE"""),"employee I")</f>
        <v>employee I</v>
      </c>
      <c r="D963" s="7">
        <f>IFERROR(__xludf.DUMMYFUNCTION("""COMPUTED_VALUE"""),54.74)</f>
        <v>54.74</v>
      </c>
      <c r="E963" s="6" t="str">
        <f>IFERROR(__xludf.DUMMYFUNCTION("""COMPUTED_VALUE"""),"No")</f>
        <v>No</v>
      </c>
      <c r="F963" s="8" t="str">
        <f>IFERROR(__xludf.DUMMYFUNCTION("""COMPUTED_VALUE"""),"No")</f>
        <v>No</v>
      </c>
    </row>
    <row r="964">
      <c r="A964" s="5">
        <f>IFERROR(__xludf.DUMMYFUNCTION("""COMPUTED_VALUE"""),44772.0)</f>
        <v>44772</v>
      </c>
      <c r="B964" s="6" t="str">
        <f>IFERROR(__xludf.DUMMYFUNCTION("""COMPUTED_VALUE"""),"lunch")</f>
        <v>lunch</v>
      </c>
      <c r="C964" s="6" t="str">
        <f>IFERROR(__xludf.DUMMYFUNCTION("""COMPUTED_VALUE"""),"employee B")</f>
        <v>employee B</v>
      </c>
      <c r="D964" s="7">
        <f>IFERROR(__xludf.DUMMYFUNCTION("""COMPUTED_VALUE"""),110.11)</f>
        <v>110.11</v>
      </c>
      <c r="E964" s="6" t="str">
        <f>IFERROR(__xludf.DUMMYFUNCTION("""COMPUTED_VALUE"""),"No")</f>
        <v>No</v>
      </c>
      <c r="F964" s="8" t="str">
        <f>IFERROR(__xludf.DUMMYFUNCTION("""COMPUTED_VALUE"""),"No")</f>
        <v>No</v>
      </c>
    </row>
    <row r="965">
      <c r="A965" s="5">
        <f>IFERROR(__xludf.DUMMYFUNCTION("""COMPUTED_VALUE"""),44772.0)</f>
        <v>44772</v>
      </c>
      <c r="B965" s="6" t="str">
        <f>IFERROR(__xludf.DUMMYFUNCTION("""COMPUTED_VALUE"""),"lunch")</f>
        <v>lunch</v>
      </c>
      <c r="C965" s="6" t="str">
        <f>IFERROR(__xludf.DUMMYFUNCTION("""COMPUTED_VALUE"""),"employee L")</f>
        <v>employee L</v>
      </c>
      <c r="D965" s="7">
        <f>IFERROR(__xludf.DUMMYFUNCTION("""COMPUTED_VALUE"""),62.92)</f>
        <v>62.92</v>
      </c>
      <c r="E965" s="6" t="str">
        <f>IFERROR(__xludf.DUMMYFUNCTION("""COMPUTED_VALUE"""),"No")</f>
        <v>No</v>
      </c>
      <c r="F965" s="8" t="str">
        <f>IFERROR(__xludf.DUMMYFUNCTION("""COMPUTED_VALUE"""),"No")</f>
        <v>No</v>
      </c>
    </row>
    <row r="966">
      <c r="A966" s="5">
        <f>IFERROR(__xludf.DUMMYFUNCTION("""COMPUTED_VALUE"""),44772.0)</f>
        <v>44772</v>
      </c>
      <c r="B966" s="6" t="str">
        <f>IFERROR(__xludf.DUMMYFUNCTION("""COMPUTED_VALUE"""),"lunch")</f>
        <v>lunch</v>
      </c>
      <c r="C966" s="6" t="str">
        <f>IFERROR(__xludf.DUMMYFUNCTION("""COMPUTED_VALUE"""),"employee G")</f>
        <v>employee G</v>
      </c>
      <c r="D966" s="7">
        <f>IFERROR(__xludf.DUMMYFUNCTION("""COMPUTED_VALUE"""),39.33)</f>
        <v>39.33</v>
      </c>
      <c r="E966" s="6" t="str">
        <f>IFERROR(__xludf.DUMMYFUNCTION("""COMPUTED_VALUE"""),"No")</f>
        <v>No</v>
      </c>
      <c r="F966" s="8" t="str">
        <f>IFERROR(__xludf.DUMMYFUNCTION("""COMPUTED_VALUE"""),"No")</f>
        <v>No</v>
      </c>
    </row>
    <row r="967">
      <c r="A967" s="5">
        <f>IFERROR(__xludf.DUMMYFUNCTION("""COMPUTED_VALUE"""),44772.0)</f>
        <v>44772</v>
      </c>
      <c r="B967" s="6" t="str">
        <f>IFERROR(__xludf.DUMMYFUNCTION("""COMPUTED_VALUE"""),"dinner")</f>
        <v>dinner</v>
      </c>
      <c r="C967" s="6" t="str">
        <f>IFERROR(__xludf.DUMMYFUNCTION("""COMPUTED_VALUE"""),"employee B")</f>
        <v>employee B</v>
      </c>
      <c r="D967" s="7">
        <f>IFERROR(__xludf.DUMMYFUNCTION("""COMPUTED_VALUE"""),64.59)</f>
        <v>64.59</v>
      </c>
      <c r="E967" s="6" t="str">
        <f>IFERROR(__xludf.DUMMYFUNCTION("""COMPUTED_VALUE"""),"No")</f>
        <v>No</v>
      </c>
      <c r="F967" s="8" t="str">
        <f>IFERROR(__xludf.DUMMYFUNCTION("""COMPUTED_VALUE"""),"No")</f>
        <v>No</v>
      </c>
    </row>
    <row r="968">
      <c r="A968" s="5">
        <f>IFERROR(__xludf.DUMMYFUNCTION("""COMPUTED_VALUE"""),44772.0)</f>
        <v>44772</v>
      </c>
      <c r="B968" s="6" t="str">
        <f>IFERROR(__xludf.DUMMYFUNCTION("""COMPUTED_VALUE"""),"dinner")</f>
        <v>dinner</v>
      </c>
      <c r="C968" s="6" t="str">
        <f>IFERROR(__xludf.DUMMYFUNCTION("""COMPUTED_VALUE"""),"employee L")</f>
        <v>employee L</v>
      </c>
      <c r="D968" s="7">
        <f>IFERROR(__xludf.DUMMYFUNCTION("""COMPUTED_VALUE"""),64.59)</f>
        <v>64.59</v>
      </c>
      <c r="E968" s="6" t="str">
        <f>IFERROR(__xludf.DUMMYFUNCTION("""COMPUTED_VALUE"""),"No")</f>
        <v>No</v>
      </c>
      <c r="F968" s="8" t="str">
        <f>IFERROR(__xludf.DUMMYFUNCTION("""COMPUTED_VALUE"""),"No")</f>
        <v>No</v>
      </c>
    </row>
    <row r="969">
      <c r="A969" s="5">
        <f>IFERROR(__xludf.DUMMYFUNCTION("""COMPUTED_VALUE"""),44773.0)</f>
        <v>44773</v>
      </c>
      <c r="B969" s="6" t="str">
        <f>IFERROR(__xludf.DUMMYFUNCTION("""COMPUTED_VALUE"""),"lunch")</f>
        <v>lunch</v>
      </c>
      <c r="C969" s="6" t="str">
        <f>IFERROR(__xludf.DUMMYFUNCTION("""COMPUTED_VALUE"""),"employee L")</f>
        <v>employee L</v>
      </c>
      <c r="D969" s="7">
        <f>IFERROR(__xludf.DUMMYFUNCTION("""COMPUTED_VALUE"""),98.27)</f>
        <v>98.27</v>
      </c>
      <c r="E969" s="6" t="str">
        <f>IFERROR(__xludf.DUMMYFUNCTION("""COMPUTED_VALUE"""),"No")</f>
        <v>No</v>
      </c>
      <c r="F969" s="8" t="str">
        <f>IFERROR(__xludf.DUMMYFUNCTION("""COMPUTED_VALUE"""),"No")</f>
        <v>No</v>
      </c>
    </row>
    <row r="970">
      <c r="A970" s="5">
        <f>IFERROR(__xludf.DUMMYFUNCTION("""COMPUTED_VALUE"""),44773.0)</f>
        <v>44773</v>
      </c>
      <c r="B970" s="6" t="str">
        <f>IFERROR(__xludf.DUMMYFUNCTION("""COMPUTED_VALUE"""),"lunch")</f>
        <v>lunch</v>
      </c>
      <c r="C970" s="6" t="str">
        <f>IFERROR(__xludf.DUMMYFUNCTION("""COMPUTED_VALUE"""),"employee B")</f>
        <v>employee B</v>
      </c>
      <c r="D970" s="7">
        <f>IFERROR(__xludf.DUMMYFUNCTION("""COMPUTED_VALUE"""),59.65)</f>
        <v>59.65</v>
      </c>
      <c r="E970" s="6" t="str">
        <f>IFERROR(__xludf.DUMMYFUNCTION("""COMPUTED_VALUE"""),"No")</f>
        <v>No</v>
      </c>
      <c r="F970" s="8" t="str">
        <f>IFERROR(__xludf.DUMMYFUNCTION("""COMPUTED_VALUE"""),"No")</f>
        <v>No</v>
      </c>
    </row>
    <row r="971">
      <c r="A971" s="5">
        <f>IFERROR(__xludf.DUMMYFUNCTION("""COMPUTED_VALUE"""),44773.0)</f>
        <v>44773</v>
      </c>
      <c r="B971" s="6" t="str">
        <f>IFERROR(__xludf.DUMMYFUNCTION("""COMPUTED_VALUE"""),"lunch")</f>
        <v>lunch</v>
      </c>
      <c r="C971" s="6" t="str">
        <f>IFERROR(__xludf.DUMMYFUNCTION("""COMPUTED_VALUE"""),"employee G")</f>
        <v>employee G</v>
      </c>
      <c r="D971" s="7">
        <f>IFERROR(__xludf.DUMMYFUNCTION("""COMPUTED_VALUE"""),70.18)</f>
        <v>70.18</v>
      </c>
      <c r="E971" s="6" t="str">
        <f>IFERROR(__xludf.DUMMYFUNCTION("""COMPUTED_VALUE"""),"No")</f>
        <v>No</v>
      </c>
      <c r="F971" s="8" t="str">
        <f>IFERROR(__xludf.DUMMYFUNCTION("""COMPUTED_VALUE"""),"No")</f>
        <v>No</v>
      </c>
    </row>
    <row r="972">
      <c r="A972" s="5">
        <f>IFERROR(__xludf.DUMMYFUNCTION("""COMPUTED_VALUE"""),44773.0)</f>
        <v>44773</v>
      </c>
      <c r="B972" s="6" t="str">
        <f>IFERROR(__xludf.DUMMYFUNCTION("""COMPUTED_VALUE"""),"dinner")</f>
        <v>dinner</v>
      </c>
      <c r="C972" s="6" t="str">
        <f>IFERROR(__xludf.DUMMYFUNCTION("""COMPUTED_VALUE"""),"employee L")</f>
        <v>employee L</v>
      </c>
      <c r="D972" s="7">
        <f>IFERROR(__xludf.DUMMYFUNCTION("""COMPUTED_VALUE"""),101.65)</f>
        <v>101.65</v>
      </c>
      <c r="E972" s="6" t="str">
        <f>IFERROR(__xludf.DUMMYFUNCTION("""COMPUTED_VALUE"""),"No")</f>
        <v>No</v>
      </c>
      <c r="F972" s="8" t="str">
        <f>IFERROR(__xludf.DUMMYFUNCTION("""COMPUTED_VALUE"""),"No")</f>
        <v>No</v>
      </c>
    </row>
    <row r="973">
      <c r="A973" s="5">
        <f>IFERROR(__xludf.DUMMYFUNCTION("""COMPUTED_VALUE"""),44773.0)</f>
        <v>44773</v>
      </c>
      <c r="B973" s="6" t="str">
        <f>IFERROR(__xludf.DUMMYFUNCTION("""COMPUTED_VALUE"""),"dinner")</f>
        <v>dinner</v>
      </c>
      <c r="C973" s="6" t="str">
        <f>IFERROR(__xludf.DUMMYFUNCTION("""COMPUTED_VALUE"""),"employee B")</f>
        <v>employee B</v>
      </c>
      <c r="D973" s="7">
        <f>IFERROR(__xludf.DUMMYFUNCTION("""COMPUTED_VALUE"""),79.1)</f>
        <v>79.1</v>
      </c>
      <c r="E973" s="6" t="str">
        <f>IFERROR(__xludf.DUMMYFUNCTION("""COMPUTED_VALUE"""),"No")</f>
        <v>No</v>
      </c>
      <c r="F973" s="8" t="str">
        <f>IFERROR(__xludf.DUMMYFUNCTION("""COMPUTED_VALUE"""),"No")</f>
        <v>No</v>
      </c>
    </row>
    <row r="974">
      <c r="A974" s="5">
        <f>IFERROR(__xludf.DUMMYFUNCTION("""COMPUTED_VALUE"""),44773.0)</f>
        <v>44773</v>
      </c>
      <c r="B974" s="6" t="str">
        <f>IFERROR(__xludf.DUMMYFUNCTION("""COMPUTED_VALUE"""),"dinner")</f>
        <v>dinner</v>
      </c>
      <c r="C974" s="6" t="str">
        <f>IFERROR(__xludf.DUMMYFUNCTION("""COMPUTED_VALUE"""),"employee G")</f>
        <v>employee G</v>
      </c>
      <c r="D974" s="7">
        <f>IFERROR(__xludf.DUMMYFUNCTION("""COMPUTED_VALUE"""),101.65)</f>
        <v>101.65</v>
      </c>
      <c r="E974" s="6" t="str">
        <f>IFERROR(__xludf.DUMMYFUNCTION("""COMPUTED_VALUE"""),"No")</f>
        <v>No</v>
      </c>
      <c r="F974" s="8" t="str">
        <f>IFERROR(__xludf.DUMMYFUNCTION("""COMPUTED_VALUE"""),"No")</f>
        <v>No</v>
      </c>
    </row>
    <row r="975">
      <c r="A975" s="5">
        <f>IFERROR(__xludf.DUMMYFUNCTION("""COMPUTED_VALUE"""),44774.0)</f>
        <v>44774</v>
      </c>
      <c r="B975" s="6" t="str">
        <f>IFERROR(__xludf.DUMMYFUNCTION("""COMPUTED_VALUE"""),"lunch")</f>
        <v>lunch</v>
      </c>
      <c r="C975" s="6" t="str">
        <f>IFERROR(__xludf.DUMMYFUNCTION("""COMPUTED_VALUE"""),"employee A")</f>
        <v>employee A</v>
      </c>
      <c r="D975" s="7">
        <f>IFERROR(__xludf.DUMMYFUNCTION("""COMPUTED_VALUE"""),116.46)</f>
        <v>116.46</v>
      </c>
      <c r="E975" s="6" t="str">
        <f>IFERROR(__xludf.DUMMYFUNCTION("""COMPUTED_VALUE"""),"No")</f>
        <v>No</v>
      </c>
      <c r="F975" s="8" t="str">
        <f>IFERROR(__xludf.DUMMYFUNCTION("""COMPUTED_VALUE"""),"No")</f>
        <v>No</v>
      </c>
    </row>
    <row r="976">
      <c r="A976" s="5">
        <f>IFERROR(__xludf.DUMMYFUNCTION("""COMPUTED_VALUE"""),44774.0)</f>
        <v>44774</v>
      </c>
      <c r="B976" s="6" t="str">
        <f>IFERROR(__xludf.DUMMYFUNCTION("""COMPUTED_VALUE"""),"dinner")</f>
        <v>dinner</v>
      </c>
      <c r="C976" s="6" t="str">
        <f>IFERROR(__xludf.DUMMYFUNCTION("""COMPUTED_VALUE"""),"employee A")</f>
        <v>employee A</v>
      </c>
      <c r="D976" s="7">
        <f>IFERROR(__xludf.DUMMYFUNCTION("""COMPUTED_VALUE"""),90.73)</f>
        <v>90.73</v>
      </c>
      <c r="E976" s="6" t="str">
        <f>IFERROR(__xludf.DUMMYFUNCTION("""COMPUTED_VALUE"""),"No")</f>
        <v>No</v>
      </c>
      <c r="F976" s="8" t="str">
        <f>IFERROR(__xludf.DUMMYFUNCTION("""COMPUTED_VALUE"""),"No")</f>
        <v>No</v>
      </c>
    </row>
    <row r="977">
      <c r="A977" s="5">
        <f>IFERROR(__xludf.DUMMYFUNCTION("""COMPUTED_VALUE"""),44774.0)</f>
        <v>44774</v>
      </c>
      <c r="B977" s="6" t="str">
        <f>IFERROR(__xludf.DUMMYFUNCTION("""COMPUTED_VALUE"""),"dinner")</f>
        <v>dinner</v>
      </c>
      <c r="C977" s="6" t="str">
        <f>IFERROR(__xludf.DUMMYFUNCTION("""COMPUTED_VALUE"""),"employee I")</f>
        <v>employee I</v>
      </c>
      <c r="D977" s="7">
        <f>IFERROR(__xludf.DUMMYFUNCTION("""COMPUTED_VALUE"""),70.56)</f>
        <v>70.56</v>
      </c>
      <c r="E977" s="6" t="str">
        <f>IFERROR(__xludf.DUMMYFUNCTION("""COMPUTED_VALUE"""),"No")</f>
        <v>No</v>
      </c>
      <c r="F977" s="8" t="str">
        <f>IFERROR(__xludf.DUMMYFUNCTION("""COMPUTED_VALUE"""),"No")</f>
        <v>No</v>
      </c>
    </row>
    <row r="978">
      <c r="A978" s="5">
        <f>IFERROR(__xludf.DUMMYFUNCTION("""COMPUTED_VALUE"""),44775.0)</f>
        <v>44775</v>
      </c>
      <c r="B978" s="6" t="str">
        <f>IFERROR(__xludf.DUMMYFUNCTION("""COMPUTED_VALUE"""),"lunch")</f>
        <v>lunch</v>
      </c>
      <c r="C978" s="6" t="str">
        <f>IFERROR(__xludf.DUMMYFUNCTION("""COMPUTED_VALUE"""),"employee A")</f>
        <v>employee A</v>
      </c>
      <c r="D978" s="7">
        <f>IFERROR(__xludf.DUMMYFUNCTION("""COMPUTED_VALUE"""),76.19)</f>
        <v>76.19</v>
      </c>
      <c r="E978" s="6" t="str">
        <f>IFERROR(__xludf.DUMMYFUNCTION("""COMPUTED_VALUE"""),"No")</f>
        <v>No</v>
      </c>
      <c r="F978" s="8" t="str">
        <f>IFERROR(__xludf.DUMMYFUNCTION("""COMPUTED_VALUE"""),"No")</f>
        <v>No</v>
      </c>
    </row>
    <row r="979">
      <c r="A979" s="5">
        <f>IFERROR(__xludf.DUMMYFUNCTION("""COMPUTED_VALUE"""),44775.0)</f>
        <v>44775</v>
      </c>
      <c r="B979" s="6" t="str">
        <f>IFERROR(__xludf.DUMMYFUNCTION("""COMPUTED_VALUE"""),"dinner")</f>
        <v>dinner</v>
      </c>
      <c r="C979" s="6" t="str">
        <f>IFERROR(__xludf.DUMMYFUNCTION("""COMPUTED_VALUE"""),"employee A")</f>
        <v>employee A</v>
      </c>
      <c r="D979" s="7">
        <f>IFERROR(__xludf.DUMMYFUNCTION("""COMPUTED_VALUE"""),79.5)</f>
        <v>79.5</v>
      </c>
      <c r="E979" s="6" t="str">
        <f>IFERROR(__xludf.DUMMYFUNCTION("""COMPUTED_VALUE"""),"No")</f>
        <v>No</v>
      </c>
      <c r="F979" s="8" t="str">
        <f>IFERROR(__xludf.DUMMYFUNCTION("""COMPUTED_VALUE"""),"No")</f>
        <v>No</v>
      </c>
    </row>
    <row r="980">
      <c r="A980" s="5">
        <f>IFERROR(__xludf.DUMMYFUNCTION("""COMPUTED_VALUE"""),44775.0)</f>
        <v>44775</v>
      </c>
      <c r="B980" s="6" t="str">
        <f>IFERROR(__xludf.DUMMYFUNCTION("""COMPUTED_VALUE"""),"dinner")</f>
        <v>dinner</v>
      </c>
      <c r="C980" s="6" t="str">
        <f>IFERROR(__xludf.DUMMYFUNCTION("""COMPUTED_VALUE"""),"employee P")</f>
        <v>employee P</v>
      </c>
      <c r="D980" s="7">
        <f>IFERROR(__xludf.DUMMYFUNCTION("""COMPUTED_VALUE"""),79.5)</f>
        <v>79.5</v>
      </c>
      <c r="E980" s="6" t="str">
        <f>IFERROR(__xludf.DUMMYFUNCTION("""COMPUTED_VALUE"""),"No")</f>
        <v>No</v>
      </c>
      <c r="F980" s="8" t="str">
        <f>IFERROR(__xludf.DUMMYFUNCTION("""COMPUTED_VALUE"""),"No")</f>
        <v>No</v>
      </c>
    </row>
    <row r="981">
      <c r="A981" s="5">
        <f>IFERROR(__xludf.DUMMYFUNCTION("""COMPUTED_VALUE"""),44776.0)</f>
        <v>44776</v>
      </c>
      <c r="B981" s="6" t="str">
        <f>IFERROR(__xludf.DUMMYFUNCTION("""COMPUTED_VALUE"""),"lunch")</f>
        <v>lunch</v>
      </c>
      <c r="C981" s="6" t="str">
        <f>IFERROR(__xludf.DUMMYFUNCTION("""COMPUTED_VALUE"""),"employee J")</f>
        <v>employee J</v>
      </c>
      <c r="D981" s="7">
        <f>IFERROR(__xludf.DUMMYFUNCTION("""COMPUTED_VALUE"""),42.01)</f>
        <v>42.01</v>
      </c>
      <c r="E981" s="6" t="str">
        <f>IFERROR(__xludf.DUMMYFUNCTION("""COMPUTED_VALUE"""),"No")</f>
        <v>No</v>
      </c>
      <c r="F981" s="8" t="str">
        <f>IFERROR(__xludf.DUMMYFUNCTION("""COMPUTED_VALUE"""),"No")</f>
        <v>No</v>
      </c>
    </row>
    <row r="982">
      <c r="A982" s="5">
        <f>IFERROR(__xludf.DUMMYFUNCTION("""COMPUTED_VALUE"""),44776.0)</f>
        <v>44776</v>
      </c>
      <c r="B982" s="6" t="str">
        <f>IFERROR(__xludf.DUMMYFUNCTION("""COMPUTED_VALUE"""),"dinner")</f>
        <v>dinner</v>
      </c>
      <c r="C982" s="6" t="str">
        <f>IFERROR(__xludf.DUMMYFUNCTION("""COMPUTED_VALUE"""),"employee J")</f>
        <v>employee J</v>
      </c>
      <c r="D982" s="7">
        <f>IFERROR(__xludf.DUMMYFUNCTION("""COMPUTED_VALUE"""),53.99)</f>
        <v>53.99</v>
      </c>
      <c r="E982" s="6" t="str">
        <f>IFERROR(__xludf.DUMMYFUNCTION("""COMPUTED_VALUE"""),"No")</f>
        <v>No</v>
      </c>
      <c r="F982" s="8" t="str">
        <f>IFERROR(__xludf.DUMMYFUNCTION("""COMPUTED_VALUE"""),"No")</f>
        <v>No</v>
      </c>
    </row>
    <row r="983">
      <c r="A983" s="5">
        <f>IFERROR(__xludf.DUMMYFUNCTION("""COMPUTED_VALUE"""),44776.0)</f>
        <v>44776</v>
      </c>
      <c r="B983" s="6" t="str">
        <f>IFERROR(__xludf.DUMMYFUNCTION("""COMPUTED_VALUE"""),"dinner")</f>
        <v>dinner</v>
      </c>
      <c r="C983" s="6" t="str">
        <f>IFERROR(__xludf.DUMMYFUNCTION("""COMPUTED_VALUE"""),"employee G")</f>
        <v>employee G</v>
      </c>
      <c r="D983" s="7">
        <f>IFERROR(__xludf.DUMMYFUNCTION("""COMPUTED_VALUE"""),42.0)</f>
        <v>42</v>
      </c>
      <c r="E983" s="6" t="str">
        <f>IFERROR(__xludf.DUMMYFUNCTION("""COMPUTED_VALUE"""),"No")</f>
        <v>No</v>
      </c>
      <c r="F983" s="8" t="str">
        <f>IFERROR(__xludf.DUMMYFUNCTION("""COMPUTED_VALUE"""),"No")</f>
        <v>No</v>
      </c>
    </row>
    <row r="984">
      <c r="A984" s="5">
        <f>IFERROR(__xludf.DUMMYFUNCTION("""COMPUTED_VALUE"""),44777.0)</f>
        <v>44777</v>
      </c>
      <c r="B984" s="6" t="str">
        <f>IFERROR(__xludf.DUMMYFUNCTION("""COMPUTED_VALUE"""),"lunch")</f>
        <v>lunch</v>
      </c>
      <c r="C984" s="6" t="str">
        <f>IFERROR(__xludf.DUMMYFUNCTION("""COMPUTED_VALUE"""),"employee A")</f>
        <v>employee A</v>
      </c>
      <c r="D984" s="7">
        <f>IFERROR(__xludf.DUMMYFUNCTION("""COMPUTED_VALUE"""),93.45)</f>
        <v>93.45</v>
      </c>
      <c r="E984" s="6" t="str">
        <f>IFERROR(__xludf.DUMMYFUNCTION("""COMPUTED_VALUE"""),"No")</f>
        <v>No</v>
      </c>
      <c r="F984" s="8" t="str">
        <f>IFERROR(__xludf.DUMMYFUNCTION("""COMPUTED_VALUE"""),"No")</f>
        <v>No</v>
      </c>
    </row>
    <row r="985">
      <c r="A985" s="5">
        <f>IFERROR(__xludf.DUMMYFUNCTION("""COMPUTED_VALUE"""),44777.0)</f>
        <v>44777</v>
      </c>
      <c r="B985" s="6" t="str">
        <f>IFERROR(__xludf.DUMMYFUNCTION("""COMPUTED_VALUE"""),"dinner")</f>
        <v>dinner</v>
      </c>
      <c r="C985" s="6" t="str">
        <f>IFERROR(__xludf.DUMMYFUNCTION("""COMPUTED_VALUE"""),"employee A")</f>
        <v>employee A</v>
      </c>
      <c r="D985" s="7">
        <f>IFERROR(__xludf.DUMMYFUNCTION("""COMPUTED_VALUE"""),75.33)</f>
        <v>75.33</v>
      </c>
      <c r="E985" s="6" t="str">
        <f>IFERROR(__xludf.DUMMYFUNCTION("""COMPUTED_VALUE"""),"No")</f>
        <v>No</v>
      </c>
      <c r="F985" s="8" t="str">
        <f>IFERROR(__xludf.DUMMYFUNCTION("""COMPUTED_VALUE"""),"No")</f>
        <v>No</v>
      </c>
    </row>
    <row r="986">
      <c r="A986" s="5">
        <f>IFERROR(__xludf.DUMMYFUNCTION("""COMPUTED_VALUE"""),44777.0)</f>
        <v>44777</v>
      </c>
      <c r="B986" s="6" t="str">
        <f>IFERROR(__xludf.DUMMYFUNCTION("""COMPUTED_VALUE"""),"dinner")</f>
        <v>dinner</v>
      </c>
      <c r="C986" s="6" t="str">
        <f>IFERROR(__xludf.DUMMYFUNCTION("""COMPUTED_VALUE"""),"employee P")</f>
        <v>employee P</v>
      </c>
      <c r="D986" s="7">
        <f>IFERROR(__xludf.DUMMYFUNCTION("""COMPUTED_VALUE"""),75.34)</f>
        <v>75.34</v>
      </c>
      <c r="E986" s="6" t="str">
        <f>IFERROR(__xludf.DUMMYFUNCTION("""COMPUTED_VALUE"""),"No")</f>
        <v>No</v>
      </c>
      <c r="F986" s="8" t="str">
        <f>IFERROR(__xludf.DUMMYFUNCTION("""COMPUTED_VALUE"""),"No")</f>
        <v>No</v>
      </c>
    </row>
    <row r="987">
      <c r="A987" s="5">
        <f>IFERROR(__xludf.DUMMYFUNCTION("""COMPUTED_VALUE"""),44778.0)</f>
        <v>44778</v>
      </c>
      <c r="B987" s="6" t="str">
        <f>IFERROR(__xludf.DUMMYFUNCTION("""COMPUTED_VALUE"""),"lunch")</f>
        <v>lunch</v>
      </c>
      <c r="C987" s="6" t="str">
        <f>IFERROR(__xludf.DUMMYFUNCTION("""COMPUTED_VALUE"""),"employee L")</f>
        <v>employee L</v>
      </c>
      <c r="D987" s="7">
        <f>IFERROR(__xludf.DUMMYFUNCTION("""COMPUTED_VALUE"""),77.91)</f>
        <v>77.91</v>
      </c>
      <c r="E987" s="6" t="str">
        <f>IFERROR(__xludf.DUMMYFUNCTION("""COMPUTED_VALUE"""),"No")</f>
        <v>No</v>
      </c>
      <c r="F987" s="8" t="str">
        <f>IFERROR(__xludf.DUMMYFUNCTION("""COMPUTED_VALUE"""),"No")</f>
        <v>No</v>
      </c>
    </row>
    <row r="988">
      <c r="A988" s="5">
        <f>IFERROR(__xludf.DUMMYFUNCTION("""COMPUTED_VALUE"""),44778.0)</f>
        <v>44778</v>
      </c>
      <c r="B988" s="6" t="str">
        <f>IFERROR(__xludf.DUMMYFUNCTION("""COMPUTED_VALUE"""),"dinner")</f>
        <v>dinner</v>
      </c>
      <c r="C988" s="6" t="str">
        <f>IFERROR(__xludf.DUMMYFUNCTION("""COMPUTED_VALUE"""),"employee L")</f>
        <v>employee L</v>
      </c>
      <c r="D988" s="7">
        <f>IFERROR(__xludf.DUMMYFUNCTION("""COMPUTED_VALUE"""),78.88)</f>
        <v>78.88</v>
      </c>
      <c r="E988" s="6" t="str">
        <f>IFERROR(__xludf.DUMMYFUNCTION("""COMPUTED_VALUE"""),"No")</f>
        <v>No</v>
      </c>
      <c r="F988" s="8" t="str">
        <f>IFERROR(__xludf.DUMMYFUNCTION("""COMPUTED_VALUE"""),"No")</f>
        <v>No</v>
      </c>
    </row>
    <row r="989">
      <c r="A989" s="5">
        <f>IFERROR(__xludf.DUMMYFUNCTION("""COMPUTED_VALUE"""),44778.0)</f>
        <v>44778</v>
      </c>
      <c r="B989" s="6" t="str">
        <f>IFERROR(__xludf.DUMMYFUNCTION("""COMPUTED_VALUE"""),"dinner")</f>
        <v>dinner</v>
      </c>
      <c r="C989" s="6" t="str">
        <f>IFERROR(__xludf.DUMMYFUNCTION("""COMPUTED_VALUE"""),"employee B")</f>
        <v>employee B</v>
      </c>
      <c r="D989" s="7">
        <f>IFERROR(__xludf.DUMMYFUNCTION("""COMPUTED_VALUE"""),78.88)</f>
        <v>78.88</v>
      </c>
      <c r="E989" s="6" t="str">
        <f>IFERROR(__xludf.DUMMYFUNCTION("""COMPUTED_VALUE"""),"No")</f>
        <v>No</v>
      </c>
      <c r="F989" s="8" t="str">
        <f>IFERROR(__xludf.DUMMYFUNCTION("""COMPUTED_VALUE"""),"No")</f>
        <v>No</v>
      </c>
    </row>
    <row r="990">
      <c r="A990" s="5">
        <f>IFERROR(__xludf.DUMMYFUNCTION("""COMPUTED_VALUE"""),44778.0)</f>
        <v>44778</v>
      </c>
      <c r="B990" s="6" t="str">
        <f>IFERROR(__xludf.DUMMYFUNCTION("""COMPUTED_VALUE"""),"dinner")</f>
        <v>dinner</v>
      </c>
      <c r="C990" s="6" t="str">
        <f>IFERROR(__xludf.DUMMYFUNCTION("""COMPUTED_VALUE"""),"employee P")</f>
        <v>employee P</v>
      </c>
      <c r="D990" s="7">
        <f>IFERROR(__xludf.DUMMYFUNCTION("""COMPUTED_VALUE"""),78.88)</f>
        <v>78.88</v>
      </c>
      <c r="E990" s="6" t="str">
        <f>IFERROR(__xludf.DUMMYFUNCTION("""COMPUTED_VALUE"""),"No")</f>
        <v>No</v>
      </c>
      <c r="F990" s="8" t="str">
        <f>IFERROR(__xludf.DUMMYFUNCTION("""COMPUTED_VALUE"""),"No")</f>
        <v>No</v>
      </c>
    </row>
    <row r="991">
      <c r="A991" s="5">
        <f>IFERROR(__xludf.DUMMYFUNCTION("""COMPUTED_VALUE"""),44779.0)</f>
        <v>44779</v>
      </c>
      <c r="B991" s="6" t="str">
        <f>IFERROR(__xludf.DUMMYFUNCTION("""COMPUTED_VALUE"""),"lunch")</f>
        <v>lunch</v>
      </c>
      <c r="C991" s="6" t="str">
        <f>IFERROR(__xludf.DUMMYFUNCTION("""COMPUTED_VALUE"""),"employee B")</f>
        <v>employee B</v>
      </c>
      <c r="D991" s="7">
        <f>IFERROR(__xludf.DUMMYFUNCTION("""COMPUTED_VALUE"""),99.89)</f>
        <v>99.89</v>
      </c>
      <c r="E991" s="6" t="str">
        <f>IFERROR(__xludf.DUMMYFUNCTION("""COMPUTED_VALUE"""),"No")</f>
        <v>No</v>
      </c>
      <c r="F991" s="8" t="str">
        <f>IFERROR(__xludf.DUMMYFUNCTION("""COMPUTED_VALUE"""),"No")</f>
        <v>No</v>
      </c>
    </row>
    <row r="992">
      <c r="A992" s="5">
        <f>IFERROR(__xludf.DUMMYFUNCTION("""COMPUTED_VALUE"""),44779.0)</f>
        <v>44779</v>
      </c>
      <c r="B992" s="6" t="str">
        <f>IFERROR(__xludf.DUMMYFUNCTION("""COMPUTED_VALUE"""),"lunch")</f>
        <v>lunch</v>
      </c>
      <c r="C992" s="6" t="str">
        <f>IFERROR(__xludf.DUMMYFUNCTION("""COMPUTED_VALUE"""),"employee L")</f>
        <v>employee L</v>
      </c>
      <c r="D992" s="7">
        <f>IFERROR(__xludf.DUMMYFUNCTION("""COMPUTED_VALUE"""),71.35)</f>
        <v>71.35</v>
      </c>
      <c r="E992" s="6" t="str">
        <f>IFERROR(__xludf.DUMMYFUNCTION("""COMPUTED_VALUE"""),"No")</f>
        <v>No</v>
      </c>
      <c r="F992" s="8" t="str">
        <f>IFERROR(__xludf.DUMMYFUNCTION("""COMPUTED_VALUE"""),"No")</f>
        <v>No</v>
      </c>
    </row>
    <row r="993">
      <c r="A993" s="5">
        <f>IFERROR(__xludf.DUMMYFUNCTION("""COMPUTED_VALUE"""),44779.0)</f>
        <v>44779</v>
      </c>
      <c r="B993" s="6" t="str">
        <f>IFERROR(__xludf.DUMMYFUNCTION("""COMPUTED_VALUE"""),"lunch")</f>
        <v>lunch</v>
      </c>
      <c r="C993" s="6" t="str">
        <f>IFERROR(__xludf.DUMMYFUNCTION("""COMPUTED_VALUE"""),"employee P")</f>
        <v>employee P</v>
      </c>
      <c r="D993" s="7">
        <f>IFERROR(__xludf.DUMMYFUNCTION("""COMPUTED_VALUE"""),32.1)</f>
        <v>32.1</v>
      </c>
      <c r="E993" s="6" t="str">
        <f>IFERROR(__xludf.DUMMYFUNCTION("""COMPUTED_VALUE"""),"No")</f>
        <v>No</v>
      </c>
      <c r="F993" s="8" t="str">
        <f>IFERROR(__xludf.DUMMYFUNCTION("""COMPUTED_VALUE"""),"No")</f>
        <v>No</v>
      </c>
    </row>
    <row r="994">
      <c r="A994" s="5">
        <f>IFERROR(__xludf.DUMMYFUNCTION("""COMPUTED_VALUE"""),44779.0)</f>
        <v>44779</v>
      </c>
      <c r="B994" s="6" t="str">
        <f>IFERROR(__xludf.DUMMYFUNCTION("""COMPUTED_VALUE"""),"dinner")</f>
        <v>dinner</v>
      </c>
      <c r="C994" s="6" t="str">
        <f>IFERROR(__xludf.DUMMYFUNCTION("""COMPUTED_VALUE"""),"employee B")</f>
        <v>employee B</v>
      </c>
      <c r="D994" s="7">
        <f>IFERROR(__xludf.DUMMYFUNCTION("""COMPUTED_VALUE"""),40.65)</f>
        <v>40.65</v>
      </c>
      <c r="E994" s="6" t="str">
        <f>IFERROR(__xludf.DUMMYFUNCTION("""COMPUTED_VALUE"""),"No")</f>
        <v>No</v>
      </c>
      <c r="F994" s="8" t="str">
        <f>IFERROR(__xludf.DUMMYFUNCTION("""COMPUTED_VALUE"""),"No")</f>
        <v>No</v>
      </c>
    </row>
    <row r="995">
      <c r="A995" s="5">
        <f>IFERROR(__xludf.DUMMYFUNCTION("""COMPUTED_VALUE"""),44779.0)</f>
        <v>44779</v>
      </c>
      <c r="B995" s="6" t="str">
        <f>IFERROR(__xludf.DUMMYFUNCTION("""COMPUTED_VALUE"""),"dinner")</f>
        <v>dinner</v>
      </c>
      <c r="C995" s="6" t="str">
        <f>IFERROR(__xludf.DUMMYFUNCTION("""COMPUTED_VALUE"""),"employee L")</f>
        <v>employee L</v>
      </c>
      <c r="D995" s="7">
        <f>IFERROR(__xludf.DUMMYFUNCTION("""COMPUTED_VALUE"""),40.64)</f>
        <v>40.64</v>
      </c>
      <c r="E995" s="6" t="str">
        <f>IFERROR(__xludf.DUMMYFUNCTION("""COMPUTED_VALUE"""),"No")</f>
        <v>No</v>
      </c>
      <c r="F995" s="8" t="str">
        <f>IFERROR(__xludf.DUMMYFUNCTION("""COMPUTED_VALUE"""),"No")</f>
        <v>No</v>
      </c>
    </row>
    <row r="996">
      <c r="A996" s="5">
        <f>IFERROR(__xludf.DUMMYFUNCTION("""COMPUTED_VALUE"""),44780.0)</f>
        <v>44780</v>
      </c>
      <c r="B996" s="6" t="str">
        <f>IFERROR(__xludf.DUMMYFUNCTION("""COMPUTED_VALUE"""),"lunch")</f>
        <v>lunch</v>
      </c>
      <c r="C996" s="6" t="str">
        <f>IFERROR(__xludf.DUMMYFUNCTION("""COMPUTED_VALUE"""),"employee L")</f>
        <v>employee L</v>
      </c>
      <c r="D996" s="7">
        <f>IFERROR(__xludf.DUMMYFUNCTION("""COMPUTED_VALUE"""),145.79)</f>
        <v>145.79</v>
      </c>
      <c r="E996" s="6" t="str">
        <f>IFERROR(__xludf.DUMMYFUNCTION("""COMPUTED_VALUE"""),"No")</f>
        <v>No</v>
      </c>
      <c r="F996" s="8" t="str">
        <f>IFERROR(__xludf.DUMMYFUNCTION("""COMPUTED_VALUE"""),"No")</f>
        <v>No</v>
      </c>
    </row>
    <row r="997">
      <c r="A997" s="5">
        <f>IFERROR(__xludf.DUMMYFUNCTION("""COMPUTED_VALUE"""),44780.0)</f>
        <v>44780</v>
      </c>
      <c r="B997" s="6" t="str">
        <f>IFERROR(__xludf.DUMMYFUNCTION("""COMPUTED_VALUE"""),"lunch")</f>
        <v>lunch</v>
      </c>
      <c r="C997" s="6" t="str">
        <f>IFERROR(__xludf.DUMMYFUNCTION("""COMPUTED_VALUE"""),"employee B")</f>
        <v>employee B</v>
      </c>
      <c r="D997" s="7">
        <f>IFERROR(__xludf.DUMMYFUNCTION("""COMPUTED_VALUE"""),145.79)</f>
        <v>145.79</v>
      </c>
      <c r="E997" s="6" t="str">
        <f>IFERROR(__xludf.DUMMYFUNCTION("""COMPUTED_VALUE"""),"No")</f>
        <v>No</v>
      </c>
      <c r="F997" s="8" t="str">
        <f>IFERROR(__xludf.DUMMYFUNCTION("""COMPUTED_VALUE"""),"No")</f>
        <v>No</v>
      </c>
    </row>
    <row r="998">
      <c r="A998" s="5">
        <f>IFERROR(__xludf.DUMMYFUNCTION("""COMPUTED_VALUE"""),44780.0)</f>
        <v>44780</v>
      </c>
      <c r="B998" s="6" t="str">
        <f>IFERROR(__xludf.DUMMYFUNCTION("""COMPUTED_VALUE"""),"dinner")</f>
        <v>dinner</v>
      </c>
      <c r="C998" s="6" t="str">
        <f>IFERROR(__xludf.DUMMYFUNCTION("""COMPUTED_VALUE"""),"employee B")</f>
        <v>employee B</v>
      </c>
      <c r="D998" s="7">
        <f>IFERROR(__xludf.DUMMYFUNCTION("""COMPUTED_VALUE"""),64.74)</f>
        <v>64.74</v>
      </c>
      <c r="E998" s="6" t="str">
        <f>IFERROR(__xludf.DUMMYFUNCTION("""COMPUTED_VALUE"""),"No")</f>
        <v>No</v>
      </c>
      <c r="F998" s="8" t="str">
        <f>IFERROR(__xludf.DUMMYFUNCTION("""COMPUTED_VALUE"""),"No")</f>
        <v>No</v>
      </c>
    </row>
    <row r="999">
      <c r="A999" s="5">
        <f>IFERROR(__xludf.DUMMYFUNCTION("""COMPUTED_VALUE"""),44780.0)</f>
        <v>44780</v>
      </c>
      <c r="B999" s="6" t="str">
        <f>IFERROR(__xludf.DUMMYFUNCTION("""COMPUTED_VALUE"""),"dinner")</f>
        <v>dinner</v>
      </c>
      <c r="C999" s="6" t="str">
        <f>IFERROR(__xludf.DUMMYFUNCTION("""COMPUTED_VALUE"""),"employee L")</f>
        <v>employee L</v>
      </c>
      <c r="D999" s="7">
        <f>IFERROR(__xludf.DUMMYFUNCTION("""COMPUTED_VALUE"""),64.74)</f>
        <v>64.74</v>
      </c>
      <c r="E999" s="6" t="str">
        <f>IFERROR(__xludf.DUMMYFUNCTION("""COMPUTED_VALUE"""),"No")</f>
        <v>No</v>
      </c>
      <c r="F999" s="8" t="str">
        <f>IFERROR(__xludf.DUMMYFUNCTION("""COMPUTED_VALUE"""),"No")</f>
        <v>No</v>
      </c>
    </row>
    <row r="1000">
      <c r="A1000" s="5">
        <f>IFERROR(__xludf.DUMMYFUNCTION("""COMPUTED_VALUE"""),44781.0)</f>
        <v>44781</v>
      </c>
      <c r="B1000" s="6" t="str">
        <f>IFERROR(__xludf.DUMMYFUNCTION("""COMPUTED_VALUE"""),"lunch")</f>
        <v>lunch</v>
      </c>
      <c r="C1000" s="6" t="str">
        <f>IFERROR(__xludf.DUMMYFUNCTION("""COMPUTED_VALUE"""),"employee A")</f>
        <v>employee A</v>
      </c>
      <c r="D1000" s="7">
        <f>IFERROR(__xludf.DUMMYFUNCTION("""COMPUTED_VALUE"""),73.79)</f>
        <v>73.79</v>
      </c>
      <c r="E1000" s="6" t="str">
        <f>IFERROR(__xludf.DUMMYFUNCTION("""COMPUTED_VALUE"""),"No")</f>
        <v>No</v>
      </c>
      <c r="F1000" s="8" t="str">
        <f>IFERROR(__xludf.DUMMYFUNCTION("""COMPUTED_VALUE"""),"No")</f>
        <v>No</v>
      </c>
    </row>
    <row r="1001">
      <c r="A1001" s="5">
        <f>IFERROR(__xludf.DUMMYFUNCTION("""COMPUTED_VALUE"""),44781.0)</f>
        <v>44781</v>
      </c>
      <c r="B1001" s="6" t="str">
        <f>IFERROR(__xludf.DUMMYFUNCTION("""COMPUTED_VALUE"""),"dinner")</f>
        <v>dinner</v>
      </c>
      <c r="C1001" s="6" t="str">
        <f>IFERROR(__xludf.DUMMYFUNCTION("""COMPUTED_VALUE"""),"employee A")</f>
        <v>employee A</v>
      </c>
      <c r="D1001" s="7">
        <f>IFERROR(__xludf.DUMMYFUNCTION("""COMPUTED_VALUE"""),66.53)</f>
        <v>66.53</v>
      </c>
      <c r="E1001" s="6" t="str">
        <f>IFERROR(__xludf.DUMMYFUNCTION("""COMPUTED_VALUE"""),"No")</f>
        <v>No</v>
      </c>
      <c r="F1001" s="8" t="str">
        <f>IFERROR(__xludf.DUMMYFUNCTION("""COMPUTED_VALUE"""),"No")</f>
        <v>No</v>
      </c>
    </row>
    <row r="1002">
      <c r="A1002" s="5">
        <f>IFERROR(__xludf.DUMMYFUNCTION("""COMPUTED_VALUE"""),44781.0)</f>
        <v>44781</v>
      </c>
      <c r="B1002" s="6" t="str">
        <f>IFERROR(__xludf.DUMMYFUNCTION("""COMPUTED_VALUE"""),"dinner")</f>
        <v>dinner</v>
      </c>
      <c r="C1002" s="6" t="str">
        <f>IFERROR(__xludf.DUMMYFUNCTION("""COMPUTED_VALUE"""),"employee J")</f>
        <v>employee J</v>
      </c>
      <c r="D1002" s="7">
        <f>IFERROR(__xludf.DUMMYFUNCTION("""COMPUTED_VALUE"""),66.53)</f>
        <v>66.53</v>
      </c>
      <c r="E1002" s="6" t="str">
        <f>IFERROR(__xludf.DUMMYFUNCTION("""COMPUTED_VALUE"""),"No")</f>
        <v>No</v>
      </c>
      <c r="F1002" s="8" t="str">
        <f>IFERROR(__xludf.DUMMYFUNCTION("""COMPUTED_VALUE"""),"No")</f>
        <v>No</v>
      </c>
    </row>
    <row r="1003">
      <c r="A1003" s="5">
        <f>IFERROR(__xludf.DUMMYFUNCTION("""COMPUTED_VALUE"""),44782.0)</f>
        <v>44782</v>
      </c>
      <c r="B1003" s="6" t="str">
        <f>IFERROR(__xludf.DUMMYFUNCTION("""COMPUTED_VALUE"""),"lunch")</f>
        <v>lunch</v>
      </c>
      <c r="C1003" s="6" t="str">
        <f>IFERROR(__xludf.DUMMYFUNCTION("""COMPUTED_VALUE"""),"employee A")</f>
        <v>employee A</v>
      </c>
      <c r="D1003" s="7">
        <f>IFERROR(__xludf.DUMMYFUNCTION("""COMPUTED_VALUE"""),57.52)</f>
        <v>57.52</v>
      </c>
      <c r="E1003" s="6" t="str">
        <f>IFERROR(__xludf.DUMMYFUNCTION("""COMPUTED_VALUE"""),"No")</f>
        <v>No</v>
      </c>
      <c r="F1003" s="8" t="str">
        <f>IFERROR(__xludf.DUMMYFUNCTION("""COMPUTED_VALUE"""),"No")</f>
        <v>No</v>
      </c>
    </row>
    <row r="1004">
      <c r="A1004" s="5">
        <f>IFERROR(__xludf.DUMMYFUNCTION("""COMPUTED_VALUE"""),44782.0)</f>
        <v>44782</v>
      </c>
      <c r="B1004" s="6" t="str">
        <f>IFERROR(__xludf.DUMMYFUNCTION("""COMPUTED_VALUE"""),"dinner")</f>
        <v>dinner</v>
      </c>
      <c r="C1004" s="6" t="str">
        <f>IFERROR(__xludf.DUMMYFUNCTION("""COMPUTED_VALUE"""),"employee A")</f>
        <v>employee A</v>
      </c>
      <c r="D1004" s="7">
        <f>IFERROR(__xludf.DUMMYFUNCTION("""COMPUTED_VALUE"""),103.65)</f>
        <v>103.65</v>
      </c>
      <c r="E1004" s="6" t="str">
        <f>IFERROR(__xludf.DUMMYFUNCTION("""COMPUTED_VALUE"""),"No")</f>
        <v>No</v>
      </c>
      <c r="F1004" s="8" t="str">
        <f>IFERROR(__xludf.DUMMYFUNCTION("""COMPUTED_VALUE"""),"No")</f>
        <v>No</v>
      </c>
    </row>
    <row r="1005">
      <c r="A1005" s="5">
        <f>IFERROR(__xludf.DUMMYFUNCTION("""COMPUTED_VALUE"""),44782.0)</f>
        <v>44782</v>
      </c>
      <c r="B1005" s="6" t="str">
        <f>IFERROR(__xludf.DUMMYFUNCTION("""COMPUTED_VALUE"""),"dinner")</f>
        <v>dinner</v>
      </c>
      <c r="C1005" s="6" t="str">
        <f>IFERROR(__xludf.DUMMYFUNCTION("""COMPUTED_VALUE"""),"employee P")</f>
        <v>employee P</v>
      </c>
      <c r="D1005" s="7">
        <f>IFERROR(__xludf.DUMMYFUNCTION("""COMPUTED_VALUE"""),103.66)</f>
        <v>103.66</v>
      </c>
      <c r="E1005" s="6" t="str">
        <f>IFERROR(__xludf.DUMMYFUNCTION("""COMPUTED_VALUE"""),"No")</f>
        <v>No</v>
      </c>
      <c r="F1005" s="8" t="str">
        <f>IFERROR(__xludf.DUMMYFUNCTION("""COMPUTED_VALUE"""),"No")</f>
        <v>No</v>
      </c>
    </row>
    <row r="1006">
      <c r="A1006" s="5">
        <f>IFERROR(__xludf.DUMMYFUNCTION("""COMPUTED_VALUE"""),44783.0)</f>
        <v>44783</v>
      </c>
      <c r="B1006" s="6" t="str">
        <f>IFERROR(__xludf.DUMMYFUNCTION("""COMPUTED_VALUE"""),"lunch")</f>
        <v>lunch</v>
      </c>
      <c r="C1006" s="6" t="str">
        <f>IFERROR(__xludf.DUMMYFUNCTION("""COMPUTED_VALUE"""),"employee J")</f>
        <v>employee J</v>
      </c>
      <c r="D1006" s="7">
        <f>IFERROR(__xludf.DUMMYFUNCTION("""COMPUTED_VALUE"""),123.27)</f>
        <v>123.27</v>
      </c>
      <c r="E1006" s="6" t="str">
        <f>IFERROR(__xludf.DUMMYFUNCTION("""COMPUTED_VALUE"""),"No")</f>
        <v>No</v>
      </c>
      <c r="F1006" s="8" t="str">
        <f>IFERROR(__xludf.DUMMYFUNCTION("""COMPUTED_VALUE"""),"No")</f>
        <v>No</v>
      </c>
    </row>
    <row r="1007">
      <c r="A1007" s="5">
        <f>IFERROR(__xludf.DUMMYFUNCTION("""COMPUTED_VALUE"""),44783.0)</f>
        <v>44783</v>
      </c>
      <c r="B1007" s="6" t="str">
        <f>IFERROR(__xludf.DUMMYFUNCTION("""COMPUTED_VALUE"""),"dinner")</f>
        <v>dinner</v>
      </c>
      <c r="C1007" s="6" t="str">
        <f>IFERROR(__xludf.DUMMYFUNCTION("""COMPUTED_VALUE"""),"employee J")</f>
        <v>employee J</v>
      </c>
      <c r="D1007" s="7">
        <f>IFERROR(__xludf.DUMMYFUNCTION("""COMPUTED_VALUE"""),114.38)</f>
        <v>114.38</v>
      </c>
      <c r="E1007" s="6" t="str">
        <f>IFERROR(__xludf.DUMMYFUNCTION("""COMPUTED_VALUE"""),"No")</f>
        <v>No</v>
      </c>
      <c r="F1007" s="8" t="str">
        <f>IFERROR(__xludf.DUMMYFUNCTION("""COMPUTED_VALUE"""),"No")</f>
        <v>No</v>
      </c>
    </row>
    <row r="1008">
      <c r="A1008" s="5">
        <f>IFERROR(__xludf.DUMMYFUNCTION("""COMPUTED_VALUE"""),44783.0)</f>
        <v>44783</v>
      </c>
      <c r="B1008" s="6" t="str">
        <f>IFERROR(__xludf.DUMMYFUNCTION("""COMPUTED_VALUE"""),"dinner")</f>
        <v>dinner</v>
      </c>
      <c r="C1008" s="6" t="str">
        <f>IFERROR(__xludf.DUMMYFUNCTION("""COMPUTED_VALUE"""),"employee P")</f>
        <v>employee P</v>
      </c>
      <c r="D1008" s="7">
        <f>IFERROR(__xludf.DUMMYFUNCTION("""COMPUTED_VALUE"""),114.38)</f>
        <v>114.38</v>
      </c>
      <c r="E1008" s="6" t="str">
        <f>IFERROR(__xludf.DUMMYFUNCTION("""COMPUTED_VALUE"""),"No")</f>
        <v>No</v>
      </c>
      <c r="F1008" s="8" t="str">
        <f>IFERROR(__xludf.DUMMYFUNCTION("""COMPUTED_VALUE"""),"No")</f>
        <v>No</v>
      </c>
    </row>
    <row r="1009">
      <c r="A1009" s="5">
        <f>IFERROR(__xludf.DUMMYFUNCTION("""COMPUTED_VALUE"""),44784.0)</f>
        <v>44784</v>
      </c>
      <c r="B1009" s="6" t="str">
        <f>IFERROR(__xludf.DUMMYFUNCTION("""COMPUTED_VALUE"""),"lunch")</f>
        <v>lunch</v>
      </c>
      <c r="C1009" s="6" t="str">
        <f>IFERROR(__xludf.DUMMYFUNCTION("""COMPUTED_VALUE"""),"employee L")</f>
        <v>employee L</v>
      </c>
      <c r="D1009" s="7">
        <f>IFERROR(__xludf.DUMMYFUNCTION("""COMPUTED_VALUE"""),21.89)</f>
        <v>21.89</v>
      </c>
      <c r="E1009" s="6" t="str">
        <f>IFERROR(__xludf.DUMMYFUNCTION("""COMPUTED_VALUE"""),"No")</f>
        <v>No</v>
      </c>
      <c r="F1009" s="8" t="str">
        <f>IFERROR(__xludf.DUMMYFUNCTION("""COMPUTED_VALUE"""),"No")</f>
        <v>No</v>
      </c>
    </row>
    <row r="1010">
      <c r="A1010" s="5">
        <f>IFERROR(__xludf.DUMMYFUNCTION("""COMPUTED_VALUE"""),44784.0)</f>
        <v>44784</v>
      </c>
      <c r="B1010" s="6" t="str">
        <f>IFERROR(__xludf.DUMMYFUNCTION("""COMPUTED_VALUE"""),"lunch")</f>
        <v>lunch</v>
      </c>
      <c r="C1010" s="6" t="str">
        <f>IFERROR(__xludf.DUMMYFUNCTION("""COMPUTED_VALUE"""),"employee B")</f>
        <v>employee B</v>
      </c>
      <c r="D1010" s="7">
        <f>IFERROR(__xludf.DUMMYFUNCTION("""COMPUTED_VALUE"""),21.89)</f>
        <v>21.89</v>
      </c>
      <c r="E1010" s="6" t="str">
        <f>IFERROR(__xludf.DUMMYFUNCTION("""COMPUTED_VALUE"""),"No")</f>
        <v>No</v>
      </c>
      <c r="F1010" s="8" t="str">
        <f>IFERROR(__xludf.DUMMYFUNCTION("""COMPUTED_VALUE"""),"No")</f>
        <v>No</v>
      </c>
    </row>
    <row r="1011">
      <c r="A1011" s="5">
        <f>IFERROR(__xludf.DUMMYFUNCTION("""COMPUTED_VALUE"""),44784.0)</f>
        <v>44784</v>
      </c>
      <c r="B1011" s="6" t="str">
        <f>IFERROR(__xludf.DUMMYFUNCTION("""COMPUTED_VALUE"""),"lunch")</f>
        <v>lunch</v>
      </c>
      <c r="C1011" s="6" t="str">
        <f>IFERROR(__xludf.DUMMYFUNCTION("""COMPUTED_VALUE"""),"employee P")</f>
        <v>employee P</v>
      </c>
      <c r="D1011" s="7">
        <f>IFERROR(__xludf.DUMMYFUNCTION("""COMPUTED_VALUE"""),76.66)</f>
        <v>76.66</v>
      </c>
      <c r="E1011" s="6" t="str">
        <f>IFERROR(__xludf.DUMMYFUNCTION("""COMPUTED_VALUE"""),"No")</f>
        <v>No</v>
      </c>
      <c r="F1011" s="8" t="str">
        <f>IFERROR(__xludf.DUMMYFUNCTION("""COMPUTED_VALUE"""),"No")</f>
        <v>No</v>
      </c>
    </row>
    <row r="1012">
      <c r="A1012" s="5">
        <f>IFERROR(__xludf.DUMMYFUNCTION("""COMPUTED_VALUE"""),44784.0)</f>
        <v>44784</v>
      </c>
      <c r="B1012" s="6" t="str">
        <f>IFERROR(__xludf.DUMMYFUNCTION("""COMPUTED_VALUE"""),"dinner")</f>
        <v>dinner</v>
      </c>
      <c r="C1012" s="6" t="str">
        <f>IFERROR(__xludf.DUMMYFUNCTION("""COMPUTED_VALUE"""),"employee P")</f>
        <v>employee P</v>
      </c>
      <c r="D1012" s="7">
        <f>IFERROR(__xludf.DUMMYFUNCTION("""COMPUTED_VALUE"""),97.69)</f>
        <v>97.69</v>
      </c>
      <c r="E1012" s="6" t="str">
        <f>IFERROR(__xludf.DUMMYFUNCTION("""COMPUTED_VALUE"""),"No")</f>
        <v>No</v>
      </c>
      <c r="F1012" s="8" t="str">
        <f>IFERROR(__xludf.DUMMYFUNCTION("""COMPUTED_VALUE"""),"No")</f>
        <v>No</v>
      </c>
    </row>
    <row r="1013">
      <c r="A1013" s="5">
        <f>IFERROR(__xludf.DUMMYFUNCTION("""COMPUTED_VALUE"""),44784.0)</f>
        <v>44784</v>
      </c>
      <c r="B1013" s="6" t="str">
        <f>IFERROR(__xludf.DUMMYFUNCTION("""COMPUTED_VALUE"""),"dinner")</f>
        <v>dinner</v>
      </c>
      <c r="C1013" s="6" t="str">
        <f>IFERROR(__xludf.DUMMYFUNCTION("""COMPUTED_VALUE"""),"employee G")</f>
        <v>employee G</v>
      </c>
      <c r="D1013" s="7">
        <f>IFERROR(__xludf.DUMMYFUNCTION("""COMPUTED_VALUE"""),75.25)</f>
        <v>75.25</v>
      </c>
      <c r="E1013" s="6" t="str">
        <f>IFERROR(__xludf.DUMMYFUNCTION("""COMPUTED_VALUE"""),"No")</f>
        <v>No</v>
      </c>
      <c r="F1013" s="8" t="str">
        <f>IFERROR(__xludf.DUMMYFUNCTION("""COMPUTED_VALUE"""),"No")</f>
        <v>No</v>
      </c>
    </row>
    <row r="1014">
      <c r="A1014" s="5">
        <f>IFERROR(__xludf.DUMMYFUNCTION("""COMPUTED_VALUE"""),44784.0)</f>
        <v>44784</v>
      </c>
      <c r="B1014" s="6" t="str">
        <f>IFERROR(__xludf.DUMMYFUNCTION("""COMPUTED_VALUE"""),"dinner")</f>
        <v>dinner</v>
      </c>
      <c r="C1014" s="6" t="str">
        <f>IFERROR(__xludf.DUMMYFUNCTION("""COMPUTED_VALUE"""),"employee J")</f>
        <v>employee J</v>
      </c>
      <c r="D1014" s="7">
        <f>IFERROR(__xludf.DUMMYFUNCTION("""COMPUTED_VALUE"""),64.5)</f>
        <v>64.5</v>
      </c>
      <c r="E1014" s="6" t="str">
        <f>IFERROR(__xludf.DUMMYFUNCTION("""COMPUTED_VALUE"""),"No")</f>
        <v>No</v>
      </c>
      <c r="F1014" s="8" t="str">
        <f>IFERROR(__xludf.DUMMYFUNCTION("""COMPUTED_VALUE"""),"No")</f>
        <v>No</v>
      </c>
    </row>
    <row r="1015">
      <c r="A1015" s="5">
        <f>IFERROR(__xludf.DUMMYFUNCTION("""COMPUTED_VALUE"""),44785.0)</f>
        <v>44785</v>
      </c>
      <c r="B1015" s="6" t="str">
        <f>IFERROR(__xludf.DUMMYFUNCTION("""COMPUTED_VALUE"""),"lunch")</f>
        <v>lunch</v>
      </c>
      <c r="C1015" s="6" t="str">
        <f>IFERROR(__xludf.DUMMYFUNCTION("""COMPUTED_VALUE"""),"employee A")</f>
        <v>employee A</v>
      </c>
      <c r="D1015" s="7">
        <f>IFERROR(__xludf.DUMMYFUNCTION("""COMPUTED_VALUE"""),64.25)</f>
        <v>64.25</v>
      </c>
      <c r="E1015" s="6" t="str">
        <f>IFERROR(__xludf.DUMMYFUNCTION("""COMPUTED_VALUE"""),"No")</f>
        <v>No</v>
      </c>
      <c r="F1015" s="8" t="str">
        <f>IFERROR(__xludf.DUMMYFUNCTION("""COMPUTED_VALUE"""),"No")</f>
        <v>No</v>
      </c>
    </row>
    <row r="1016">
      <c r="A1016" s="5">
        <f>IFERROR(__xludf.DUMMYFUNCTION("""COMPUTED_VALUE"""),44785.0)</f>
        <v>44785</v>
      </c>
      <c r="B1016" s="6" t="str">
        <f>IFERROR(__xludf.DUMMYFUNCTION("""COMPUTED_VALUE"""),"dinner")</f>
        <v>dinner</v>
      </c>
      <c r="C1016" s="6" t="str">
        <f>IFERROR(__xludf.DUMMYFUNCTION("""COMPUTED_VALUE"""),"employee L")</f>
        <v>employee L</v>
      </c>
      <c r="D1016" s="7">
        <f>IFERROR(__xludf.DUMMYFUNCTION("""COMPUTED_VALUE"""),80.62)</f>
        <v>80.62</v>
      </c>
      <c r="E1016" s="6" t="str">
        <f>IFERROR(__xludf.DUMMYFUNCTION("""COMPUTED_VALUE"""),"No")</f>
        <v>No</v>
      </c>
      <c r="F1016" s="8" t="str">
        <f>IFERROR(__xludf.DUMMYFUNCTION("""COMPUTED_VALUE"""),"No")</f>
        <v>No</v>
      </c>
    </row>
    <row r="1017">
      <c r="A1017" s="5">
        <f>IFERROR(__xludf.DUMMYFUNCTION("""COMPUTED_VALUE"""),44785.0)</f>
        <v>44785</v>
      </c>
      <c r="B1017" s="6" t="str">
        <f>IFERROR(__xludf.DUMMYFUNCTION("""COMPUTED_VALUE"""),"dinner")</f>
        <v>dinner</v>
      </c>
      <c r="C1017" s="6" t="str">
        <f>IFERROR(__xludf.DUMMYFUNCTION("""COMPUTED_VALUE"""),"employee B")</f>
        <v>employee B</v>
      </c>
      <c r="D1017" s="7">
        <f>IFERROR(__xludf.DUMMYFUNCTION("""COMPUTED_VALUE"""),80.62)</f>
        <v>80.62</v>
      </c>
      <c r="E1017" s="6" t="str">
        <f>IFERROR(__xludf.DUMMYFUNCTION("""COMPUTED_VALUE"""),"No")</f>
        <v>No</v>
      </c>
      <c r="F1017" s="8" t="str">
        <f>IFERROR(__xludf.DUMMYFUNCTION("""COMPUTED_VALUE"""),"No")</f>
        <v>No</v>
      </c>
    </row>
    <row r="1018">
      <c r="A1018" s="5">
        <f>IFERROR(__xludf.DUMMYFUNCTION("""COMPUTED_VALUE"""),44785.0)</f>
        <v>44785</v>
      </c>
      <c r="B1018" s="6" t="str">
        <f>IFERROR(__xludf.DUMMYFUNCTION("""COMPUTED_VALUE"""),"dinner")</f>
        <v>dinner</v>
      </c>
      <c r="C1018" s="6" t="str">
        <f>IFERROR(__xludf.DUMMYFUNCTION("""COMPUTED_VALUE"""),"employee J")</f>
        <v>employee J</v>
      </c>
      <c r="D1018" s="7">
        <f>IFERROR(__xludf.DUMMYFUNCTION("""COMPUTED_VALUE"""),80.62)</f>
        <v>80.62</v>
      </c>
      <c r="E1018" s="6" t="str">
        <f>IFERROR(__xludf.DUMMYFUNCTION("""COMPUTED_VALUE"""),"No")</f>
        <v>No</v>
      </c>
      <c r="F1018" s="8" t="str">
        <f>IFERROR(__xludf.DUMMYFUNCTION("""COMPUTED_VALUE"""),"No")</f>
        <v>No</v>
      </c>
    </row>
    <row r="1019">
      <c r="A1019" s="5">
        <f>IFERROR(__xludf.DUMMYFUNCTION("""COMPUTED_VALUE"""),44786.0)</f>
        <v>44786</v>
      </c>
      <c r="B1019" s="6" t="str">
        <f>IFERROR(__xludf.DUMMYFUNCTION("""COMPUTED_VALUE"""),"lunch")</f>
        <v>lunch</v>
      </c>
      <c r="C1019" s="6" t="str">
        <f>IFERROR(__xludf.DUMMYFUNCTION("""COMPUTED_VALUE"""),"employee B")</f>
        <v>employee B</v>
      </c>
      <c r="D1019" s="7">
        <f>IFERROR(__xludf.DUMMYFUNCTION("""COMPUTED_VALUE"""),99.82)</f>
        <v>99.82</v>
      </c>
      <c r="E1019" s="6" t="str">
        <f>IFERROR(__xludf.DUMMYFUNCTION("""COMPUTED_VALUE"""),"No")</f>
        <v>No</v>
      </c>
      <c r="F1019" s="8" t="str">
        <f>IFERROR(__xludf.DUMMYFUNCTION("""COMPUTED_VALUE"""),"No")</f>
        <v>No</v>
      </c>
    </row>
    <row r="1020">
      <c r="A1020" s="5">
        <f>IFERROR(__xludf.DUMMYFUNCTION("""COMPUTED_VALUE"""),44786.0)</f>
        <v>44786</v>
      </c>
      <c r="B1020" s="6" t="str">
        <f>IFERROR(__xludf.DUMMYFUNCTION("""COMPUTED_VALUE"""),"lunch")</f>
        <v>lunch</v>
      </c>
      <c r="C1020" s="6" t="str">
        <f>IFERROR(__xludf.DUMMYFUNCTION("""COMPUTED_VALUE"""),"employee L")</f>
        <v>employee L</v>
      </c>
      <c r="D1020" s="7">
        <f>IFERROR(__xludf.DUMMYFUNCTION("""COMPUTED_VALUE"""),71.3)</f>
        <v>71.3</v>
      </c>
      <c r="E1020" s="6" t="str">
        <f>IFERROR(__xludf.DUMMYFUNCTION("""COMPUTED_VALUE"""),"No")</f>
        <v>No</v>
      </c>
      <c r="F1020" s="8" t="str">
        <f>IFERROR(__xludf.DUMMYFUNCTION("""COMPUTED_VALUE"""),"No")</f>
        <v>No</v>
      </c>
    </row>
    <row r="1021">
      <c r="A1021" s="5">
        <f>IFERROR(__xludf.DUMMYFUNCTION("""COMPUTED_VALUE"""),44786.0)</f>
        <v>44786</v>
      </c>
      <c r="B1021" s="6" t="str">
        <f>IFERROR(__xludf.DUMMYFUNCTION("""COMPUTED_VALUE"""),"lunch")</f>
        <v>lunch</v>
      </c>
      <c r="C1021" s="6" t="str">
        <f>IFERROR(__xludf.DUMMYFUNCTION("""COMPUTED_VALUE"""),"employee G")</f>
        <v>employee G</v>
      </c>
      <c r="D1021" s="7">
        <f>IFERROR(__xludf.DUMMYFUNCTION("""COMPUTED_VALUE"""),32.02)</f>
        <v>32.02</v>
      </c>
      <c r="E1021" s="6" t="str">
        <f>IFERROR(__xludf.DUMMYFUNCTION("""COMPUTED_VALUE"""),"No")</f>
        <v>No</v>
      </c>
      <c r="F1021" s="8" t="str">
        <f>IFERROR(__xludf.DUMMYFUNCTION("""COMPUTED_VALUE"""),"No")</f>
        <v>No</v>
      </c>
    </row>
    <row r="1022">
      <c r="A1022" s="5">
        <f>IFERROR(__xludf.DUMMYFUNCTION("""COMPUTED_VALUE"""),44786.0)</f>
        <v>44786</v>
      </c>
      <c r="B1022" s="6" t="str">
        <f>IFERROR(__xludf.DUMMYFUNCTION("""COMPUTED_VALUE"""),"dinner")</f>
        <v>dinner</v>
      </c>
      <c r="C1022" s="6" t="str">
        <f>IFERROR(__xludf.DUMMYFUNCTION("""COMPUTED_VALUE"""),"employee B")</f>
        <v>employee B</v>
      </c>
      <c r="D1022" s="7">
        <f>IFERROR(__xludf.DUMMYFUNCTION("""COMPUTED_VALUE"""),20.93)</f>
        <v>20.93</v>
      </c>
      <c r="E1022" s="6" t="str">
        <f>IFERROR(__xludf.DUMMYFUNCTION("""COMPUTED_VALUE"""),"No")</f>
        <v>No</v>
      </c>
      <c r="F1022" s="8" t="str">
        <f>IFERROR(__xludf.DUMMYFUNCTION("""COMPUTED_VALUE"""),"No")</f>
        <v>No</v>
      </c>
    </row>
    <row r="1023">
      <c r="A1023" s="5">
        <f>IFERROR(__xludf.DUMMYFUNCTION("""COMPUTED_VALUE"""),44786.0)</f>
        <v>44786</v>
      </c>
      <c r="B1023" s="6" t="str">
        <f>IFERROR(__xludf.DUMMYFUNCTION("""COMPUTED_VALUE"""),"dinner")</f>
        <v>dinner</v>
      </c>
      <c r="C1023" s="6" t="str">
        <f>IFERROR(__xludf.DUMMYFUNCTION("""COMPUTED_VALUE"""),"employee L")</f>
        <v>employee L</v>
      </c>
      <c r="D1023" s="7">
        <f>IFERROR(__xludf.DUMMYFUNCTION("""COMPUTED_VALUE"""),34.26)</f>
        <v>34.26</v>
      </c>
      <c r="E1023" s="6" t="str">
        <f>IFERROR(__xludf.DUMMYFUNCTION("""COMPUTED_VALUE"""),"No")</f>
        <v>No</v>
      </c>
      <c r="F1023" s="8" t="str">
        <f>IFERROR(__xludf.DUMMYFUNCTION("""COMPUTED_VALUE"""),"No")</f>
        <v>No</v>
      </c>
    </row>
    <row r="1024">
      <c r="A1024" s="5">
        <f>IFERROR(__xludf.DUMMYFUNCTION("""COMPUTED_VALUE"""),44786.0)</f>
        <v>44786</v>
      </c>
      <c r="B1024" s="6" t="str">
        <f>IFERROR(__xludf.DUMMYFUNCTION("""COMPUTED_VALUE"""),"dinner")</f>
        <v>dinner</v>
      </c>
      <c r="C1024" s="6" t="str">
        <f>IFERROR(__xludf.DUMMYFUNCTION("""COMPUTED_VALUE"""),"employee J")</f>
        <v>employee J</v>
      </c>
      <c r="D1024" s="7">
        <f>IFERROR(__xludf.DUMMYFUNCTION("""COMPUTED_VALUE"""),34.26)</f>
        <v>34.26</v>
      </c>
      <c r="E1024" s="6" t="str">
        <f>IFERROR(__xludf.DUMMYFUNCTION("""COMPUTED_VALUE"""),"No")</f>
        <v>No</v>
      </c>
      <c r="F1024" s="8" t="str">
        <f>IFERROR(__xludf.DUMMYFUNCTION("""COMPUTED_VALUE"""),"No")</f>
        <v>No</v>
      </c>
    </row>
    <row r="1025">
      <c r="A1025" s="5">
        <f>IFERROR(__xludf.DUMMYFUNCTION("""COMPUTED_VALUE"""),44786.0)</f>
        <v>44786</v>
      </c>
      <c r="B1025" s="6" t="str">
        <f>IFERROR(__xludf.DUMMYFUNCTION("""COMPUTED_VALUE"""),"dinner")</f>
        <v>dinner</v>
      </c>
      <c r="C1025" s="6" t="str">
        <f>IFERROR(__xludf.DUMMYFUNCTION("""COMPUTED_VALUE"""),"employee H")</f>
        <v>employee H</v>
      </c>
      <c r="D1025" s="7">
        <f>IFERROR(__xludf.DUMMYFUNCTION("""COMPUTED_VALUE"""),0.0)</f>
        <v>0</v>
      </c>
      <c r="E1025" s="9" t="str">
        <f>IFERROR(__xludf.DUMMYFUNCTION("""COMPUTED_VALUE"""),"Yes")</f>
        <v>Yes</v>
      </c>
      <c r="F1025" s="8" t="str">
        <f>IFERROR(__xludf.DUMMYFUNCTION("""COMPUTED_VALUE"""),"No")</f>
        <v>No</v>
      </c>
    </row>
    <row r="1026">
      <c r="A1026" s="5">
        <f>IFERROR(__xludf.DUMMYFUNCTION("""COMPUTED_VALUE"""),44787.0)</f>
        <v>44787</v>
      </c>
      <c r="B1026" s="6" t="str">
        <f>IFERROR(__xludf.DUMMYFUNCTION("""COMPUTED_VALUE"""),"lunch")</f>
        <v>lunch</v>
      </c>
      <c r="C1026" s="6" t="str">
        <f>IFERROR(__xludf.DUMMYFUNCTION("""COMPUTED_VALUE"""),"employee L")</f>
        <v>employee L</v>
      </c>
      <c r="D1026" s="7">
        <f>IFERROR(__xludf.DUMMYFUNCTION("""COMPUTED_VALUE"""),130.75)</f>
        <v>130.75</v>
      </c>
      <c r="E1026" s="6" t="str">
        <f>IFERROR(__xludf.DUMMYFUNCTION("""COMPUTED_VALUE"""),"No")</f>
        <v>No</v>
      </c>
      <c r="F1026" s="8" t="str">
        <f>IFERROR(__xludf.DUMMYFUNCTION("""COMPUTED_VALUE"""),"No")</f>
        <v>No</v>
      </c>
    </row>
    <row r="1027">
      <c r="A1027" s="5">
        <f>IFERROR(__xludf.DUMMYFUNCTION("""COMPUTED_VALUE"""),44787.0)</f>
        <v>44787</v>
      </c>
      <c r="B1027" s="6" t="str">
        <f>IFERROR(__xludf.DUMMYFUNCTION("""COMPUTED_VALUE"""),"lunch")</f>
        <v>lunch</v>
      </c>
      <c r="C1027" s="6" t="str">
        <f>IFERROR(__xludf.DUMMYFUNCTION("""COMPUTED_VALUE"""),"employee J")</f>
        <v>employee J</v>
      </c>
      <c r="D1027" s="7">
        <f>IFERROR(__xludf.DUMMYFUNCTION("""COMPUTED_VALUE"""),93.34)</f>
        <v>93.34</v>
      </c>
      <c r="E1027" s="6" t="str">
        <f>IFERROR(__xludf.DUMMYFUNCTION("""COMPUTED_VALUE"""),"No")</f>
        <v>No</v>
      </c>
      <c r="F1027" s="8" t="str">
        <f>IFERROR(__xludf.DUMMYFUNCTION("""COMPUTED_VALUE"""),"No")</f>
        <v>No</v>
      </c>
    </row>
    <row r="1028">
      <c r="A1028" s="5">
        <f>IFERROR(__xludf.DUMMYFUNCTION("""COMPUTED_VALUE"""),44787.0)</f>
        <v>44787</v>
      </c>
      <c r="B1028" s="6" t="str">
        <f>IFERROR(__xludf.DUMMYFUNCTION("""COMPUTED_VALUE"""),"lunch")</f>
        <v>lunch</v>
      </c>
      <c r="C1028" s="6" t="str">
        <f>IFERROR(__xludf.DUMMYFUNCTION("""COMPUTED_VALUE"""),"employee H")</f>
        <v>employee H</v>
      </c>
      <c r="D1028" s="7">
        <f>IFERROR(__xludf.DUMMYFUNCTION("""COMPUTED_VALUE"""),0.0)</f>
        <v>0</v>
      </c>
      <c r="E1028" s="9" t="str">
        <f>IFERROR(__xludf.DUMMYFUNCTION("""COMPUTED_VALUE"""),"Yes")</f>
        <v>Yes</v>
      </c>
      <c r="F1028" s="8" t="str">
        <f>IFERROR(__xludf.DUMMYFUNCTION("""COMPUTED_VALUE"""),"No")</f>
        <v>No</v>
      </c>
    </row>
    <row r="1029">
      <c r="A1029" s="5">
        <f>IFERROR(__xludf.DUMMYFUNCTION("""COMPUTED_VALUE"""),44787.0)</f>
        <v>44787</v>
      </c>
      <c r="B1029" s="6" t="str">
        <f>IFERROR(__xludf.DUMMYFUNCTION("""COMPUTED_VALUE"""),"dinner")</f>
        <v>dinner</v>
      </c>
      <c r="C1029" s="6" t="str">
        <f>IFERROR(__xludf.DUMMYFUNCTION("""COMPUTED_VALUE"""),"employee B")</f>
        <v>employee B</v>
      </c>
      <c r="D1029" s="7">
        <f>IFERROR(__xludf.DUMMYFUNCTION("""COMPUTED_VALUE"""),15.82)</f>
        <v>15.82</v>
      </c>
      <c r="E1029" s="6" t="str">
        <f>IFERROR(__xludf.DUMMYFUNCTION("""COMPUTED_VALUE"""),"No")</f>
        <v>No</v>
      </c>
      <c r="F1029" s="8" t="str">
        <f>IFERROR(__xludf.DUMMYFUNCTION("""COMPUTED_VALUE"""),"No")</f>
        <v>No</v>
      </c>
    </row>
    <row r="1030">
      <c r="A1030" s="5">
        <f>IFERROR(__xludf.DUMMYFUNCTION("""COMPUTED_VALUE"""),44787.0)</f>
        <v>44787</v>
      </c>
      <c r="B1030" s="6" t="str">
        <f>IFERROR(__xludf.DUMMYFUNCTION("""COMPUTED_VALUE"""),"dinner")</f>
        <v>dinner</v>
      </c>
      <c r="C1030" s="6" t="str">
        <f>IFERROR(__xludf.DUMMYFUNCTION("""COMPUTED_VALUE"""),"employee L")</f>
        <v>employee L</v>
      </c>
      <c r="D1030" s="7">
        <f>IFERROR(__xludf.DUMMYFUNCTION("""COMPUTED_VALUE"""),13.56)</f>
        <v>13.56</v>
      </c>
      <c r="E1030" s="6" t="str">
        <f>IFERROR(__xludf.DUMMYFUNCTION("""COMPUTED_VALUE"""),"No")</f>
        <v>No</v>
      </c>
      <c r="F1030" s="8" t="str">
        <f>IFERROR(__xludf.DUMMYFUNCTION("""COMPUTED_VALUE"""),"No")</f>
        <v>No</v>
      </c>
    </row>
    <row r="1031">
      <c r="A1031" s="5">
        <f>IFERROR(__xludf.DUMMYFUNCTION("""COMPUTED_VALUE"""),44787.0)</f>
        <v>44787</v>
      </c>
      <c r="B1031" s="6" t="str">
        <f>IFERROR(__xludf.DUMMYFUNCTION("""COMPUTED_VALUE"""),"dinner")</f>
        <v>dinner</v>
      </c>
      <c r="C1031" s="6" t="str">
        <f>IFERROR(__xludf.DUMMYFUNCTION("""COMPUTED_VALUE"""),"employee P")</f>
        <v>employee P</v>
      </c>
      <c r="D1031" s="7">
        <f>IFERROR(__xludf.DUMMYFUNCTION("""COMPUTED_VALUE"""),18.91)</f>
        <v>18.91</v>
      </c>
      <c r="E1031" s="6" t="str">
        <f>IFERROR(__xludf.DUMMYFUNCTION("""COMPUTED_VALUE"""),"No")</f>
        <v>No</v>
      </c>
      <c r="F1031" s="8" t="str">
        <f>IFERROR(__xludf.DUMMYFUNCTION("""COMPUTED_VALUE"""),"No")</f>
        <v>No</v>
      </c>
    </row>
    <row r="1032">
      <c r="A1032" s="5">
        <f>IFERROR(__xludf.DUMMYFUNCTION("""COMPUTED_VALUE"""),44788.0)</f>
        <v>44788</v>
      </c>
      <c r="B1032" s="6" t="str">
        <f>IFERROR(__xludf.DUMMYFUNCTION("""COMPUTED_VALUE"""),"lunch")</f>
        <v>lunch</v>
      </c>
      <c r="C1032" s="6" t="str">
        <f>IFERROR(__xludf.DUMMYFUNCTION("""COMPUTED_VALUE"""),"employee A")</f>
        <v>employee A</v>
      </c>
      <c r="D1032" s="7">
        <f>IFERROR(__xludf.DUMMYFUNCTION("""COMPUTED_VALUE"""),111.93)</f>
        <v>111.93</v>
      </c>
      <c r="E1032" s="6" t="str">
        <f>IFERROR(__xludf.DUMMYFUNCTION("""COMPUTED_VALUE"""),"No")</f>
        <v>No</v>
      </c>
      <c r="F1032" s="8" t="str">
        <f>IFERROR(__xludf.DUMMYFUNCTION("""COMPUTED_VALUE"""),"No")</f>
        <v>No</v>
      </c>
    </row>
    <row r="1033">
      <c r="A1033" s="5">
        <f>IFERROR(__xludf.DUMMYFUNCTION("""COMPUTED_VALUE"""),44788.0)</f>
        <v>44788</v>
      </c>
      <c r="B1033" s="6" t="str">
        <f>IFERROR(__xludf.DUMMYFUNCTION("""COMPUTED_VALUE"""),"dinner")</f>
        <v>dinner</v>
      </c>
      <c r="C1033" s="6" t="str">
        <f>IFERROR(__xludf.DUMMYFUNCTION("""COMPUTED_VALUE"""),"employee A")</f>
        <v>employee A</v>
      </c>
      <c r="D1033" s="7">
        <f>IFERROR(__xludf.DUMMYFUNCTION("""COMPUTED_VALUE"""),146.49)</f>
        <v>146.49</v>
      </c>
      <c r="E1033" s="6" t="str">
        <f>IFERROR(__xludf.DUMMYFUNCTION("""COMPUTED_VALUE"""),"No")</f>
        <v>No</v>
      </c>
      <c r="F1033" s="8" t="str">
        <f>IFERROR(__xludf.DUMMYFUNCTION("""COMPUTED_VALUE"""),"No")</f>
        <v>No</v>
      </c>
    </row>
    <row r="1034">
      <c r="A1034" s="5">
        <f>IFERROR(__xludf.DUMMYFUNCTION("""COMPUTED_VALUE"""),44788.0)</f>
        <v>44788</v>
      </c>
      <c r="B1034" s="6" t="str">
        <f>IFERROR(__xludf.DUMMYFUNCTION("""COMPUTED_VALUE"""),"dinner")</f>
        <v>dinner</v>
      </c>
      <c r="C1034" s="6" t="str">
        <f>IFERROR(__xludf.DUMMYFUNCTION("""COMPUTED_VALUE"""),"employee P")</f>
        <v>employee P</v>
      </c>
      <c r="D1034" s="7">
        <f>IFERROR(__xludf.DUMMYFUNCTION("""COMPUTED_VALUE"""),97.65)</f>
        <v>97.65</v>
      </c>
      <c r="E1034" s="6" t="str">
        <f>IFERROR(__xludf.DUMMYFUNCTION("""COMPUTED_VALUE"""),"No")</f>
        <v>No</v>
      </c>
      <c r="F1034" s="8" t="str">
        <f>IFERROR(__xludf.DUMMYFUNCTION("""COMPUTED_VALUE"""),"No")</f>
        <v>No</v>
      </c>
    </row>
    <row r="1035">
      <c r="A1035" s="5">
        <f>IFERROR(__xludf.DUMMYFUNCTION("""COMPUTED_VALUE"""),44788.0)</f>
        <v>44788</v>
      </c>
      <c r="B1035" s="6" t="str">
        <f>IFERROR(__xludf.DUMMYFUNCTION("""COMPUTED_VALUE"""),"dinner")</f>
        <v>dinner</v>
      </c>
      <c r="C1035" s="6" t="str">
        <f>IFERROR(__xludf.DUMMYFUNCTION("""COMPUTED_VALUE"""),"employee H")</f>
        <v>employee H</v>
      </c>
      <c r="D1035" s="7">
        <f>IFERROR(__xludf.DUMMYFUNCTION("""COMPUTED_VALUE"""),0.0)</f>
        <v>0</v>
      </c>
      <c r="E1035" s="9" t="str">
        <f>IFERROR(__xludf.DUMMYFUNCTION("""COMPUTED_VALUE"""),"Yes")</f>
        <v>Yes</v>
      </c>
      <c r="F1035" s="8" t="str">
        <f>IFERROR(__xludf.DUMMYFUNCTION("""COMPUTED_VALUE"""),"No")</f>
        <v>No</v>
      </c>
    </row>
    <row r="1036">
      <c r="A1036" s="5">
        <f>IFERROR(__xludf.DUMMYFUNCTION("""COMPUTED_VALUE"""),44789.0)</f>
        <v>44789</v>
      </c>
      <c r="B1036" s="6" t="str">
        <f>IFERROR(__xludf.DUMMYFUNCTION("""COMPUTED_VALUE"""),"lunch")</f>
        <v>lunch</v>
      </c>
      <c r="C1036" s="6" t="str">
        <f>IFERROR(__xludf.DUMMYFUNCTION("""COMPUTED_VALUE"""),"employee A")</f>
        <v>employee A</v>
      </c>
      <c r="D1036" s="7">
        <f>IFERROR(__xludf.DUMMYFUNCTION("""COMPUTED_VALUE"""),79.57)</f>
        <v>79.57</v>
      </c>
      <c r="E1036" s="6" t="str">
        <f>IFERROR(__xludf.DUMMYFUNCTION("""COMPUTED_VALUE"""),"No")</f>
        <v>No</v>
      </c>
      <c r="F1036" s="8" t="str">
        <f>IFERROR(__xludf.DUMMYFUNCTION("""COMPUTED_VALUE"""),"No")</f>
        <v>No</v>
      </c>
    </row>
    <row r="1037">
      <c r="A1037" s="5">
        <f>IFERROR(__xludf.DUMMYFUNCTION("""COMPUTED_VALUE"""),44789.0)</f>
        <v>44789</v>
      </c>
      <c r="B1037" s="6" t="str">
        <f>IFERROR(__xludf.DUMMYFUNCTION("""COMPUTED_VALUE"""),"dinner")</f>
        <v>dinner</v>
      </c>
      <c r="C1037" s="6" t="str">
        <f>IFERROR(__xludf.DUMMYFUNCTION("""COMPUTED_VALUE"""),"employee J")</f>
        <v>employee J</v>
      </c>
      <c r="D1037" s="7">
        <f>IFERROR(__xludf.DUMMYFUNCTION("""COMPUTED_VALUE"""),59.8)</f>
        <v>59.8</v>
      </c>
      <c r="E1037" s="6" t="str">
        <f>IFERROR(__xludf.DUMMYFUNCTION("""COMPUTED_VALUE"""),"No")</f>
        <v>No</v>
      </c>
      <c r="F1037" s="8" t="str">
        <f>IFERROR(__xludf.DUMMYFUNCTION("""COMPUTED_VALUE"""),"No")</f>
        <v>No</v>
      </c>
    </row>
    <row r="1038">
      <c r="A1038" s="5">
        <f>IFERROR(__xludf.DUMMYFUNCTION("""COMPUTED_VALUE"""),44789.0)</f>
        <v>44789</v>
      </c>
      <c r="B1038" s="6" t="str">
        <f>IFERROR(__xludf.DUMMYFUNCTION("""COMPUTED_VALUE"""),"dinner")</f>
        <v>dinner</v>
      </c>
      <c r="C1038" s="6" t="str">
        <f>IFERROR(__xludf.DUMMYFUNCTION("""COMPUTED_VALUE"""),"employee P")</f>
        <v>employee P</v>
      </c>
      <c r="D1038" s="7">
        <f>IFERROR(__xludf.DUMMYFUNCTION("""COMPUTED_VALUE"""),59.8)</f>
        <v>59.8</v>
      </c>
      <c r="E1038" s="6" t="str">
        <f>IFERROR(__xludf.DUMMYFUNCTION("""COMPUTED_VALUE"""),"No")</f>
        <v>No</v>
      </c>
      <c r="F1038" s="8" t="str">
        <f>IFERROR(__xludf.DUMMYFUNCTION("""COMPUTED_VALUE"""),"No")</f>
        <v>No</v>
      </c>
    </row>
    <row r="1039">
      <c r="A1039" s="5">
        <f>IFERROR(__xludf.DUMMYFUNCTION("""COMPUTED_VALUE"""),44789.0)</f>
        <v>44789</v>
      </c>
      <c r="B1039" s="6" t="str">
        <f>IFERROR(__xludf.DUMMYFUNCTION("""COMPUTED_VALUE"""),"dinner")</f>
        <v>dinner</v>
      </c>
      <c r="C1039" s="6" t="str">
        <f>IFERROR(__xludf.DUMMYFUNCTION("""COMPUTED_VALUE"""),"employee H")</f>
        <v>employee H</v>
      </c>
      <c r="D1039" s="7">
        <f>IFERROR(__xludf.DUMMYFUNCTION("""COMPUTED_VALUE"""),59.8)</f>
        <v>59.8</v>
      </c>
      <c r="E1039" s="6" t="str">
        <f>IFERROR(__xludf.DUMMYFUNCTION("""COMPUTED_VALUE"""),"No")</f>
        <v>No</v>
      </c>
      <c r="F1039" s="8" t="str">
        <f>IFERROR(__xludf.DUMMYFUNCTION("""COMPUTED_VALUE"""),"No")</f>
        <v>No</v>
      </c>
    </row>
    <row r="1040">
      <c r="A1040" s="5">
        <f>IFERROR(__xludf.DUMMYFUNCTION("""COMPUTED_VALUE"""),44790.0)</f>
        <v>44790</v>
      </c>
      <c r="B1040" s="6" t="str">
        <f>IFERROR(__xludf.DUMMYFUNCTION("""COMPUTED_VALUE"""),"lunch")</f>
        <v>lunch</v>
      </c>
      <c r="C1040" s="6" t="str">
        <f>IFERROR(__xludf.DUMMYFUNCTION("""COMPUTED_VALUE"""),"employee A")</f>
        <v>employee A</v>
      </c>
      <c r="D1040" s="7">
        <f>IFERROR(__xludf.DUMMYFUNCTION("""COMPUTED_VALUE"""),135.57)</f>
        <v>135.57</v>
      </c>
      <c r="E1040" s="6" t="str">
        <f>IFERROR(__xludf.DUMMYFUNCTION("""COMPUTED_VALUE"""),"No")</f>
        <v>No</v>
      </c>
      <c r="F1040" s="8" t="str">
        <f>IFERROR(__xludf.DUMMYFUNCTION("""COMPUTED_VALUE"""),"No")</f>
        <v>No</v>
      </c>
    </row>
    <row r="1041">
      <c r="A1041" s="5">
        <f>IFERROR(__xludf.DUMMYFUNCTION("""COMPUTED_VALUE"""),44790.0)</f>
        <v>44790</v>
      </c>
      <c r="B1041" s="6" t="str">
        <f>IFERROR(__xludf.DUMMYFUNCTION("""COMPUTED_VALUE"""),"dinner")</f>
        <v>dinner</v>
      </c>
      <c r="C1041" s="6" t="str">
        <f>IFERROR(__xludf.DUMMYFUNCTION("""COMPUTED_VALUE"""),"employee P")</f>
        <v>employee P</v>
      </c>
      <c r="D1041" s="7">
        <f>IFERROR(__xludf.DUMMYFUNCTION("""COMPUTED_VALUE"""),81.87)</f>
        <v>81.87</v>
      </c>
      <c r="E1041" s="6" t="str">
        <f>IFERROR(__xludf.DUMMYFUNCTION("""COMPUTED_VALUE"""),"No")</f>
        <v>No</v>
      </c>
      <c r="F1041" s="8" t="str">
        <f>IFERROR(__xludf.DUMMYFUNCTION("""COMPUTED_VALUE"""),"No")</f>
        <v>No</v>
      </c>
    </row>
    <row r="1042">
      <c r="A1042" s="5">
        <f>IFERROR(__xludf.DUMMYFUNCTION("""COMPUTED_VALUE"""),44790.0)</f>
        <v>44790</v>
      </c>
      <c r="B1042" s="6" t="str">
        <f>IFERROR(__xludf.DUMMYFUNCTION("""COMPUTED_VALUE"""),"dinner")</f>
        <v>dinner</v>
      </c>
      <c r="C1042" s="6" t="str">
        <f>IFERROR(__xludf.DUMMYFUNCTION("""COMPUTED_VALUE"""),"employee G")</f>
        <v>employee G</v>
      </c>
      <c r="D1042" s="7">
        <f>IFERROR(__xludf.DUMMYFUNCTION("""COMPUTED_VALUE"""),63.59)</f>
        <v>63.59</v>
      </c>
      <c r="E1042" s="6" t="str">
        <f>IFERROR(__xludf.DUMMYFUNCTION("""COMPUTED_VALUE"""),"No")</f>
        <v>No</v>
      </c>
      <c r="F1042" s="8" t="str">
        <f>IFERROR(__xludf.DUMMYFUNCTION("""COMPUTED_VALUE"""),"No")</f>
        <v>No</v>
      </c>
    </row>
    <row r="1043">
      <c r="A1043" s="5">
        <f>IFERROR(__xludf.DUMMYFUNCTION("""COMPUTED_VALUE"""),44790.0)</f>
        <v>44790</v>
      </c>
      <c r="B1043" s="6" t="str">
        <f>IFERROR(__xludf.DUMMYFUNCTION("""COMPUTED_VALUE"""),"dinner")</f>
        <v>dinner</v>
      </c>
      <c r="C1043" s="6" t="str">
        <f>IFERROR(__xludf.DUMMYFUNCTION("""COMPUTED_VALUE"""),"employee H")</f>
        <v>employee H</v>
      </c>
      <c r="D1043" s="7">
        <f>IFERROR(__xludf.DUMMYFUNCTION("""COMPUTED_VALUE"""),81.76)</f>
        <v>81.76</v>
      </c>
      <c r="E1043" s="6" t="str">
        <f>IFERROR(__xludf.DUMMYFUNCTION("""COMPUTED_VALUE"""),"No")</f>
        <v>No</v>
      </c>
      <c r="F1043" s="8" t="str">
        <f>IFERROR(__xludf.DUMMYFUNCTION("""COMPUTED_VALUE"""),"No")</f>
        <v>No</v>
      </c>
    </row>
    <row r="1044">
      <c r="A1044" s="5">
        <f>IFERROR(__xludf.DUMMYFUNCTION("""COMPUTED_VALUE"""),44791.0)</f>
        <v>44791</v>
      </c>
      <c r="B1044" s="6" t="str">
        <f>IFERROR(__xludf.DUMMYFUNCTION("""COMPUTED_VALUE"""),"lunch")</f>
        <v>lunch</v>
      </c>
      <c r="C1044" s="6" t="str">
        <f>IFERROR(__xludf.DUMMYFUNCTION("""COMPUTED_VALUE"""),"employee L")</f>
        <v>employee L</v>
      </c>
      <c r="D1044" s="7">
        <f>IFERROR(__xludf.DUMMYFUNCTION("""COMPUTED_VALUE"""),32.74)</f>
        <v>32.74</v>
      </c>
      <c r="E1044" s="6" t="str">
        <f>IFERROR(__xludf.DUMMYFUNCTION("""COMPUTED_VALUE"""),"No")</f>
        <v>No</v>
      </c>
      <c r="F1044" s="8" t="str">
        <f>IFERROR(__xludf.DUMMYFUNCTION("""COMPUTED_VALUE"""),"No")</f>
        <v>No</v>
      </c>
    </row>
    <row r="1045">
      <c r="A1045" s="5">
        <f>IFERROR(__xludf.DUMMYFUNCTION("""COMPUTED_VALUE"""),44791.0)</f>
        <v>44791</v>
      </c>
      <c r="B1045" s="6" t="str">
        <f>IFERROR(__xludf.DUMMYFUNCTION("""COMPUTED_VALUE"""),"lunch")</f>
        <v>lunch</v>
      </c>
      <c r="C1045" s="6" t="str">
        <f>IFERROR(__xludf.DUMMYFUNCTION("""COMPUTED_VALUE"""),"employee H")</f>
        <v>employee H</v>
      </c>
      <c r="D1045" s="7">
        <f>IFERROR(__xludf.DUMMYFUNCTION("""COMPUTED_VALUE"""),4.91)</f>
        <v>4.91</v>
      </c>
      <c r="E1045" s="6" t="str">
        <f>IFERROR(__xludf.DUMMYFUNCTION("""COMPUTED_VALUE"""),"No")</f>
        <v>No</v>
      </c>
      <c r="F1045" s="8" t="str">
        <f>IFERROR(__xludf.DUMMYFUNCTION("""COMPUTED_VALUE"""),"No")</f>
        <v>No</v>
      </c>
    </row>
    <row r="1046">
      <c r="A1046" s="5">
        <f>IFERROR(__xludf.DUMMYFUNCTION("""COMPUTED_VALUE"""),44791.0)</f>
        <v>44791</v>
      </c>
      <c r="B1046" s="6" t="str">
        <f>IFERROR(__xludf.DUMMYFUNCTION("""COMPUTED_VALUE"""),"dinner")</f>
        <v>dinner</v>
      </c>
      <c r="C1046" s="6" t="str">
        <f>IFERROR(__xludf.DUMMYFUNCTION("""COMPUTED_VALUE"""),"employee A")</f>
        <v>employee A</v>
      </c>
      <c r="D1046" s="7">
        <f>IFERROR(__xludf.DUMMYFUNCTION("""COMPUTED_VALUE"""),120.32)</f>
        <v>120.32</v>
      </c>
      <c r="E1046" s="6" t="str">
        <f>IFERROR(__xludf.DUMMYFUNCTION("""COMPUTED_VALUE"""),"No")</f>
        <v>No</v>
      </c>
      <c r="F1046" s="8" t="str">
        <f>IFERROR(__xludf.DUMMYFUNCTION("""COMPUTED_VALUE"""),"No")</f>
        <v>No</v>
      </c>
    </row>
    <row r="1047">
      <c r="A1047" s="5">
        <f>IFERROR(__xludf.DUMMYFUNCTION("""COMPUTED_VALUE"""),44791.0)</f>
        <v>44791</v>
      </c>
      <c r="B1047" s="6" t="str">
        <f>IFERROR(__xludf.DUMMYFUNCTION("""COMPUTED_VALUE"""),"dinner")</f>
        <v>dinner</v>
      </c>
      <c r="C1047" s="6" t="str">
        <f>IFERROR(__xludf.DUMMYFUNCTION("""COMPUTED_VALUE"""),"employee P")</f>
        <v>employee P</v>
      </c>
      <c r="D1047" s="7">
        <f>IFERROR(__xludf.DUMMYFUNCTION("""COMPUTED_VALUE"""),120.32)</f>
        <v>120.32</v>
      </c>
      <c r="E1047" s="6" t="str">
        <f>IFERROR(__xludf.DUMMYFUNCTION("""COMPUTED_VALUE"""),"No")</f>
        <v>No</v>
      </c>
      <c r="F1047" s="8" t="str">
        <f>IFERROR(__xludf.DUMMYFUNCTION("""COMPUTED_VALUE"""),"No")</f>
        <v>No</v>
      </c>
    </row>
    <row r="1048">
      <c r="A1048" s="5">
        <f>IFERROR(__xludf.DUMMYFUNCTION("""COMPUTED_VALUE"""),44792.0)</f>
        <v>44792</v>
      </c>
      <c r="B1048" s="6" t="str">
        <f>IFERROR(__xludf.DUMMYFUNCTION("""COMPUTED_VALUE"""),"lunch")</f>
        <v>lunch</v>
      </c>
      <c r="C1048" s="6" t="str">
        <f>IFERROR(__xludf.DUMMYFUNCTION("""COMPUTED_VALUE"""),"employee L")</f>
        <v>employee L</v>
      </c>
      <c r="D1048" s="7">
        <f>IFERROR(__xludf.DUMMYFUNCTION("""COMPUTED_VALUE"""),46.78)</f>
        <v>46.78</v>
      </c>
      <c r="E1048" s="6" t="str">
        <f>IFERROR(__xludf.DUMMYFUNCTION("""COMPUTED_VALUE"""),"No")</f>
        <v>No</v>
      </c>
      <c r="F1048" s="8" t="str">
        <f>IFERROR(__xludf.DUMMYFUNCTION("""COMPUTED_VALUE"""),"No")</f>
        <v>No</v>
      </c>
    </row>
    <row r="1049">
      <c r="A1049" s="5">
        <f>IFERROR(__xludf.DUMMYFUNCTION("""COMPUTED_VALUE"""),44792.0)</f>
        <v>44792</v>
      </c>
      <c r="B1049" s="6" t="str">
        <f>IFERROR(__xludf.DUMMYFUNCTION("""COMPUTED_VALUE"""),"lunch")</f>
        <v>lunch</v>
      </c>
      <c r="C1049" s="6" t="str">
        <f>IFERROR(__xludf.DUMMYFUNCTION("""COMPUTED_VALUE"""),"employee H")</f>
        <v>employee H</v>
      </c>
      <c r="D1049" s="7">
        <f>IFERROR(__xludf.DUMMYFUNCTION("""COMPUTED_VALUE"""),46.77)</f>
        <v>46.77</v>
      </c>
      <c r="E1049" s="6" t="str">
        <f>IFERROR(__xludf.DUMMYFUNCTION("""COMPUTED_VALUE"""),"No")</f>
        <v>No</v>
      </c>
      <c r="F1049" s="8" t="str">
        <f>IFERROR(__xludf.DUMMYFUNCTION("""COMPUTED_VALUE"""),"No")</f>
        <v>No</v>
      </c>
    </row>
    <row r="1050">
      <c r="A1050" s="5">
        <f>IFERROR(__xludf.DUMMYFUNCTION("""COMPUTED_VALUE"""),44792.0)</f>
        <v>44792</v>
      </c>
      <c r="B1050" s="6" t="str">
        <f>IFERROR(__xludf.DUMMYFUNCTION("""COMPUTED_VALUE"""),"dinner")</f>
        <v>dinner</v>
      </c>
      <c r="C1050" s="6" t="str">
        <f>IFERROR(__xludf.DUMMYFUNCTION("""COMPUTED_VALUE"""),"employee B")</f>
        <v>employee B</v>
      </c>
      <c r="D1050" s="7">
        <f>IFERROR(__xludf.DUMMYFUNCTION("""COMPUTED_VALUE"""),65.95)</f>
        <v>65.95</v>
      </c>
      <c r="E1050" s="6" t="str">
        <f>IFERROR(__xludf.DUMMYFUNCTION("""COMPUTED_VALUE"""),"No")</f>
        <v>No</v>
      </c>
      <c r="F1050" s="8" t="str">
        <f>IFERROR(__xludf.DUMMYFUNCTION("""COMPUTED_VALUE"""),"No")</f>
        <v>No</v>
      </c>
    </row>
    <row r="1051">
      <c r="A1051" s="5">
        <f>IFERROR(__xludf.DUMMYFUNCTION("""COMPUTED_VALUE"""),44792.0)</f>
        <v>44792</v>
      </c>
      <c r="B1051" s="6" t="str">
        <f>IFERROR(__xludf.DUMMYFUNCTION("""COMPUTED_VALUE"""),"dinner")</f>
        <v>dinner</v>
      </c>
      <c r="C1051" s="6" t="str">
        <f>IFERROR(__xludf.DUMMYFUNCTION("""COMPUTED_VALUE"""),"employee L")</f>
        <v>employee L</v>
      </c>
      <c r="D1051" s="7">
        <f>IFERROR(__xludf.DUMMYFUNCTION("""COMPUTED_VALUE"""),54.95)</f>
        <v>54.95</v>
      </c>
      <c r="E1051" s="6" t="str">
        <f>IFERROR(__xludf.DUMMYFUNCTION("""COMPUTED_VALUE"""),"No")</f>
        <v>No</v>
      </c>
      <c r="F1051" s="8" t="str">
        <f>IFERROR(__xludf.DUMMYFUNCTION("""COMPUTED_VALUE"""),"No")</f>
        <v>No</v>
      </c>
    </row>
    <row r="1052">
      <c r="A1052" s="5">
        <f>IFERROR(__xludf.DUMMYFUNCTION("""COMPUTED_VALUE"""),44792.0)</f>
        <v>44792</v>
      </c>
      <c r="B1052" s="6" t="str">
        <f>IFERROR(__xludf.DUMMYFUNCTION("""COMPUTED_VALUE"""),"dinner")</f>
        <v>dinner</v>
      </c>
      <c r="C1052" s="6" t="str">
        <f>IFERROR(__xludf.DUMMYFUNCTION("""COMPUTED_VALUE"""),"employee P")</f>
        <v>employee P</v>
      </c>
      <c r="D1052" s="7">
        <f>IFERROR(__xludf.DUMMYFUNCTION("""COMPUTED_VALUE"""),54.96)</f>
        <v>54.96</v>
      </c>
      <c r="E1052" s="6" t="str">
        <f>IFERROR(__xludf.DUMMYFUNCTION("""COMPUTED_VALUE"""),"No")</f>
        <v>No</v>
      </c>
      <c r="F1052" s="8" t="str">
        <f>IFERROR(__xludf.DUMMYFUNCTION("""COMPUTED_VALUE"""),"No")</f>
        <v>No</v>
      </c>
    </row>
    <row r="1053">
      <c r="A1053" s="5">
        <f>IFERROR(__xludf.DUMMYFUNCTION("""COMPUTED_VALUE"""),44793.0)</f>
        <v>44793</v>
      </c>
      <c r="B1053" s="6" t="str">
        <f>IFERROR(__xludf.DUMMYFUNCTION("""COMPUTED_VALUE"""),"lunch")</f>
        <v>lunch</v>
      </c>
      <c r="C1053" s="6" t="str">
        <f>IFERROR(__xludf.DUMMYFUNCTION("""COMPUTED_VALUE"""),"employee B")</f>
        <v>employee B</v>
      </c>
      <c r="D1053" s="7">
        <f>IFERROR(__xludf.DUMMYFUNCTION("""COMPUTED_VALUE"""),84.26)</f>
        <v>84.26</v>
      </c>
      <c r="E1053" s="6" t="str">
        <f>IFERROR(__xludf.DUMMYFUNCTION("""COMPUTED_VALUE"""),"No")</f>
        <v>No</v>
      </c>
      <c r="F1053" s="8" t="str">
        <f>IFERROR(__xludf.DUMMYFUNCTION("""COMPUTED_VALUE"""),"No")</f>
        <v>No</v>
      </c>
    </row>
    <row r="1054">
      <c r="A1054" s="5">
        <f>IFERROR(__xludf.DUMMYFUNCTION("""COMPUTED_VALUE"""),44793.0)</f>
        <v>44793</v>
      </c>
      <c r="B1054" s="6" t="str">
        <f>IFERROR(__xludf.DUMMYFUNCTION("""COMPUTED_VALUE"""),"lunch")</f>
        <v>lunch</v>
      </c>
      <c r="C1054" s="6" t="str">
        <f>IFERROR(__xludf.DUMMYFUNCTION("""COMPUTED_VALUE"""),"employee L")</f>
        <v>employee L</v>
      </c>
      <c r="D1054" s="7">
        <f>IFERROR(__xludf.DUMMYFUNCTION("""COMPUTED_VALUE"""),76.6)</f>
        <v>76.6</v>
      </c>
      <c r="E1054" s="6" t="str">
        <f>IFERROR(__xludf.DUMMYFUNCTION("""COMPUTED_VALUE"""),"No")</f>
        <v>No</v>
      </c>
      <c r="F1054" s="8" t="str">
        <f>IFERROR(__xludf.DUMMYFUNCTION("""COMPUTED_VALUE"""),"No")</f>
        <v>No</v>
      </c>
    </row>
    <row r="1055">
      <c r="A1055" s="5">
        <f>IFERROR(__xludf.DUMMYFUNCTION("""COMPUTED_VALUE"""),44793.0)</f>
        <v>44793</v>
      </c>
      <c r="B1055" s="6" t="str">
        <f>IFERROR(__xludf.DUMMYFUNCTION("""COMPUTED_VALUE"""),"dinner")</f>
        <v>dinner</v>
      </c>
      <c r="C1055" s="6" t="str">
        <f>IFERROR(__xludf.DUMMYFUNCTION("""COMPUTED_VALUE"""),"employee H")</f>
        <v>employee H</v>
      </c>
      <c r="D1055" s="7">
        <f>IFERROR(__xludf.DUMMYFUNCTION("""COMPUTED_VALUE"""),45.06)</f>
        <v>45.06</v>
      </c>
      <c r="E1055" s="6" t="str">
        <f>IFERROR(__xludf.DUMMYFUNCTION("""COMPUTED_VALUE"""),"No")</f>
        <v>No</v>
      </c>
      <c r="F1055" s="8" t="str">
        <f>IFERROR(__xludf.DUMMYFUNCTION("""COMPUTED_VALUE"""),"No")</f>
        <v>No</v>
      </c>
    </row>
    <row r="1056">
      <c r="A1056" s="5">
        <f>IFERROR(__xludf.DUMMYFUNCTION("""COMPUTED_VALUE"""),44793.0)</f>
        <v>44793</v>
      </c>
      <c r="B1056" s="6" t="str">
        <f>IFERROR(__xludf.DUMMYFUNCTION("""COMPUTED_VALUE"""),"dinner")</f>
        <v>dinner</v>
      </c>
      <c r="C1056" s="6" t="str">
        <f>IFERROR(__xludf.DUMMYFUNCTION("""COMPUTED_VALUE"""),"employee B")</f>
        <v>employee B</v>
      </c>
      <c r="D1056" s="7">
        <f>IFERROR(__xludf.DUMMYFUNCTION("""COMPUTED_VALUE"""),45.06)</f>
        <v>45.06</v>
      </c>
      <c r="E1056" s="6" t="str">
        <f>IFERROR(__xludf.DUMMYFUNCTION("""COMPUTED_VALUE"""),"No")</f>
        <v>No</v>
      </c>
      <c r="F1056" s="8" t="str">
        <f>IFERROR(__xludf.DUMMYFUNCTION("""COMPUTED_VALUE"""),"No")</f>
        <v>No</v>
      </c>
    </row>
    <row r="1057">
      <c r="A1057" s="5">
        <f>IFERROR(__xludf.DUMMYFUNCTION("""COMPUTED_VALUE"""),44793.0)</f>
        <v>44793</v>
      </c>
      <c r="B1057" s="6" t="str">
        <f>IFERROR(__xludf.DUMMYFUNCTION("""COMPUTED_VALUE"""),"dinner")</f>
        <v>dinner</v>
      </c>
      <c r="C1057" s="6" t="str">
        <f>IFERROR(__xludf.DUMMYFUNCTION("""COMPUTED_VALUE"""),"employee G")</f>
        <v>employee G</v>
      </c>
      <c r="D1057" s="7">
        <f>IFERROR(__xludf.DUMMYFUNCTION("""COMPUTED_VALUE"""),45.06)</f>
        <v>45.06</v>
      </c>
      <c r="E1057" s="6" t="str">
        <f>IFERROR(__xludf.DUMMYFUNCTION("""COMPUTED_VALUE"""),"No")</f>
        <v>No</v>
      </c>
      <c r="F1057" s="8" t="str">
        <f>IFERROR(__xludf.DUMMYFUNCTION("""COMPUTED_VALUE"""),"No")</f>
        <v>No</v>
      </c>
    </row>
    <row r="1058">
      <c r="A1058" s="5">
        <f>IFERROR(__xludf.DUMMYFUNCTION("""COMPUTED_VALUE"""),44794.0)</f>
        <v>44794</v>
      </c>
      <c r="B1058" s="6" t="str">
        <f>IFERROR(__xludf.DUMMYFUNCTION("""COMPUTED_VALUE"""),"lunch")</f>
        <v>lunch</v>
      </c>
      <c r="C1058" s="6" t="str">
        <f>IFERROR(__xludf.DUMMYFUNCTION("""COMPUTED_VALUE"""),"employee B")</f>
        <v>employee B</v>
      </c>
      <c r="D1058" s="7">
        <f>IFERROR(__xludf.DUMMYFUNCTION("""COMPUTED_VALUE"""),69.75)</f>
        <v>69.75</v>
      </c>
      <c r="E1058" s="6" t="str">
        <f>IFERROR(__xludf.DUMMYFUNCTION("""COMPUTED_VALUE"""),"No")</f>
        <v>No</v>
      </c>
      <c r="F1058" s="8" t="str">
        <f>IFERROR(__xludf.DUMMYFUNCTION("""COMPUTED_VALUE"""),"No")</f>
        <v>No</v>
      </c>
    </row>
    <row r="1059">
      <c r="A1059" s="5">
        <f>IFERROR(__xludf.DUMMYFUNCTION("""COMPUTED_VALUE"""),44794.0)</f>
        <v>44794</v>
      </c>
      <c r="B1059" s="6" t="str">
        <f>IFERROR(__xludf.DUMMYFUNCTION("""COMPUTED_VALUE"""),"lunch")</f>
        <v>lunch</v>
      </c>
      <c r="C1059" s="6" t="str">
        <f>IFERROR(__xludf.DUMMYFUNCTION("""COMPUTED_VALUE"""),"employee L")</f>
        <v>employee L</v>
      </c>
      <c r="D1059" s="7">
        <f>IFERROR(__xludf.DUMMYFUNCTION("""COMPUTED_VALUE"""),87.22)</f>
        <v>87.22</v>
      </c>
      <c r="E1059" s="6" t="str">
        <f>IFERROR(__xludf.DUMMYFUNCTION("""COMPUTED_VALUE"""),"No")</f>
        <v>No</v>
      </c>
      <c r="F1059" s="8" t="str">
        <f>IFERROR(__xludf.DUMMYFUNCTION("""COMPUTED_VALUE"""),"No")</f>
        <v>No</v>
      </c>
    </row>
    <row r="1060">
      <c r="A1060" s="5">
        <f>IFERROR(__xludf.DUMMYFUNCTION("""COMPUTED_VALUE"""),44794.0)</f>
        <v>44794</v>
      </c>
      <c r="B1060" s="6" t="str">
        <f>IFERROR(__xludf.DUMMYFUNCTION("""COMPUTED_VALUE"""),"lunch")</f>
        <v>lunch</v>
      </c>
      <c r="C1060" s="6" t="str">
        <f>IFERROR(__xludf.DUMMYFUNCTION("""COMPUTED_VALUE"""),"employee G")</f>
        <v>employee G</v>
      </c>
      <c r="D1060" s="7">
        <f>IFERROR(__xludf.DUMMYFUNCTION("""COMPUTED_VALUE"""),69.75)</f>
        <v>69.75</v>
      </c>
      <c r="E1060" s="6" t="str">
        <f>IFERROR(__xludf.DUMMYFUNCTION("""COMPUTED_VALUE"""),"No")</f>
        <v>No</v>
      </c>
      <c r="F1060" s="8" t="str">
        <f>IFERROR(__xludf.DUMMYFUNCTION("""COMPUTED_VALUE"""),"No")</f>
        <v>No</v>
      </c>
    </row>
    <row r="1061">
      <c r="A1061" s="5">
        <f>IFERROR(__xludf.DUMMYFUNCTION("""COMPUTED_VALUE"""),44794.0)</f>
        <v>44794</v>
      </c>
      <c r="B1061" s="6" t="str">
        <f>IFERROR(__xludf.DUMMYFUNCTION("""COMPUTED_VALUE"""),"dinner")</f>
        <v>dinner</v>
      </c>
      <c r="C1061" s="6" t="str">
        <f>IFERROR(__xludf.DUMMYFUNCTION("""COMPUTED_VALUE"""),"employee B")</f>
        <v>employee B</v>
      </c>
      <c r="D1061" s="7">
        <f>IFERROR(__xludf.DUMMYFUNCTION("""COMPUTED_VALUE"""),52.67)</f>
        <v>52.67</v>
      </c>
      <c r="E1061" s="6" t="str">
        <f>IFERROR(__xludf.DUMMYFUNCTION("""COMPUTED_VALUE"""),"No")</f>
        <v>No</v>
      </c>
      <c r="F1061" s="8" t="str">
        <f>IFERROR(__xludf.DUMMYFUNCTION("""COMPUTED_VALUE"""),"No")</f>
        <v>No</v>
      </c>
    </row>
    <row r="1062">
      <c r="A1062" s="5">
        <f>IFERROR(__xludf.DUMMYFUNCTION("""COMPUTED_VALUE"""),44794.0)</f>
        <v>44794</v>
      </c>
      <c r="B1062" s="6" t="str">
        <f>IFERROR(__xludf.DUMMYFUNCTION("""COMPUTED_VALUE"""),"dinner")</f>
        <v>dinner</v>
      </c>
      <c r="C1062" s="6" t="str">
        <f>IFERROR(__xludf.DUMMYFUNCTION("""COMPUTED_VALUE"""),"employee G")</f>
        <v>employee G</v>
      </c>
      <c r="D1062" s="7">
        <f>IFERROR(__xludf.DUMMYFUNCTION("""COMPUTED_VALUE"""),67.81)</f>
        <v>67.81</v>
      </c>
      <c r="E1062" s="6" t="str">
        <f>IFERROR(__xludf.DUMMYFUNCTION("""COMPUTED_VALUE"""),"No")</f>
        <v>No</v>
      </c>
      <c r="F1062" s="8" t="str">
        <f>IFERROR(__xludf.DUMMYFUNCTION("""COMPUTED_VALUE"""),"No")</f>
        <v>No</v>
      </c>
    </row>
    <row r="1063">
      <c r="A1063" s="5">
        <f>IFERROR(__xludf.DUMMYFUNCTION("""COMPUTED_VALUE"""),44794.0)</f>
        <v>44794</v>
      </c>
      <c r="B1063" s="6" t="str">
        <f>IFERROR(__xludf.DUMMYFUNCTION("""COMPUTED_VALUE"""),"dinner")</f>
        <v>dinner</v>
      </c>
      <c r="C1063" s="6" t="str">
        <f>IFERROR(__xludf.DUMMYFUNCTION("""COMPUTED_VALUE"""),"employee P")</f>
        <v>employee P</v>
      </c>
      <c r="D1063" s="7">
        <f>IFERROR(__xludf.DUMMYFUNCTION("""COMPUTED_VALUE"""),67.72)</f>
        <v>67.72</v>
      </c>
      <c r="E1063" s="6" t="str">
        <f>IFERROR(__xludf.DUMMYFUNCTION("""COMPUTED_VALUE"""),"No")</f>
        <v>No</v>
      </c>
      <c r="F1063" s="8" t="str">
        <f>IFERROR(__xludf.DUMMYFUNCTION("""COMPUTED_VALUE"""),"No")</f>
        <v>No</v>
      </c>
    </row>
    <row r="1064">
      <c r="A1064" s="5">
        <f>IFERROR(__xludf.DUMMYFUNCTION("""COMPUTED_VALUE"""),44795.0)</f>
        <v>44795</v>
      </c>
      <c r="B1064" s="6" t="str">
        <f>IFERROR(__xludf.DUMMYFUNCTION("""COMPUTED_VALUE"""),"lunch")</f>
        <v>lunch</v>
      </c>
      <c r="C1064" s="6" t="str">
        <f>IFERROR(__xludf.DUMMYFUNCTION("""COMPUTED_VALUE"""),"employee A")</f>
        <v>employee A</v>
      </c>
      <c r="D1064" s="7">
        <f>IFERROR(__xludf.DUMMYFUNCTION("""COMPUTED_VALUE"""),83.32)</f>
        <v>83.32</v>
      </c>
      <c r="E1064" s="6" t="str">
        <f>IFERROR(__xludf.DUMMYFUNCTION("""COMPUTED_VALUE"""),"No")</f>
        <v>No</v>
      </c>
      <c r="F1064" s="8" t="str">
        <f>IFERROR(__xludf.DUMMYFUNCTION("""COMPUTED_VALUE"""),"No")</f>
        <v>No</v>
      </c>
    </row>
    <row r="1065">
      <c r="A1065" s="5">
        <f>IFERROR(__xludf.DUMMYFUNCTION("""COMPUTED_VALUE"""),44795.0)</f>
        <v>44795</v>
      </c>
      <c r="B1065" s="6" t="str">
        <f>IFERROR(__xludf.DUMMYFUNCTION("""COMPUTED_VALUE"""),"dinner")</f>
        <v>dinner</v>
      </c>
      <c r="C1065" s="6" t="str">
        <f>IFERROR(__xludf.DUMMYFUNCTION("""COMPUTED_VALUE"""),"employee A")</f>
        <v>employee A</v>
      </c>
      <c r="D1065" s="7">
        <f>IFERROR(__xludf.DUMMYFUNCTION("""COMPUTED_VALUE"""),100.23)</f>
        <v>100.23</v>
      </c>
      <c r="E1065" s="6" t="str">
        <f>IFERROR(__xludf.DUMMYFUNCTION("""COMPUTED_VALUE"""),"No")</f>
        <v>No</v>
      </c>
      <c r="F1065" s="8" t="str">
        <f>IFERROR(__xludf.DUMMYFUNCTION("""COMPUTED_VALUE"""),"No")</f>
        <v>No</v>
      </c>
    </row>
    <row r="1066">
      <c r="A1066" s="5">
        <f>IFERROR(__xludf.DUMMYFUNCTION("""COMPUTED_VALUE"""),44795.0)</f>
        <v>44795</v>
      </c>
      <c r="B1066" s="6" t="str">
        <f>IFERROR(__xludf.DUMMYFUNCTION("""COMPUTED_VALUE"""),"dinner")</f>
        <v>dinner</v>
      </c>
      <c r="C1066" s="6" t="str">
        <f>IFERROR(__xludf.DUMMYFUNCTION("""COMPUTED_VALUE"""),"employee L")</f>
        <v>employee L</v>
      </c>
      <c r="D1066" s="7">
        <f>IFERROR(__xludf.DUMMYFUNCTION("""COMPUTED_VALUE"""),100.33)</f>
        <v>100.33</v>
      </c>
      <c r="E1066" s="6" t="str">
        <f>IFERROR(__xludf.DUMMYFUNCTION("""COMPUTED_VALUE"""),"No")</f>
        <v>No</v>
      </c>
      <c r="F1066" s="8" t="str">
        <f>IFERROR(__xludf.DUMMYFUNCTION("""COMPUTED_VALUE"""),"No")</f>
        <v>No</v>
      </c>
    </row>
    <row r="1067">
      <c r="A1067" s="5">
        <f>IFERROR(__xludf.DUMMYFUNCTION("""COMPUTED_VALUE"""),44796.0)</f>
        <v>44796</v>
      </c>
      <c r="B1067" s="6" t="str">
        <f>IFERROR(__xludf.DUMMYFUNCTION("""COMPUTED_VALUE"""),"lunch")</f>
        <v>lunch</v>
      </c>
      <c r="C1067" s="6" t="str">
        <f>IFERROR(__xludf.DUMMYFUNCTION("""COMPUTED_VALUE"""),"employee A")</f>
        <v>employee A</v>
      </c>
      <c r="D1067" s="7">
        <f>IFERROR(__xludf.DUMMYFUNCTION("""COMPUTED_VALUE"""),66.75)</f>
        <v>66.75</v>
      </c>
      <c r="E1067" s="6" t="str">
        <f>IFERROR(__xludf.DUMMYFUNCTION("""COMPUTED_VALUE"""),"No")</f>
        <v>No</v>
      </c>
      <c r="F1067" s="8" t="str">
        <f>IFERROR(__xludf.DUMMYFUNCTION("""COMPUTED_VALUE"""),"No")</f>
        <v>No</v>
      </c>
    </row>
    <row r="1068">
      <c r="A1068" s="5">
        <f>IFERROR(__xludf.DUMMYFUNCTION("""COMPUTED_VALUE"""),44796.0)</f>
        <v>44796</v>
      </c>
      <c r="B1068" s="6" t="str">
        <f>IFERROR(__xludf.DUMMYFUNCTION("""COMPUTED_VALUE"""),"dinner")</f>
        <v>dinner</v>
      </c>
      <c r="C1068" s="6" t="str">
        <f>IFERROR(__xludf.DUMMYFUNCTION("""COMPUTED_VALUE"""),"employee A")</f>
        <v>employee A</v>
      </c>
      <c r="D1068" s="7">
        <f>IFERROR(__xludf.DUMMYFUNCTION("""COMPUTED_VALUE"""),80.09)</f>
        <v>80.09</v>
      </c>
      <c r="E1068" s="6" t="str">
        <f>IFERROR(__xludf.DUMMYFUNCTION("""COMPUTED_VALUE"""),"No")</f>
        <v>No</v>
      </c>
      <c r="F1068" s="8" t="str">
        <f>IFERROR(__xludf.DUMMYFUNCTION("""COMPUTED_VALUE"""),"No")</f>
        <v>No</v>
      </c>
    </row>
    <row r="1069">
      <c r="A1069" s="5">
        <f>IFERROR(__xludf.DUMMYFUNCTION("""COMPUTED_VALUE"""),44796.0)</f>
        <v>44796</v>
      </c>
      <c r="B1069" s="6" t="str">
        <f>IFERROR(__xludf.DUMMYFUNCTION("""COMPUTED_VALUE"""),"dinner")</f>
        <v>dinner</v>
      </c>
      <c r="C1069" s="6" t="str">
        <f>IFERROR(__xludf.DUMMYFUNCTION("""COMPUTED_VALUE"""),"employee L")</f>
        <v>employee L</v>
      </c>
      <c r="D1069" s="7">
        <f>IFERROR(__xludf.DUMMYFUNCTION("""COMPUTED_VALUE"""),80.08)</f>
        <v>80.08</v>
      </c>
      <c r="E1069" s="6" t="str">
        <f>IFERROR(__xludf.DUMMYFUNCTION("""COMPUTED_VALUE"""),"No")</f>
        <v>No</v>
      </c>
      <c r="F1069" s="8" t="str">
        <f>IFERROR(__xludf.DUMMYFUNCTION("""COMPUTED_VALUE"""),"No")</f>
        <v>No</v>
      </c>
    </row>
    <row r="1070">
      <c r="A1070" s="5">
        <f>IFERROR(__xludf.DUMMYFUNCTION("""COMPUTED_VALUE"""),44796.0)</f>
        <v>44796</v>
      </c>
      <c r="B1070" s="6" t="str">
        <f>IFERROR(__xludf.DUMMYFUNCTION("""COMPUTED_VALUE"""),"dinner")</f>
        <v>dinner</v>
      </c>
      <c r="C1070" s="6" t="str">
        <f>IFERROR(__xludf.DUMMYFUNCTION("""COMPUTED_VALUE"""),"employee O")</f>
        <v>employee O</v>
      </c>
      <c r="D1070" s="7">
        <f>IFERROR(__xludf.DUMMYFUNCTION("""COMPUTED_VALUE"""),0.0)</f>
        <v>0</v>
      </c>
      <c r="E1070" s="9" t="str">
        <f>IFERROR(__xludf.DUMMYFUNCTION("""COMPUTED_VALUE"""),"Yes")</f>
        <v>Yes</v>
      </c>
      <c r="F1070" s="8" t="str">
        <f>IFERROR(__xludf.DUMMYFUNCTION("""COMPUTED_VALUE"""),"No")</f>
        <v>No</v>
      </c>
    </row>
    <row r="1071">
      <c r="A1071" s="5">
        <f>IFERROR(__xludf.DUMMYFUNCTION("""COMPUTED_VALUE"""),44797.0)</f>
        <v>44797</v>
      </c>
      <c r="B1071" s="6" t="str">
        <f>IFERROR(__xludf.DUMMYFUNCTION("""COMPUTED_VALUE"""),"lunch")</f>
        <v>lunch</v>
      </c>
      <c r="C1071" s="6" t="str">
        <f>IFERROR(__xludf.DUMMYFUNCTION("""COMPUTED_VALUE"""),"employee L")</f>
        <v>employee L</v>
      </c>
      <c r="D1071" s="7">
        <f>IFERROR(__xludf.DUMMYFUNCTION("""COMPUTED_VALUE"""),69.74)</f>
        <v>69.74</v>
      </c>
      <c r="E1071" s="6" t="str">
        <f>IFERROR(__xludf.DUMMYFUNCTION("""COMPUTED_VALUE"""),"No")</f>
        <v>No</v>
      </c>
      <c r="F1071" s="8" t="str">
        <f>IFERROR(__xludf.DUMMYFUNCTION("""COMPUTED_VALUE"""),"No")</f>
        <v>No</v>
      </c>
    </row>
    <row r="1072">
      <c r="A1072" s="5">
        <f>IFERROR(__xludf.DUMMYFUNCTION("""COMPUTED_VALUE"""),44797.0)</f>
        <v>44797</v>
      </c>
      <c r="B1072" s="6" t="str">
        <f>IFERROR(__xludf.DUMMYFUNCTION("""COMPUTED_VALUE"""),"dinner")</f>
        <v>dinner</v>
      </c>
      <c r="C1072" s="6" t="str">
        <f>IFERROR(__xludf.DUMMYFUNCTION("""COMPUTED_VALUE"""),"employee J")</f>
        <v>employee J</v>
      </c>
      <c r="D1072" s="7">
        <f>IFERROR(__xludf.DUMMYFUNCTION("""COMPUTED_VALUE"""),89.73)</f>
        <v>89.73</v>
      </c>
      <c r="E1072" s="6" t="str">
        <f>IFERROR(__xludf.DUMMYFUNCTION("""COMPUTED_VALUE"""),"No")</f>
        <v>No</v>
      </c>
      <c r="F1072" s="8" t="str">
        <f>IFERROR(__xludf.DUMMYFUNCTION("""COMPUTED_VALUE"""),"No")</f>
        <v>No</v>
      </c>
    </row>
    <row r="1073">
      <c r="A1073" s="5">
        <f>IFERROR(__xludf.DUMMYFUNCTION("""COMPUTED_VALUE"""),44797.0)</f>
        <v>44797</v>
      </c>
      <c r="B1073" s="6" t="str">
        <f>IFERROR(__xludf.DUMMYFUNCTION("""COMPUTED_VALUE"""),"dinner")</f>
        <v>dinner</v>
      </c>
      <c r="C1073" s="6" t="str">
        <f>IFERROR(__xludf.DUMMYFUNCTION("""COMPUTED_VALUE"""),"employee H")</f>
        <v>employee H</v>
      </c>
      <c r="D1073" s="7">
        <f>IFERROR(__xludf.DUMMYFUNCTION("""COMPUTED_VALUE"""),89.73)</f>
        <v>89.73</v>
      </c>
      <c r="E1073" s="6" t="str">
        <f>IFERROR(__xludf.DUMMYFUNCTION("""COMPUTED_VALUE"""),"No")</f>
        <v>No</v>
      </c>
      <c r="F1073" s="8" t="str">
        <f>IFERROR(__xludf.DUMMYFUNCTION("""COMPUTED_VALUE"""),"No")</f>
        <v>No</v>
      </c>
    </row>
    <row r="1074">
      <c r="A1074" s="5">
        <f>IFERROR(__xludf.DUMMYFUNCTION("""COMPUTED_VALUE"""),44797.0)</f>
        <v>44797</v>
      </c>
      <c r="B1074" s="6" t="str">
        <f>IFERROR(__xludf.DUMMYFUNCTION("""COMPUTED_VALUE"""),"dinner")</f>
        <v>dinner</v>
      </c>
      <c r="C1074" s="6" t="str">
        <f>IFERROR(__xludf.DUMMYFUNCTION("""COMPUTED_VALUE"""),"employee O")</f>
        <v>employee O</v>
      </c>
      <c r="D1074" s="7">
        <f>IFERROR(__xludf.DUMMYFUNCTION("""COMPUTED_VALUE"""),0.0)</f>
        <v>0</v>
      </c>
      <c r="E1074" s="9" t="str">
        <f>IFERROR(__xludf.DUMMYFUNCTION("""COMPUTED_VALUE"""),"Yes")</f>
        <v>Yes</v>
      </c>
      <c r="F1074" s="8" t="str">
        <f>IFERROR(__xludf.DUMMYFUNCTION("""COMPUTED_VALUE"""),"No")</f>
        <v>No</v>
      </c>
    </row>
    <row r="1075">
      <c r="A1075" s="5">
        <f>IFERROR(__xludf.DUMMYFUNCTION("""COMPUTED_VALUE"""),44798.0)</f>
        <v>44798</v>
      </c>
      <c r="B1075" s="6" t="str">
        <f>IFERROR(__xludf.DUMMYFUNCTION("""COMPUTED_VALUE"""),"lunch")</f>
        <v>lunch</v>
      </c>
      <c r="C1075" s="6" t="str">
        <f>IFERROR(__xludf.DUMMYFUNCTION("""COMPUTED_VALUE"""),"employee L")</f>
        <v>employee L</v>
      </c>
      <c r="D1075" s="7">
        <f>IFERROR(__xludf.DUMMYFUNCTION("""COMPUTED_VALUE"""),124.16)</f>
        <v>124.16</v>
      </c>
      <c r="E1075" s="6" t="str">
        <f>IFERROR(__xludf.DUMMYFUNCTION("""COMPUTED_VALUE"""),"No")</f>
        <v>No</v>
      </c>
      <c r="F1075" s="8" t="str">
        <f>IFERROR(__xludf.DUMMYFUNCTION("""COMPUTED_VALUE"""),"No")</f>
        <v>No</v>
      </c>
    </row>
    <row r="1076">
      <c r="A1076" s="5">
        <f>IFERROR(__xludf.DUMMYFUNCTION("""COMPUTED_VALUE"""),44798.0)</f>
        <v>44798</v>
      </c>
      <c r="B1076" s="6" t="str">
        <f>IFERROR(__xludf.DUMMYFUNCTION("""COMPUTED_VALUE"""),"dinner")</f>
        <v>dinner</v>
      </c>
      <c r="C1076" s="6" t="str">
        <f>IFERROR(__xludf.DUMMYFUNCTION("""COMPUTED_VALUE"""),"employee J")</f>
        <v>employee J</v>
      </c>
      <c r="D1076" s="7">
        <f>IFERROR(__xludf.DUMMYFUNCTION("""COMPUTED_VALUE"""),76.66)</f>
        <v>76.66</v>
      </c>
      <c r="E1076" s="6" t="str">
        <f>IFERROR(__xludf.DUMMYFUNCTION("""COMPUTED_VALUE"""),"No")</f>
        <v>No</v>
      </c>
      <c r="F1076" s="8" t="str">
        <f>IFERROR(__xludf.DUMMYFUNCTION("""COMPUTED_VALUE"""),"No")</f>
        <v>No</v>
      </c>
    </row>
    <row r="1077">
      <c r="A1077" s="5">
        <f>IFERROR(__xludf.DUMMYFUNCTION("""COMPUTED_VALUE"""),44798.0)</f>
        <v>44798</v>
      </c>
      <c r="B1077" s="6" t="str">
        <f>IFERROR(__xludf.DUMMYFUNCTION("""COMPUTED_VALUE"""),"dinner")</f>
        <v>dinner</v>
      </c>
      <c r="C1077" s="6" t="str">
        <f>IFERROR(__xludf.DUMMYFUNCTION("""COMPUTED_VALUE"""),"employee H")</f>
        <v>employee H</v>
      </c>
      <c r="D1077" s="7">
        <f>IFERROR(__xludf.DUMMYFUNCTION("""COMPUTED_VALUE"""),76.66)</f>
        <v>76.66</v>
      </c>
      <c r="E1077" s="6" t="str">
        <f>IFERROR(__xludf.DUMMYFUNCTION("""COMPUTED_VALUE"""),"No")</f>
        <v>No</v>
      </c>
      <c r="F1077" s="8" t="str">
        <f>IFERROR(__xludf.DUMMYFUNCTION("""COMPUTED_VALUE"""),"No")</f>
        <v>No</v>
      </c>
    </row>
    <row r="1078">
      <c r="A1078" s="5">
        <f>IFERROR(__xludf.DUMMYFUNCTION("""COMPUTED_VALUE"""),44798.0)</f>
        <v>44798</v>
      </c>
      <c r="B1078" s="6" t="str">
        <f>IFERROR(__xludf.DUMMYFUNCTION("""COMPUTED_VALUE"""),"dinner")</f>
        <v>dinner</v>
      </c>
      <c r="C1078" s="6" t="str">
        <f>IFERROR(__xludf.DUMMYFUNCTION("""COMPUTED_VALUE"""),"employee O")</f>
        <v>employee O</v>
      </c>
      <c r="D1078" s="7">
        <f>IFERROR(__xludf.DUMMYFUNCTION("""COMPUTED_VALUE"""),0.0)</f>
        <v>0</v>
      </c>
      <c r="E1078" s="9" t="str">
        <f>IFERROR(__xludf.DUMMYFUNCTION("""COMPUTED_VALUE"""),"Yes")</f>
        <v>Yes</v>
      </c>
      <c r="F1078" s="8" t="str">
        <f>IFERROR(__xludf.DUMMYFUNCTION("""COMPUTED_VALUE"""),"No")</f>
        <v>No</v>
      </c>
    </row>
    <row r="1079">
      <c r="A1079" s="5">
        <f>IFERROR(__xludf.DUMMYFUNCTION("""COMPUTED_VALUE"""),44799.0)</f>
        <v>44799</v>
      </c>
      <c r="B1079" s="6" t="str">
        <f>IFERROR(__xludf.DUMMYFUNCTION("""COMPUTED_VALUE"""),"lunch")</f>
        <v>lunch</v>
      </c>
      <c r="C1079" s="6" t="str">
        <f>IFERROR(__xludf.DUMMYFUNCTION("""COMPUTED_VALUE"""),"employee J")</f>
        <v>employee J</v>
      </c>
      <c r="D1079" s="7">
        <f>IFERROR(__xludf.DUMMYFUNCTION("""COMPUTED_VALUE"""),96.05)</f>
        <v>96.05</v>
      </c>
      <c r="E1079" s="6" t="str">
        <f>IFERROR(__xludf.DUMMYFUNCTION("""COMPUTED_VALUE"""),"No")</f>
        <v>No</v>
      </c>
      <c r="F1079" s="8" t="str">
        <f>IFERROR(__xludf.DUMMYFUNCTION("""COMPUTED_VALUE"""),"No")</f>
        <v>No</v>
      </c>
    </row>
    <row r="1080">
      <c r="A1080" s="5">
        <f>IFERROR(__xludf.DUMMYFUNCTION("""COMPUTED_VALUE"""),44799.0)</f>
        <v>44799</v>
      </c>
      <c r="B1080" s="6" t="str">
        <f>IFERROR(__xludf.DUMMYFUNCTION("""COMPUTED_VALUE"""),"dinner")</f>
        <v>dinner</v>
      </c>
      <c r="C1080" s="6" t="str">
        <f>IFERROR(__xludf.DUMMYFUNCTION("""COMPUTED_VALUE"""),"employee J")</f>
        <v>employee J</v>
      </c>
      <c r="D1080" s="7">
        <f>IFERROR(__xludf.DUMMYFUNCTION("""COMPUTED_VALUE"""),53.8)</f>
        <v>53.8</v>
      </c>
      <c r="E1080" s="6" t="str">
        <f>IFERROR(__xludf.DUMMYFUNCTION("""COMPUTED_VALUE"""),"No")</f>
        <v>No</v>
      </c>
      <c r="F1080" s="8" t="str">
        <f>IFERROR(__xludf.DUMMYFUNCTION("""COMPUTED_VALUE"""),"No")</f>
        <v>No</v>
      </c>
    </row>
    <row r="1081">
      <c r="A1081" s="5">
        <f>IFERROR(__xludf.DUMMYFUNCTION("""COMPUTED_VALUE"""),44799.0)</f>
        <v>44799</v>
      </c>
      <c r="B1081" s="6" t="str">
        <f>IFERROR(__xludf.DUMMYFUNCTION("""COMPUTED_VALUE"""),"dinner")</f>
        <v>dinner</v>
      </c>
      <c r="C1081" s="6" t="str">
        <f>IFERROR(__xludf.DUMMYFUNCTION("""COMPUTED_VALUE"""),"employee P")</f>
        <v>employee P</v>
      </c>
      <c r="D1081" s="7">
        <f>IFERROR(__xludf.DUMMYFUNCTION("""COMPUTED_VALUE"""),53.8)</f>
        <v>53.8</v>
      </c>
      <c r="E1081" s="6" t="str">
        <f>IFERROR(__xludf.DUMMYFUNCTION("""COMPUTED_VALUE"""),"No")</f>
        <v>No</v>
      </c>
      <c r="F1081" s="8" t="str">
        <f>IFERROR(__xludf.DUMMYFUNCTION("""COMPUTED_VALUE"""),"No")</f>
        <v>No</v>
      </c>
    </row>
    <row r="1082">
      <c r="A1082" s="5">
        <f>IFERROR(__xludf.DUMMYFUNCTION("""COMPUTED_VALUE"""),44799.0)</f>
        <v>44799</v>
      </c>
      <c r="B1082" s="6" t="str">
        <f>IFERROR(__xludf.DUMMYFUNCTION("""COMPUTED_VALUE"""),"dinner")</f>
        <v>dinner</v>
      </c>
      <c r="C1082" s="6" t="str">
        <f>IFERROR(__xludf.DUMMYFUNCTION("""COMPUTED_VALUE"""),"employee H")</f>
        <v>employee H</v>
      </c>
      <c r="D1082" s="7">
        <f>IFERROR(__xludf.DUMMYFUNCTION("""COMPUTED_VALUE"""),53.8)</f>
        <v>53.8</v>
      </c>
      <c r="E1082" s="6" t="str">
        <f>IFERROR(__xludf.DUMMYFUNCTION("""COMPUTED_VALUE"""),"No")</f>
        <v>No</v>
      </c>
      <c r="F1082" s="8" t="str">
        <f>IFERROR(__xludf.DUMMYFUNCTION("""COMPUTED_VALUE"""),"No")</f>
        <v>No</v>
      </c>
    </row>
    <row r="1083">
      <c r="A1083" s="5">
        <f>IFERROR(__xludf.DUMMYFUNCTION("""COMPUTED_VALUE"""),44800.0)</f>
        <v>44800</v>
      </c>
      <c r="B1083" s="6" t="str">
        <f>IFERROR(__xludf.DUMMYFUNCTION("""COMPUTED_VALUE"""),"lunch")</f>
        <v>lunch</v>
      </c>
      <c r="C1083" s="6" t="str">
        <f>IFERROR(__xludf.DUMMYFUNCTION("""COMPUTED_VALUE"""),"employee A")</f>
        <v>employee A</v>
      </c>
      <c r="D1083" s="7">
        <f>IFERROR(__xludf.DUMMYFUNCTION("""COMPUTED_VALUE"""),160.58)</f>
        <v>160.58</v>
      </c>
      <c r="E1083" s="6" t="str">
        <f>IFERROR(__xludf.DUMMYFUNCTION("""COMPUTED_VALUE"""),"No")</f>
        <v>No</v>
      </c>
      <c r="F1083" s="8" t="str">
        <f>IFERROR(__xludf.DUMMYFUNCTION("""COMPUTED_VALUE"""),"No")</f>
        <v>No</v>
      </c>
    </row>
    <row r="1084">
      <c r="A1084" s="5">
        <f>IFERROR(__xludf.DUMMYFUNCTION("""COMPUTED_VALUE"""),44800.0)</f>
        <v>44800</v>
      </c>
      <c r="B1084" s="6" t="str">
        <f>IFERROR(__xludf.DUMMYFUNCTION("""COMPUTED_VALUE"""),"lunch")</f>
        <v>lunch</v>
      </c>
      <c r="C1084" s="6" t="str">
        <f>IFERROR(__xludf.DUMMYFUNCTION("""COMPUTED_VALUE"""),"employee H")</f>
        <v>employee H</v>
      </c>
      <c r="D1084" s="7">
        <f>IFERROR(__xludf.DUMMYFUNCTION("""COMPUTED_VALUE"""),126.06)</f>
        <v>126.06</v>
      </c>
      <c r="E1084" s="6" t="str">
        <f>IFERROR(__xludf.DUMMYFUNCTION("""COMPUTED_VALUE"""),"No")</f>
        <v>No</v>
      </c>
      <c r="F1084" s="8" t="str">
        <f>IFERROR(__xludf.DUMMYFUNCTION("""COMPUTED_VALUE"""),"No")</f>
        <v>No</v>
      </c>
    </row>
    <row r="1085">
      <c r="A1085" s="5">
        <f>IFERROR(__xludf.DUMMYFUNCTION("""COMPUTED_VALUE"""),44800.0)</f>
        <v>44800</v>
      </c>
      <c r="B1085" s="6" t="str">
        <f>IFERROR(__xludf.DUMMYFUNCTION("""COMPUTED_VALUE"""),"lunch")</f>
        <v>lunch</v>
      </c>
      <c r="C1085" s="6" t="str">
        <f>IFERROR(__xludf.DUMMYFUNCTION("""COMPUTED_VALUE"""),"employee G")</f>
        <v>employee G</v>
      </c>
      <c r="D1085" s="7">
        <f>IFERROR(__xludf.DUMMYFUNCTION("""COMPUTED_VALUE"""),103.14)</f>
        <v>103.14</v>
      </c>
      <c r="E1085" s="6" t="str">
        <f>IFERROR(__xludf.DUMMYFUNCTION("""COMPUTED_VALUE"""),"No")</f>
        <v>No</v>
      </c>
      <c r="F1085" s="8" t="str">
        <f>IFERROR(__xludf.DUMMYFUNCTION("""COMPUTED_VALUE"""),"No")</f>
        <v>No</v>
      </c>
    </row>
    <row r="1086">
      <c r="A1086" s="5">
        <f>IFERROR(__xludf.DUMMYFUNCTION("""COMPUTED_VALUE"""),44800.0)</f>
        <v>44800</v>
      </c>
      <c r="B1086" s="6" t="str">
        <f>IFERROR(__xludf.DUMMYFUNCTION("""COMPUTED_VALUE"""),"dinner")</f>
        <v>dinner</v>
      </c>
      <c r="C1086" s="6" t="str">
        <f>IFERROR(__xludf.DUMMYFUNCTION("""COMPUTED_VALUE"""),"employee J")</f>
        <v>employee J</v>
      </c>
      <c r="D1086" s="7">
        <f>IFERROR(__xludf.DUMMYFUNCTION("""COMPUTED_VALUE"""),37.85)</f>
        <v>37.85</v>
      </c>
      <c r="E1086" s="6" t="str">
        <f>IFERROR(__xludf.DUMMYFUNCTION("""COMPUTED_VALUE"""),"No")</f>
        <v>No</v>
      </c>
      <c r="F1086" s="8" t="str">
        <f>IFERROR(__xludf.DUMMYFUNCTION("""COMPUTED_VALUE"""),"No")</f>
        <v>No</v>
      </c>
    </row>
    <row r="1087">
      <c r="A1087" s="5">
        <f>IFERROR(__xludf.DUMMYFUNCTION("""COMPUTED_VALUE"""),44800.0)</f>
        <v>44800</v>
      </c>
      <c r="B1087" s="6" t="str">
        <f>IFERROR(__xludf.DUMMYFUNCTION("""COMPUTED_VALUE"""),"dinner")</f>
        <v>dinner</v>
      </c>
      <c r="C1087" s="6" t="str">
        <f>IFERROR(__xludf.DUMMYFUNCTION("""COMPUTED_VALUE"""),"employee H")</f>
        <v>employee H</v>
      </c>
      <c r="D1087" s="7">
        <f>IFERROR(__xludf.DUMMYFUNCTION("""COMPUTED_VALUE"""),37.85)</f>
        <v>37.85</v>
      </c>
      <c r="E1087" s="6" t="str">
        <f>IFERROR(__xludf.DUMMYFUNCTION("""COMPUTED_VALUE"""),"No")</f>
        <v>No</v>
      </c>
      <c r="F1087" s="8" t="str">
        <f>IFERROR(__xludf.DUMMYFUNCTION("""COMPUTED_VALUE"""),"No")</f>
        <v>No</v>
      </c>
    </row>
    <row r="1088">
      <c r="A1088" s="5">
        <f>IFERROR(__xludf.DUMMYFUNCTION("""COMPUTED_VALUE"""),44800.0)</f>
        <v>44800</v>
      </c>
      <c r="B1088" s="6" t="str">
        <f>IFERROR(__xludf.DUMMYFUNCTION("""COMPUTED_VALUE"""),"dinner")</f>
        <v>dinner</v>
      </c>
      <c r="C1088" s="6" t="str">
        <f>IFERROR(__xludf.DUMMYFUNCTION("""COMPUTED_VALUE"""),"employee G")</f>
        <v>employee G</v>
      </c>
      <c r="D1088" s="7">
        <f>IFERROR(__xludf.DUMMYFUNCTION("""COMPUTED_VALUE"""),37.85)</f>
        <v>37.85</v>
      </c>
      <c r="E1088" s="6" t="str">
        <f>IFERROR(__xludf.DUMMYFUNCTION("""COMPUTED_VALUE"""),"No")</f>
        <v>No</v>
      </c>
      <c r="F1088" s="8" t="str">
        <f>IFERROR(__xludf.DUMMYFUNCTION("""COMPUTED_VALUE"""),"No")</f>
        <v>No</v>
      </c>
    </row>
    <row r="1089">
      <c r="A1089" s="5">
        <f>IFERROR(__xludf.DUMMYFUNCTION("""COMPUTED_VALUE"""),44801.0)</f>
        <v>44801</v>
      </c>
      <c r="B1089" s="6" t="str">
        <f>IFERROR(__xludf.DUMMYFUNCTION("""COMPUTED_VALUE"""),"lunch")</f>
        <v>lunch</v>
      </c>
      <c r="C1089" s="6" t="str">
        <f>IFERROR(__xludf.DUMMYFUNCTION("""COMPUTED_VALUE"""),"employee P")</f>
        <v>employee P</v>
      </c>
      <c r="D1089" s="7">
        <f>IFERROR(__xludf.DUMMYFUNCTION("""COMPUTED_VALUE"""),120.93)</f>
        <v>120.93</v>
      </c>
      <c r="E1089" s="6" t="str">
        <f>IFERROR(__xludf.DUMMYFUNCTION("""COMPUTED_VALUE"""),"No")</f>
        <v>No</v>
      </c>
      <c r="F1089" s="8" t="str">
        <f>IFERROR(__xludf.DUMMYFUNCTION("""COMPUTED_VALUE"""),"No")</f>
        <v>No</v>
      </c>
    </row>
    <row r="1090">
      <c r="A1090" s="5">
        <f>IFERROR(__xludf.DUMMYFUNCTION("""COMPUTED_VALUE"""),44801.0)</f>
        <v>44801</v>
      </c>
      <c r="B1090" s="6" t="str">
        <f>IFERROR(__xludf.DUMMYFUNCTION("""COMPUTED_VALUE"""),"lunch")</f>
        <v>lunch</v>
      </c>
      <c r="C1090" s="6" t="str">
        <f>IFERROR(__xludf.DUMMYFUNCTION("""COMPUTED_VALUE"""),"employee J")</f>
        <v>employee J</v>
      </c>
      <c r="D1090" s="7">
        <f>IFERROR(__xludf.DUMMYFUNCTION("""COMPUTED_VALUE"""),53.35)</f>
        <v>53.35</v>
      </c>
      <c r="E1090" s="6" t="str">
        <f>IFERROR(__xludf.DUMMYFUNCTION("""COMPUTED_VALUE"""),"No")</f>
        <v>No</v>
      </c>
      <c r="F1090" s="8" t="str">
        <f>IFERROR(__xludf.DUMMYFUNCTION("""COMPUTED_VALUE"""),"No")</f>
        <v>No</v>
      </c>
    </row>
    <row r="1091">
      <c r="A1091" s="5">
        <f>IFERROR(__xludf.DUMMYFUNCTION("""COMPUTED_VALUE"""),44801.0)</f>
        <v>44801</v>
      </c>
      <c r="B1091" s="6" t="str">
        <f>IFERROR(__xludf.DUMMYFUNCTION("""COMPUTED_VALUE"""),"lunch")</f>
        <v>lunch</v>
      </c>
      <c r="C1091" s="6" t="str">
        <f>IFERROR(__xludf.DUMMYFUNCTION("""COMPUTED_VALUE"""),"employee H")</f>
        <v>employee H</v>
      </c>
      <c r="D1091" s="7">
        <f>IFERROR(__xludf.DUMMYFUNCTION("""COMPUTED_VALUE"""),56.02)</f>
        <v>56.02</v>
      </c>
      <c r="E1091" s="6" t="str">
        <f>IFERROR(__xludf.DUMMYFUNCTION("""COMPUTED_VALUE"""),"No")</f>
        <v>No</v>
      </c>
      <c r="F1091" s="8" t="str">
        <f>IFERROR(__xludf.DUMMYFUNCTION("""COMPUTED_VALUE"""),"No")</f>
        <v>No</v>
      </c>
    </row>
    <row r="1092">
      <c r="A1092" s="5">
        <f>IFERROR(__xludf.DUMMYFUNCTION("""COMPUTED_VALUE"""),44801.0)</f>
        <v>44801</v>
      </c>
      <c r="B1092" s="6" t="str">
        <f>IFERROR(__xludf.DUMMYFUNCTION("""COMPUTED_VALUE"""),"dinner")</f>
        <v>dinner</v>
      </c>
      <c r="C1092" s="6" t="str">
        <f>IFERROR(__xludf.DUMMYFUNCTION("""COMPUTED_VALUE"""),"employee J")</f>
        <v>employee J</v>
      </c>
      <c r="D1092" s="7">
        <f>IFERROR(__xludf.DUMMYFUNCTION("""COMPUTED_VALUE"""),46.28)</f>
        <v>46.28</v>
      </c>
      <c r="E1092" s="6" t="str">
        <f>IFERROR(__xludf.DUMMYFUNCTION("""COMPUTED_VALUE"""),"No")</f>
        <v>No</v>
      </c>
      <c r="F1092" s="8" t="str">
        <f>IFERROR(__xludf.DUMMYFUNCTION("""COMPUTED_VALUE"""),"No")</f>
        <v>No</v>
      </c>
    </row>
    <row r="1093">
      <c r="A1093" s="5">
        <f>IFERROR(__xludf.DUMMYFUNCTION("""COMPUTED_VALUE"""),44801.0)</f>
        <v>44801</v>
      </c>
      <c r="B1093" s="6" t="str">
        <f>IFERROR(__xludf.DUMMYFUNCTION("""COMPUTED_VALUE"""),"dinner")</f>
        <v>dinner</v>
      </c>
      <c r="C1093" s="6" t="str">
        <f>IFERROR(__xludf.DUMMYFUNCTION("""COMPUTED_VALUE"""),"employee H")</f>
        <v>employee H</v>
      </c>
      <c r="D1093" s="7">
        <f>IFERROR(__xludf.DUMMYFUNCTION("""COMPUTED_VALUE"""),46.28)</f>
        <v>46.28</v>
      </c>
      <c r="E1093" s="6" t="str">
        <f>IFERROR(__xludf.DUMMYFUNCTION("""COMPUTED_VALUE"""),"No")</f>
        <v>No</v>
      </c>
      <c r="F1093" s="8" t="str">
        <f>IFERROR(__xludf.DUMMYFUNCTION("""COMPUTED_VALUE"""),"No")</f>
        <v>No</v>
      </c>
    </row>
    <row r="1094">
      <c r="A1094" s="5">
        <f>IFERROR(__xludf.DUMMYFUNCTION("""COMPUTED_VALUE"""),44801.0)</f>
        <v>44801</v>
      </c>
      <c r="B1094" s="6" t="str">
        <f>IFERROR(__xludf.DUMMYFUNCTION("""COMPUTED_VALUE"""),"dinner")</f>
        <v>dinner</v>
      </c>
      <c r="C1094" s="6" t="str">
        <f>IFERROR(__xludf.DUMMYFUNCTION("""COMPUTED_VALUE"""),"employee G")</f>
        <v>employee G</v>
      </c>
      <c r="D1094" s="7">
        <f>IFERROR(__xludf.DUMMYFUNCTION("""COMPUTED_VALUE"""),46.28)</f>
        <v>46.28</v>
      </c>
      <c r="E1094" s="6" t="str">
        <f>IFERROR(__xludf.DUMMYFUNCTION("""COMPUTED_VALUE"""),"No")</f>
        <v>No</v>
      </c>
      <c r="F1094" s="8" t="str">
        <f>IFERROR(__xludf.DUMMYFUNCTION("""COMPUTED_VALUE"""),"No")</f>
        <v>No</v>
      </c>
    </row>
    <row r="1095">
      <c r="A1095" s="5">
        <f>IFERROR(__xludf.DUMMYFUNCTION("""COMPUTED_VALUE"""),44802.0)</f>
        <v>44802</v>
      </c>
      <c r="B1095" s="6" t="str">
        <f>IFERROR(__xludf.DUMMYFUNCTION("""COMPUTED_VALUE"""),"lunch")</f>
        <v>lunch</v>
      </c>
      <c r="C1095" s="6" t="str">
        <f>IFERROR(__xludf.DUMMYFUNCTION("""COMPUTED_VALUE"""),"employee A")</f>
        <v>employee A</v>
      </c>
      <c r="D1095" s="7">
        <f>IFERROR(__xludf.DUMMYFUNCTION("""COMPUTED_VALUE"""),141.34)</f>
        <v>141.34</v>
      </c>
      <c r="E1095" s="6" t="str">
        <f>IFERROR(__xludf.DUMMYFUNCTION("""COMPUTED_VALUE"""),"No")</f>
        <v>No</v>
      </c>
      <c r="F1095" s="8" t="str">
        <f>IFERROR(__xludf.DUMMYFUNCTION("""COMPUTED_VALUE"""),"No")</f>
        <v>No</v>
      </c>
    </row>
    <row r="1096">
      <c r="A1096" s="5">
        <f>IFERROR(__xludf.DUMMYFUNCTION("""COMPUTED_VALUE"""),44802.0)</f>
        <v>44802</v>
      </c>
      <c r="B1096" s="6" t="str">
        <f>IFERROR(__xludf.DUMMYFUNCTION("""COMPUTED_VALUE"""),"dinner")</f>
        <v>dinner</v>
      </c>
      <c r="C1096" s="6" t="str">
        <f>IFERROR(__xludf.DUMMYFUNCTION("""COMPUTED_VALUE"""),"employee A")</f>
        <v>employee A</v>
      </c>
      <c r="D1096" s="7">
        <f>IFERROR(__xludf.DUMMYFUNCTION("""COMPUTED_VALUE"""),70.2)</f>
        <v>70.2</v>
      </c>
      <c r="E1096" s="6" t="str">
        <f>IFERROR(__xludf.DUMMYFUNCTION("""COMPUTED_VALUE"""),"No")</f>
        <v>No</v>
      </c>
      <c r="F1096" s="8" t="str">
        <f>IFERROR(__xludf.DUMMYFUNCTION("""COMPUTED_VALUE"""),"No")</f>
        <v>No</v>
      </c>
    </row>
    <row r="1097">
      <c r="A1097" s="5">
        <f>IFERROR(__xludf.DUMMYFUNCTION("""COMPUTED_VALUE"""),44802.0)</f>
        <v>44802</v>
      </c>
      <c r="B1097" s="6" t="str">
        <f>IFERROR(__xludf.DUMMYFUNCTION("""COMPUTED_VALUE"""),"dinner")</f>
        <v>dinner</v>
      </c>
      <c r="C1097" s="6" t="str">
        <f>IFERROR(__xludf.DUMMYFUNCTION("""COMPUTED_VALUE"""),"employee H")</f>
        <v>employee H</v>
      </c>
      <c r="D1097" s="7">
        <f>IFERROR(__xludf.DUMMYFUNCTION("""COMPUTED_VALUE"""),70.2)</f>
        <v>70.2</v>
      </c>
      <c r="E1097" s="6" t="str">
        <f>IFERROR(__xludf.DUMMYFUNCTION("""COMPUTED_VALUE"""),"No")</f>
        <v>No</v>
      </c>
      <c r="F1097" s="8" t="str">
        <f>IFERROR(__xludf.DUMMYFUNCTION("""COMPUTED_VALUE"""),"No")</f>
        <v>No</v>
      </c>
    </row>
    <row r="1098">
      <c r="A1098" s="5">
        <f>IFERROR(__xludf.DUMMYFUNCTION("""COMPUTED_VALUE"""),44802.0)</f>
        <v>44802</v>
      </c>
      <c r="B1098" s="6" t="str">
        <f>IFERROR(__xludf.DUMMYFUNCTION("""COMPUTED_VALUE"""),"dinner")</f>
        <v>dinner</v>
      </c>
      <c r="C1098" s="6" t="str">
        <f>IFERROR(__xludf.DUMMYFUNCTION("""COMPUTED_VALUE"""),"employee G")</f>
        <v>employee G</v>
      </c>
      <c r="D1098" s="7">
        <f>IFERROR(__xludf.DUMMYFUNCTION("""COMPUTED_VALUE"""),54.63)</f>
        <v>54.63</v>
      </c>
      <c r="E1098" s="6" t="str">
        <f>IFERROR(__xludf.DUMMYFUNCTION("""COMPUTED_VALUE"""),"No")</f>
        <v>No</v>
      </c>
      <c r="F1098" s="8" t="str">
        <f>IFERROR(__xludf.DUMMYFUNCTION("""COMPUTED_VALUE"""),"No")</f>
        <v>No</v>
      </c>
    </row>
    <row r="1099">
      <c r="A1099" s="5">
        <f>IFERROR(__xludf.DUMMYFUNCTION("""COMPUTED_VALUE"""),44803.0)</f>
        <v>44803</v>
      </c>
      <c r="B1099" s="6" t="str">
        <f>IFERROR(__xludf.DUMMYFUNCTION("""COMPUTED_VALUE"""),"lunch")</f>
        <v>lunch</v>
      </c>
      <c r="C1099" s="6" t="str">
        <f>IFERROR(__xludf.DUMMYFUNCTION("""COMPUTED_VALUE"""),"employee A")</f>
        <v>employee A</v>
      </c>
      <c r="D1099" s="7">
        <f>IFERROR(__xludf.DUMMYFUNCTION("""COMPUTED_VALUE"""),105.12)</f>
        <v>105.12</v>
      </c>
      <c r="E1099" s="6" t="str">
        <f>IFERROR(__xludf.DUMMYFUNCTION("""COMPUTED_VALUE"""),"No")</f>
        <v>No</v>
      </c>
      <c r="F1099" s="8" t="str">
        <f>IFERROR(__xludf.DUMMYFUNCTION("""COMPUTED_VALUE"""),"No")</f>
        <v>No</v>
      </c>
    </row>
    <row r="1100">
      <c r="A1100" s="5">
        <f>IFERROR(__xludf.DUMMYFUNCTION("""COMPUTED_VALUE"""),44803.0)</f>
        <v>44803</v>
      </c>
      <c r="B1100" s="6" t="str">
        <f>IFERROR(__xludf.DUMMYFUNCTION("""COMPUTED_VALUE"""),"dinner")</f>
        <v>dinner</v>
      </c>
      <c r="C1100" s="6" t="str">
        <f>IFERROR(__xludf.DUMMYFUNCTION("""COMPUTED_VALUE"""),"employee A")</f>
        <v>employee A</v>
      </c>
      <c r="D1100" s="7">
        <f>IFERROR(__xludf.DUMMYFUNCTION("""COMPUTED_VALUE"""),96.39)</f>
        <v>96.39</v>
      </c>
      <c r="E1100" s="6" t="str">
        <f>IFERROR(__xludf.DUMMYFUNCTION("""COMPUTED_VALUE"""),"No")</f>
        <v>No</v>
      </c>
      <c r="F1100" s="8" t="str">
        <f>IFERROR(__xludf.DUMMYFUNCTION("""COMPUTED_VALUE"""),"No")</f>
        <v>No</v>
      </c>
    </row>
    <row r="1101">
      <c r="A1101" s="5">
        <f>IFERROR(__xludf.DUMMYFUNCTION("""COMPUTED_VALUE"""),44803.0)</f>
        <v>44803</v>
      </c>
      <c r="B1101" s="6" t="str">
        <f>IFERROR(__xludf.DUMMYFUNCTION("""COMPUTED_VALUE"""),"dinner")</f>
        <v>dinner</v>
      </c>
      <c r="C1101" s="6" t="str">
        <f>IFERROR(__xludf.DUMMYFUNCTION("""COMPUTED_VALUE"""),"employee G")</f>
        <v>employee G</v>
      </c>
      <c r="D1101" s="7">
        <f>IFERROR(__xludf.DUMMYFUNCTION("""COMPUTED_VALUE"""),75.01)</f>
        <v>75.01</v>
      </c>
      <c r="E1101" s="6" t="str">
        <f>IFERROR(__xludf.DUMMYFUNCTION("""COMPUTED_VALUE"""),"No")</f>
        <v>No</v>
      </c>
      <c r="F1101" s="8" t="str">
        <f>IFERROR(__xludf.DUMMYFUNCTION("""COMPUTED_VALUE"""),"No")</f>
        <v>No</v>
      </c>
    </row>
    <row r="1102">
      <c r="A1102" s="5">
        <f>IFERROR(__xludf.DUMMYFUNCTION("""COMPUTED_VALUE"""),44804.0)</f>
        <v>44804</v>
      </c>
      <c r="B1102" s="6" t="str">
        <f>IFERROR(__xludf.DUMMYFUNCTION("""COMPUTED_VALUE"""),"lunch")</f>
        <v>lunch</v>
      </c>
      <c r="C1102" s="6" t="str">
        <f>IFERROR(__xludf.DUMMYFUNCTION("""COMPUTED_VALUE"""),"employee J")</f>
        <v>employee J</v>
      </c>
      <c r="D1102" s="7">
        <f>IFERROR(__xludf.DUMMYFUNCTION("""COMPUTED_VALUE"""),60.64)</f>
        <v>60.64</v>
      </c>
      <c r="E1102" s="6" t="str">
        <f>IFERROR(__xludf.DUMMYFUNCTION("""COMPUTED_VALUE"""),"No")</f>
        <v>No</v>
      </c>
      <c r="F1102" s="8" t="str">
        <f>IFERROR(__xludf.DUMMYFUNCTION("""COMPUTED_VALUE"""),"No")</f>
        <v>No</v>
      </c>
    </row>
    <row r="1103">
      <c r="A1103" s="5">
        <f>IFERROR(__xludf.DUMMYFUNCTION("""COMPUTED_VALUE"""),44804.0)</f>
        <v>44804</v>
      </c>
      <c r="B1103" s="6" t="str">
        <f>IFERROR(__xludf.DUMMYFUNCTION("""COMPUTED_VALUE"""),"dinner")</f>
        <v>dinner</v>
      </c>
      <c r="C1103" s="6" t="str">
        <f>IFERROR(__xludf.DUMMYFUNCTION("""COMPUTED_VALUE"""),"employee J")</f>
        <v>employee J</v>
      </c>
      <c r="D1103" s="7">
        <f>IFERROR(__xludf.DUMMYFUNCTION("""COMPUTED_VALUE"""),70.46)</f>
        <v>70.46</v>
      </c>
      <c r="E1103" s="6" t="str">
        <f>IFERROR(__xludf.DUMMYFUNCTION("""COMPUTED_VALUE"""),"No")</f>
        <v>No</v>
      </c>
      <c r="F1103" s="8" t="str">
        <f>IFERROR(__xludf.DUMMYFUNCTION("""COMPUTED_VALUE"""),"No")</f>
        <v>No</v>
      </c>
    </row>
    <row r="1104">
      <c r="A1104" s="5">
        <f>IFERROR(__xludf.DUMMYFUNCTION("""COMPUTED_VALUE"""),44804.0)</f>
        <v>44804</v>
      </c>
      <c r="B1104" s="6" t="str">
        <f>IFERROR(__xludf.DUMMYFUNCTION("""COMPUTED_VALUE"""),"dinner")</f>
        <v>dinner</v>
      </c>
      <c r="C1104" s="6" t="str">
        <f>IFERROR(__xludf.DUMMYFUNCTION("""COMPUTED_VALUE"""),"employee H")</f>
        <v>employee H</v>
      </c>
      <c r="D1104" s="7">
        <f>IFERROR(__xludf.DUMMYFUNCTION("""COMPUTED_VALUE"""),70.46)</f>
        <v>70.46</v>
      </c>
      <c r="E1104" s="6" t="str">
        <f>IFERROR(__xludf.DUMMYFUNCTION("""COMPUTED_VALUE"""),"No")</f>
        <v>No</v>
      </c>
      <c r="F1104" s="8" t="str">
        <f>IFERROR(__xludf.DUMMYFUNCTION("""COMPUTED_VALUE"""),"No")</f>
        <v>No</v>
      </c>
    </row>
    <row r="1105">
      <c r="A1105" s="5">
        <f>IFERROR(__xludf.DUMMYFUNCTION("""COMPUTED_VALUE"""),44805.0)</f>
        <v>44805</v>
      </c>
      <c r="B1105" s="6" t="str">
        <f>IFERROR(__xludf.DUMMYFUNCTION("""COMPUTED_VALUE"""),"lunch")</f>
        <v>lunch</v>
      </c>
      <c r="C1105" s="6" t="str">
        <f>IFERROR(__xludf.DUMMYFUNCTION("""COMPUTED_VALUE"""),"employee L")</f>
        <v>employee L</v>
      </c>
      <c r="D1105" s="7">
        <f>IFERROR(__xludf.DUMMYFUNCTION("""COMPUTED_VALUE"""),66.26)</f>
        <v>66.26</v>
      </c>
      <c r="E1105" s="6" t="str">
        <f>IFERROR(__xludf.DUMMYFUNCTION("""COMPUTED_VALUE"""),"No")</f>
        <v>No</v>
      </c>
      <c r="F1105" s="8" t="str">
        <f>IFERROR(__xludf.DUMMYFUNCTION("""COMPUTED_VALUE"""),"No")</f>
        <v>No</v>
      </c>
    </row>
    <row r="1106">
      <c r="A1106" s="5">
        <f>IFERROR(__xludf.DUMMYFUNCTION("""COMPUTED_VALUE"""),44805.0)</f>
        <v>44805</v>
      </c>
      <c r="B1106" s="6" t="str">
        <f>IFERROR(__xludf.DUMMYFUNCTION("""COMPUTED_VALUE"""),"dinner")</f>
        <v>dinner</v>
      </c>
      <c r="C1106" s="6" t="str">
        <f>IFERROR(__xludf.DUMMYFUNCTION("""COMPUTED_VALUE"""),"employee H")</f>
        <v>employee H</v>
      </c>
      <c r="D1106" s="7">
        <f>IFERROR(__xludf.DUMMYFUNCTION("""COMPUTED_VALUE"""),38.47)</f>
        <v>38.47</v>
      </c>
      <c r="E1106" s="6" t="str">
        <f>IFERROR(__xludf.DUMMYFUNCTION("""COMPUTED_VALUE"""),"No")</f>
        <v>No</v>
      </c>
      <c r="F1106" s="8" t="str">
        <f>IFERROR(__xludf.DUMMYFUNCTION("""COMPUTED_VALUE"""),"No")</f>
        <v>No</v>
      </c>
    </row>
    <row r="1107">
      <c r="A1107" s="5">
        <f>IFERROR(__xludf.DUMMYFUNCTION("""COMPUTED_VALUE"""),44805.0)</f>
        <v>44805</v>
      </c>
      <c r="B1107" s="6" t="str">
        <f>IFERROR(__xludf.DUMMYFUNCTION("""COMPUTED_VALUE"""),"dinner")</f>
        <v>dinner</v>
      </c>
      <c r="C1107" s="6" t="str">
        <f>IFERROR(__xludf.DUMMYFUNCTION("""COMPUTED_VALUE"""),"employee G")</f>
        <v>employee G</v>
      </c>
      <c r="D1107" s="7">
        <f>IFERROR(__xludf.DUMMYFUNCTION("""COMPUTED_VALUE"""),29.92)</f>
        <v>29.92</v>
      </c>
      <c r="E1107" s="6" t="str">
        <f>IFERROR(__xludf.DUMMYFUNCTION("""COMPUTED_VALUE"""),"No")</f>
        <v>No</v>
      </c>
      <c r="F1107" s="8" t="str">
        <f>IFERROR(__xludf.DUMMYFUNCTION("""COMPUTED_VALUE"""),"No")</f>
        <v>No</v>
      </c>
    </row>
    <row r="1108">
      <c r="A1108" s="5">
        <f>IFERROR(__xludf.DUMMYFUNCTION("""COMPUTED_VALUE"""),44805.0)</f>
        <v>44805</v>
      </c>
      <c r="B1108" s="6" t="str">
        <f>IFERROR(__xludf.DUMMYFUNCTION("""COMPUTED_VALUE"""),"dinner")</f>
        <v>dinner</v>
      </c>
      <c r="C1108" s="6" t="str">
        <f>IFERROR(__xludf.DUMMYFUNCTION("""COMPUTED_VALUE"""),"employee J")</f>
        <v>employee J</v>
      </c>
      <c r="D1108" s="7">
        <f>IFERROR(__xludf.DUMMYFUNCTION("""COMPUTED_VALUE"""),38.47)</f>
        <v>38.47</v>
      </c>
      <c r="E1108" s="6" t="str">
        <f>IFERROR(__xludf.DUMMYFUNCTION("""COMPUTED_VALUE"""),"No")</f>
        <v>No</v>
      </c>
      <c r="F1108" s="8" t="str">
        <f>IFERROR(__xludf.DUMMYFUNCTION("""COMPUTED_VALUE"""),"No")</f>
        <v>No</v>
      </c>
    </row>
    <row r="1109">
      <c r="A1109" s="5">
        <f>IFERROR(__xludf.DUMMYFUNCTION("""COMPUTED_VALUE"""),44806.0)</f>
        <v>44806</v>
      </c>
      <c r="B1109" s="6" t="str">
        <f>IFERROR(__xludf.DUMMYFUNCTION("""COMPUTED_VALUE"""),"lunch")</f>
        <v>lunch</v>
      </c>
      <c r="C1109" s="6" t="str">
        <f>IFERROR(__xludf.DUMMYFUNCTION("""COMPUTED_VALUE"""),"employee L")</f>
        <v>employee L</v>
      </c>
      <c r="D1109" s="7">
        <f>IFERROR(__xludf.DUMMYFUNCTION("""COMPUTED_VALUE"""),153.48)</f>
        <v>153.48</v>
      </c>
      <c r="E1109" s="6" t="str">
        <f>IFERROR(__xludf.DUMMYFUNCTION("""COMPUTED_VALUE"""),"No")</f>
        <v>No</v>
      </c>
      <c r="F1109" s="8" t="str">
        <f>IFERROR(__xludf.DUMMYFUNCTION("""COMPUTED_VALUE"""),"No")</f>
        <v>No</v>
      </c>
    </row>
    <row r="1110">
      <c r="A1110" s="5">
        <f>IFERROR(__xludf.DUMMYFUNCTION("""COMPUTED_VALUE"""),44806.0)</f>
        <v>44806</v>
      </c>
      <c r="B1110" s="6" t="str">
        <f>IFERROR(__xludf.DUMMYFUNCTION("""COMPUTED_VALUE"""),"dinner")</f>
        <v>dinner</v>
      </c>
      <c r="C1110" s="6" t="str">
        <f>IFERROR(__xludf.DUMMYFUNCTION("""COMPUTED_VALUE"""),"employee L")</f>
        <v>employee L</v>
      </c>
      <c r="D1110" s="7">
        <f>IFERROR(__xludf.DUMMYFUNCTION("""COMPUTED_VALUE"""),105.18)</f>
        <v>105.18</v>
      </c>
      <c r="E1110" s="6" t="str">
        <f>IFERROR(__xludf.DUMMYFUNCTION("""COMPUTED_VALUE"""),"No")</f>
        <v>No</v>
      </c>
      <c r="F1110" s="8" t="str">
        <f>IFERROR(__xludf.DUMMYFUNCTION("""COMPUTED_VALUE"""),"No")</f>
        <v>No</v>
      </c>
    </row>
    <row r="1111">
      <c r="A1111" s="5">
        <f>IFERROR(__xludf.DUMMYFUNCTION("""COMPUTED_VALUE"""),44806.0)</f>
        <v>44806</v>
      </c>
      <c r="B1111" s="6" t="str">
        <f>IFERROR(__xludf.DUMMYFUNCTION("""COMPUTED_VALUE"""),"dinner")</f>
        <v>dinner</v>
      </c>
      <c r="C1111" s="6" t="str">
        <f>IFERROR(__xludf.DUMMYFUNCTION("""COMPUTED_VALUE"""),"employee J")</f>
        <v>employee J</v>
      </c>
      <c r="D1111" s="7">
        <f>IFERROR(__xludf.DUMMYFUNCTION("""COMPUTED_VALUE"""),0.0)</f>
        <v>0</v>
      </c>
      <c r="E1111" s="6" t="str">
        <f>IFERROR(__xludf.DUMMYFUNCTION("""COMPUTED_VALUE"""),"No")</f>
        <v>No</v>
      </c>
      <c r="F1111" s="8" t="str">
        <f>IFERROR(__xludf.DUMMYFUNCTION("""COMPUTED_VALUE"""),"No")</f>
        <v>No</v>
      </c>
    </row>
    <row r="1112">
      <c r="A1112" s="5">
        <f>IFERROR(__xludf.DUMMYFUNCTION("""COMPUTED_VALUE"""),44806.0)</f>
        <v>44806</v>
      </c>
      <c r="B1112" s="6" t="str">
        <f>IFERROR(__xludf.DUMMYFUNCTION("""COMPUTED_VALUE"""),"dinner")</f>
        <v>dinner</v>
      </c>
      <c r="C1112" s="6" t="str">
        <f>IFERROR(__xludf.DUMMYFUNCTION("""COMPUTED_VALUE"""),"employee H")</f>
        <v>employee H</v>
      </c>
      <c r="D1112" s="7">
        <f>IFERROR(__xludf.DUMMYFUNCTION("""COMPUTED_VALUE"""),105.19)</f>
        <v>105.19</v>
      </c>
      <c r="E1112" s="6" t="str">
        <f>IFERROR(__xludf.DUMMYFUNCTION("""COMPUTED_VALUE"""),"No")</f>
        <v>No</v>
      </c>
      <c r="F1112" s="8" t="str">
        <f>IFERROR(__xludf.DUMMYFUNCTION("""COMPUTED_VALUE"""),"No")</f>
        <v>No</v>
      </c>
    </row>
    <row r="1113">
      <c r="A1113" s="5">
        <f>IFERROR(__xludf.DUMMYFUNCTION("""COMPUTED_VALUE"""),44807.0)</f>
        <v>44807</v>
      </c>
      <c r="B1113" s="6" t="str">
        <f>IFERROR(__xludf.DUMMYFUNCTION("""COMPUTED_VALUE"""),"lunch")</f>
        <v>lunch</v>
      </c>
      <c r="C1113" s="6" t="str">
        <f>IFERROR(__xludf.DUMMYFUNCTION("""COMPUTED_VALUE"""),"employee L")</f>
        <v>employee L</v>
      </c>
      <c r="D1113" s="7">
        <f>IFERROR(__xludf.DUMMYFUNCTION("""COMPUTED_VALUE"""),77.7)</f>
        <v>77.7</v>
      </c>
      <c r="E1113" s="6" t="str">
        <f>IFERROR(__xludf.DUMMYFUNCTION("""COMPUTED_VALUE"""),"No")</f>
        <v>No</v>
      </c>
      <c r="F1113" s="8" t="str">
        <f>IFERROR(__xludf.DUMMYFUNCTION("""COMPUTED_VALUE"""),"No")</f>
        <v>No</v>
      </c>
    </row>
    <row r="1114">
      <c r="A1114" s="5">
        <f>IFERROR(__xludf.DUMMYFUNCTION("""COMPUTED_VALUE"""),44807.0)</f>
        <v>44807</v>
      </c>
      <c r="B1114" s="6" t="str">
        <f>IFERROR(__xludf.DUMMYFUNCTION("""COMPUTED_VALUE"""),"lunch")</f>
        <v>lunch</v>
      </c>
      <c r="C1114" s="6" t="str">
        <f>IFERROR(__xludf.DUMMYFUNCTION("""COMPUTED_VALUE"""),"employee J")</f>
        <v>employee J</v>
      </c>
      <c r="D1114" s="7">
        <f>IFERROR(__xludf.DUMMYFUNCTION("""COMPUTED_VALUE"""),16.69)</f>
        <v>16.69</v>
      </c>
      <c r="E1114" s="6" t="str">
        <f>IFERROR(__xludf.DUMMYFUNCTION("""COMPUTED_VALUE"""),"No")</f>
        <v>No</v>
      </c>
      <c r="F1114" s="8" t="str">
        <f>IFERROR(__xludf.DUMMYFUNCTION("""COMPUTED_VALUE"""),"No")</f>
        <v>No</v>
      </c>
    </row>
    <row r="1115">
      <c r="A1115" s="5">
        <f>IFERROR(__xludf.DUMMYFUNCTION("""COMPUTED_VALUE"""),44807.0)</f>
        <v>44807</v>
      </c>
      <c r="B1115" s="6" t="str">
        <f>IFERROR(__xludf.DUMMYFUNCTION("""COMPUTED_VALUE"""),"lunch")</f>
        <v>lunch</v>
      </c>
      <c r="C1115" s="6" t="str">
        <f>IFERROR(__xludf.DUMMYFUNCTION("""COMPUTED_VALUE"""),"employee G")</f>
        <v>employee G</v>
      </c>
      <c r="D1115" s="7">
        <f>IFERROR(__xludf.DUMMYFUNCTION("""COMPUTED_VALUE"""),49.95)</f>
        <v>49.95</v>
      </c>
      <c r="E1115" s="6" t="str">
        <f>IFERROR(__xludf.DUMMYFUNCTION("""COMPUTED_VALUE"""),"No")</f>
        <v>No</v>
      </c>
      <c r="F1115" s="8" t="str">
        <f>IFERROR(__xludf.DUMMYFUNCTION("""COMPUTED_VALUE"""),"No")</f>
        <v>No</v>
      </c>
    </row>
    <row r="1116">
      <c r="A1116" s="5">
        <f>IFERROR(__xludf.DUMMYFUNCTION("""COMPUTED_VALUE"""),44807.0)</f>
        <v>44807</v>
      </c>
      <c r="B1116" s="6" t="str">
        <f>IFERROR(__xludf.DUMMYFUNCTION("""COMPUTED_VALUE"""),"dinner")</f>
        <v>dinner</v>
      </c>
      <c r="C1116" s="6" t="str">
        <f>IFERROR(__xludf.DUMMYFUNCTION("""COMPUTED_VALUE"""),"employee L")</f>
        <v>employee L</v>
      </c>
      <c r="D1116" s="7">
        <f>IFERROR(__xludf.DUMMYFUNCTION("""COMPUTED_VALUE"""),30.96)</f>
        <v>30.96</v>
      </c>
      <c r="E1116" s="6" t="str">
        <f>IFERROR(__xludf.DUMMYFUNCTION("""COMPUTED_VALUE"""),"No")</f>
        <v>No</v>
      </c>
      <c r="F1116" s="8" t="str">
        <f>IFERROR(__xludf.DUMMYFUNCTION("""COMPUTED_VALUE"""),"No")</f>
        <v>No</v>
      </c>
    </row>
    <row r="1117">
      <c r="A1117" s="5">
        <f>IFERROR(__xludf.DUMMYFUNCTION("""COMPUTED_VALUE"""),44807.0)</f>
        <v>44807</v>
      </c>
      <c r="B1117" s="6" t="str">
        <f>IFERROR(__xludf.DUMMYFUNCTION("""COMPUTED_VALUE"""),"dinner")</f>
        <v>dinner</v>
      </c>
      <c r="C1117" s="6" t="str">
        <f>IFERROR(__xludf.DUMMYFUNCTION("""COMPUTED_VALUE"""),"employee J")</f>
        <v>employee J</v>
      </c>
      <c r="D1117" s="7">
        <f>IFERROR(__xludf.DUMMYFUNCTION("""COMPUTED_VALUE"""),46.43)</f>
        <v>46.43</v>
      </c>
      <c r="E1117" s="6" t="str">
        <f>IFERROR(__xludf.DUMMYFUNCTION("""COMPUTED_VALUE"""),"No")</f>
        <v>No</v>
      </c>
      <c r="F1117" s="8" t="str">
        <f>IFERROR(__xludf.DUMMYFUNCTION("""COMPUTED_VALUE"""),"No")</f>
        <v>No</v>
      </c>
    </row>
    <row r="1118">
      <c r="A1118" s="5">
        <f>IFERROR(__xludf.DUMMYFUNCTION("""COMPUTED_VALUE"""),44807.0)</f>
        <v>44807</v>
      </c>
      <c r="B1118" s="6" t="str">
        <f>IFERROR(__xludf.DUMMYFUNCTION("""COMPUTED_VALUE"""),"dinner")</f>
        <v>dinner</v>
      </c>
      <c r="C1118" s="6" t="str">
        <f>IFERROR(__xludf.DUMMYFUNCTION("""COMPUTED_VALUE"""),"employee G")</f>
        <v>employee G</v>
      </c>
      <c r="D1118" s="7">
        <f>IFERROR(__xludf.DUMMYFUNCTION("""COMPUTED_VALUE"""),43.85)</f>
        <v>43.85</v>
      </c>
      <c r="E1118" s="6" t="str">
        <f>IFERROR(__xludf.DUMMYFUNCTION("""COMPUTED_VALUE"""),"No")</f>
        <v>No</v>
      </c>
      <c r="F1118" s="8" t="str">
        <f>IFERROR(__xludf.DUMMYFUNCTION("""COMPUTED_VALUE"""),"No")</f>
        <v>No</v>
      </c>
    </row>
    <row r="1119">
      <c r="A1119" s="5">
        <f>IFERROR(__xludf.DUMMYFUNCTION("""COMPUTED_VALUE"""),44808.0)</f>
        <v>44808</v>
      </c>
      <c r="B1119" s="6" t="str">
        <f>IFERROR(__xludf.DUMMYFUNCTION("""COMPUTED_VALUE"""),"lunch")</f>
        <v>lunch</v>
      </c>
      <c r="C1119" s="6" t="str">
        <f>IFERROR(__xludf.DUMMYFUNCTION("""COMPUTED_VALUE"""),"employee L")</f>
        <v>employee L</v>
      </c>
      <c r="D1119" s="7">
        <f>IFERROR(__xludf.DUMMYFUNCTION("""COMPUTED_VALUE"""),74.25)</f>
        <v>74.25</v>
      </c>
      <c r="E1119" s="6" t="str">
        <f>IFERROR(__xludf.DUMMYFUNCTION("""COMPUTED_VALUE"""),"No")</f>
        <v>No</v>
      </c>
      <c r="F1119" s="8" t="str">
        <f>IFERROR(__xludf.DUMMYFUNCTION("""COMPUTED_VALUE"""),"No")</f>
        <v>No</v>
      </c>
    </row>
    <row r="1120">
      <c r="A1120" s="5">
        <f>IFERROR(__xludf.DUMMYFUNCTION("""COMPUTED_VALUE"""),44808.0)</f>
        <v>44808</v>
      </c>
      <c r="B1120" s="6" t="str">
        <f>IFERROR(__xludf.DUMMYFUNCTION("""COMPUTED_VALUE"""),"lunch")</f>
        <v>lunch</v>
      </c>
      <c r="C1120" s="6" t="str">
        <f>IFERROR(__xludf.DUMMYFUNCTION("""COMPUTED_VALUE"""),"employee J")</f>
        <v>employee J</v>
      </c>
      <c r="D1120" s="7">
        <f>IFERROR(__xludf.DUMMYFUNCTION("""COMPUTED_VALUE"""),53.03)</f>
        <v>53.03</v>
      </c>
      <c r="E1120" s="6" t="str">
        <f>IFERROR(__xludf.DUMMYFUNCTION("""COMPUTED_VALUE"""),"No")</f>
        <v>No</v>
      </c>
      <c r="F1120" s="8" t="str">
        <f>IFERROR(__xludf.DUMMYFUNCTION("""COMPUTED_VALUE"""),"No")</f>
        <v>No</v>
      </c>
    </row>
    <row r="1121">
      <c r="A1121" s="5">
        <f>IFERROR(__xludf.DUMMYFUNCTION("""COMPUTED_VALUE"""),44808.0)</f>
        <v>44808</v>
      </c>
      <c r="B1121" s="6" t="str">
        <f>IFERROR(__xludf.DUMMYFUNCTION("""COMPUTED_VALUE"""),"lunch")</f>
        <v>lunch</v>
      </c>
      <c r="C1121" s="6" t="str">
        <f>IFERROR(__xludf.DUMMYFUNCTION("""COMPUTED_VALUE"""),"employee G")</f>
        <v>employee G</v>
      </c>
      <c r="D1121" s="7">
        <f>IFERROR(__xludf.DUMMYFUNCTION("""COMPUTED_VALUE"""),53.03)</f>
        <v>53.03</v>
      </c>
      <c r="E1121" s="6" t="str">
        <f>IFERROR(__xludf.DUMMYFUNCTION("""COMPUTED_VALUE"""),"No")</f>
        <v>No</v>
      </c>
      <c r="F1121" s="8" t="str">
        <f>IFERROR(__xludf.DUMMYFUNCTION("""COMPUTED_VALUE"""),"No")</f>
        <v>No</v>
      </c>
    </row>
    <row r="1122">
      <c r="A1122" s="5">
        <f>IFERROR(__xludf.DUMMYFUNCTION("""COMPUTED_VALUE"""),44808.0)</f>
        <v>44808</v>
      </c>
      <c r="B1122" s="6" t="str">
        <f>IFERROR(__xludf.DUMMYFUNCTION("""COMPUTED_VALUE"""),"dinner")</f>
        <v>dinner</v>
      </c>
      <c r="C1122" s="6" t="str">
        <f>IFERROR(__xludf.DUMMYFUNCTION("""COMPUTED_VALUE"""),"employee L")</f>
        <v>employee L</v>
      </c>
      <c r="D1122" s="7">
        <f>IFERROR(__xludf.DUMMYFUNCTION("""COMPUTED_VALUE"""),64.13)</f>
        <v>64.13</v>
      </c>
      <c r="E1122" s="6" t="str">
        <f>IFERROR(__xludf.DUMMYFUNCTION("""COMPUTED_VALUE"""),"No")</f>
        <v>No</v>
      </c>
      <c r="F1122" s="8" t="str">
        <f>IFERROR(__xludf.DUMMYFUNCTION("""COMPUTED_VALUE"""),"No")</f>
        <v>No</v>
      </c>
    </row>
    <row r="1123">
      <c r="A1123" s="5">
        <f>IFERROR(__xludf.DUMMYFUNCTION("""COMPUTED_VALUE"""),44808.0)</f>
        <v>44808</v>
      </c>
      <c r="B1123" s="6" t="str">
        <f>IFERROR(__xludf.DUMMYFUNCTION("""COMPUTED_VALUE"""),"dinner")</f>
        <v>dinner</v>
      </c>
      <c r="C1123" s="6" t="str">
        <f>IFERROR(__xludf.DUMMYFUNCTION("""COMPUTED_VALUE"""),"employee J")</f>
        <v>employee J</v>
      </c>
      <c r="D1123" s="7">
        <f>IFERROR(__xludf.DUMMYFUNCTION("""COMPUTED_VALUE"""),42.76)</f>
        <v>42.76</v>
      </c>
      <c r="E1123" s="6" t="str">
        <f>IFERROR(__xludf.DUMMYFUNCTION("""COMPUTED_VALUE"""),"No")</f>
        <v>No</v>
      </c>
      <c r="F1123" s="8" t="str">
        <f>IFERROR(__xludf.DUMMYFUNCTION("""COMPUTED_VALUE"""),"No")</f>
        <v>No</v>
      </c>
    </row>
    <row r="1124">
      <c r="A1124" s="5">
        <f>IFERROR(__xludf.DUMMYFUNCTION("""COMPUTED_VALUE"""),44808.0)</f>
        <v>44808</v>
      </c>
      <c r="B1124" s="6" t="str">
        <f>IFERROR(__xludf.DUMMYFUNCTION("""COMPUTED_VALUE"""),"dinner")</f>
        <v>dinner</v>
      </c>
      <c r="C1124" s="6" t="str">
        <f>IFERROR(__xludf.DUMMYFUNCTION("""COMPUTED_VALUE"""),"employee G")</f>
        <v>employee G</v>
      </c>
      <c r="D1124" s="7">
        <f>IFERROR(__xludf.DUMMYFUNCTION("""COMPUTED_VALUE"""),64.13)</f>
        <v>64.13</v>
      </c>
      <c r="E1124" s="6" t="str">
        <f>IFERROR(__xludf.DUMMYFUNCTION("""COMPUTED_VALUE"""),"No")</f>
        <v>No</v>
      </c>
      <c r="F1124" s="8" t="str">
        <f>IFERROR(__xludf.DUMMYFUNCTION("""COMPUTED_VALUE"""),"No")</f>
        <v>No</v>
      </c>
    </row>
    <row r="1125">
      <c r="A1125" s="5">
        <f>IFERROR(__xludf.DUMMYFUNCTION("""COMPUTED_VALUE"""),44809.0)</f>
        <v>44809</v>
      </c>
      <c r="B1125" s="6" t="str">
        <f>IFERROR(__xludf.DUMMYFUNCTION("""COMPUTED_VALUE"""),"lunch")</f>
        <v>lunch</v>
      </c>
      <c r="C1125" s="6" t="str">
        <f>IFERROR(__xludf.DUMMYFUNCTION("""COMPUTED_VALUE"""),"employee A")</f>
        <v>employee A</v>
      </c>
      <c r="D1125" s="7">
        <f>IFERROR(__xludf.DUMMYFUNCTION("""COMPUTED_VALUE"""),91.4)</f>
        <v>91.4</v>
      </c>
      <c r="E1125" s="6" t="str">
        <f>IFERROR(__xludf.DUMMYFUNCTION("""COMPUTED_VALUE"""),"No")</f>
        <v>No</v>
      </c>
      <c r="F1125" s="8" t="str">
        <f>IFERROR(__xludf.DUMMYFUNCTION("""COMPUTED_VALUE"""),"No")</f>
        <v>No</v>
      </c>
    </row>
    <row r="1126">
      <c r="A1126" s="5">
        <f>IFERROR(__xludf.DUMMYFUNCTION("""COMPUTED_VALUE"""),44809.0)</f>
        <v>44809</v>
      </c>
      <c r="B1126" s="6" t="str">
        <f>IFERROR(__xludf.DUMMYFUNCTION("""COMPUTED_VALUE"""),"lunch")</f>
        <v>lunch</v>
      </c>
      <c r="C1126" s="6" t="str">
        <f>IFERROR(__xludf.DUMMYFUNCTION("""COMPUTED_VALUE"""),"employee J")</f>
        <v>employee J</v>
      </c>
      <c r="D1126" s="7">
        <f>IFERROR(__xludf.DUMMYFUNCTION("""COMPUTED_VALUE"""),64.01)</f>
        <v>64.01</v>
      </c>
      <c r="E1126" s="6" t="str">
        <f>IFERROR(__xludf.DUMMYFUNCTION("""COMPUTED_VALUE"""),"No")</f>
        <v>No</v>
      </c>
      <c r="F1126" s="8" t="str">
        <f>IFERROR(__xludf.DUMMYFUNCTION("""COMPUTED_VALUE"""),"No")</f>
        <v>No</v>
      </c>
    </row>
    <row r="1127">
      <c r="A1127" s="5">
        <f>IFERROR(__xludf.DUMMYFUNCTION("""COMPUTED_VALUE"""),44809.0)</f>
        <v>44809</v>
      </c>
      <c r="B1127" s="6" t="str">
        <f>IFERROR(__xludf.DUMMYFUNCTION("""COMPUTED_VALUE"""),"dinner")</f>
        <v>dinner</v>
      </c>
      <c r="C1127" s="6" t="str">
        <f>IFERROR(__xludf.DUMMYFUNCTION("""COMPUTED_VALUE"""),"employee A")</f>
        <v>employee A</v>
      </c>
      <c r="D1127" s="7">
        <f>IFERROR(__xludf.DUMMYFUNCTION("""COMPUTED_VALUE"""),99.59)</f>
        <v>99.59</v>
      </c>
      <c r="E1127" s="6" t="str">
        <f>IFERROR(__xludf.DUMMYFUNCTION("""COMPUTED_VALUE"""),"No")</f>
        <v>No</v>
      </c>
      <c r="F1127" s="8" t="str">
        <f>IFERROR(__xludf.DUMMYFUNCTION("""COMPUTED_VALUE"""),"No")</f>
        <v>No</v>
      </c>
    </row>
    <row r="1128">
      <c r="A1128" s="5">
        <f>IFERROR(__xludf.DUMMYFUNCTION("""COMPUTED_VALUE"""),44809.0)</f>
        <v>44809</v>
      </c>
      <c r="B1128" s="6" t="str">
        <f>IFERROR(__xludf.DUMMYFUNCTION("""COMPUTED_VALUE"""),"dinner")</f>
        <v>dinner</v>
      </c>
      <c r="C1128" s="6" t="str">
        <f>IFERROR(__xludf.DUMMYFUNCTION("""COMPUTED_VALUE"""),"employee J")</f>
        <v>employee J</v>
      </c>
      <c r="D1128" s="7">
        <f>IFERROR(__xludf.DUMMYFUNCTION("""COMPUTED_VALUE"""),99.6)</f>
        <v>99.6</v>
      </c>
      <c r="E1128" s="6" t="str">
        <f>IFERROR(__xludf.DUMMYFUNCTION("""COMPUTED_VALUE"""),"No")</f>
        <v>No</v>
      </c>
      <c r="F1128" s="8" t="str">
        <f>IFERROR(__xludf.DUMMYFUNCTION("""COMPUTED_VALUE"""),"No")</f>
        <v>No</v>
      </c>
    </row>
    <row r="1129">
      <c r="A1129" s="5">
        <f>IFERROR(__xludf.DUMMYFUNCTION("""COMPUTED_VALUE"""),44810.0)</f>
        <v>44810</v>
      </c>
      <c r="B1129" s="6" t="str">
        <f>IFERROR(__xludf.DUMMYFUNCTION("""COMPUTED_VALUE"""),"lunch")</f>
        <v>lunch</v>
      </c>
      <c r="C1129" s="6" t="str">
        <f>IFERROR(__xludf.DUMMYFUNCTION("""COMPUTED_VALUE"""),"employee A")</f>
        <v>employee A</v>
      </c>
      <c r="D1129" s="7">
        <f>IFERROR(__xludf.DUMMYFUNCTION("""COMPUTED_VALUE"""),90.45)</f>
        <v>90.45</v>
      </c>
      <c r="E1129" s="6" t="str">
        <f>IFERROR(__xludf.DUMMYFUNCTION("""COMPUTED_VALUE"""),"No")</f>
        <v>No</v>
      </c>
      <c r="F1129" s="8" t="str">
        <f>IFERROR(__xludf.DUMMYFUNCTION("""COMPUTED_VALUE"""),"No")</f>
        <v>No</v>
      </c>
    </row>
    <row r="1130">
      <c r="A1130" s="5">
        <f>IFERROR(__xludf.DUMMYFUNCTION("""COMPUTED_VALUE"""),44810.0)</f>
        <v>44810</v>
      </c>
      <c r="B1130" s="6" t="str">
        <f>IFERROR(__xludf.DUMMYFUNCTION("""COMPUTED_VALUE"""),"dinner")</f>
        <v>dinner</v>
      </c>
      <c r="C1130" s="6" t="str">
        <f>IFERROR(__xludf.DUMMYFUNCTION("""COMPUTED_VALUE"""),"employee A")</f>
        <v>employee A</v>
      </c>
      <c r="D1130" s="7">
        <f>IFERROR(__xludf.DUMMYFUNCTION("""COMPUTED_VALUE"""),42.21)</f>
        <v>42.21</v>
      </c>
      <c r="E1130" s="6" t="str">
        <f>IFERROR(__xludf.DUMMYFUNCTION("""COMPUTED_VALUE"""),"No")</f>
        <v>No</v>
      </c>
      <c r="F1130" s="8" t="str">
        <f>IFERROR(__xludf.DUMMYFUNCTION("""COMPUTED_VALUE"""),"No")</f>
        <v>No</v>
      </c>
    </row>
    <row r="1131">
      <c r="A1131" s="5">
        <f>IFERROR(__xludf.DUMMYFUNCTION("""COMPUTED_VALUE"""),44810.0)</f>
        <v>44810</v>
      </c>
      <c r="B1131" s="6" t="str">
        <f>IFERROR(__xludf.DUMMYFUNCTION("""COMPUTED_VALUE"""),"dinner")</f>
        <v>dinner</v>
      </c>
      <c r="C1131" s="6" t="str">
        <f>IFERROR(__xludf.DUMMYFUNCTION("""COMPUTED_VALUE"""),"employee H")</f>
        <v>employee H</v>
      </c>
      <c r="D1131" s="7">
        <f>IFERROR(__xludf.DUMMYFUNCTION("""COMPUTED_VALUE"""),54.27)</f>
        <v>54.27</v>
      </c>
      <c r="E1131" s="6" t="str">
        <f>IFERROR(__xludf.DUMMYFUNCTION("""COMPUTED_VALUE"""),"No")</f>
        <v>No</v>
      </c>
      <c r="F1131" s="8" t="str">
        <f>IFERROR(__xludf.DUMMYFUNCTION("""COMPUTED_VALUE"""),"No")</f>
        <v>No</v>
      </c>
    </row>
    <row r="1132">
      <c r="A1132" s="5">
        <f>IFERROR(__xludf.DUMMYFUNCTION("""COMPUTED_VALUE"""),44811.0)</f>
        <v>44811</v>
      </c>
      <c r="B1132" s="6" t="str">
        <f>IFERROR(__xludf.DUMMYFUNCTION("""COMPUTED_VALUE"""),"lunch")</f>
        <v>lunch</v>
      </c>
      <c r="C1132" s="6" t="str">
        <f>IFERROR(__xludf.DUMMYFUNCTION("""COMPUTED_VALUE"""),"employee J")</f>
        <v>employee J</v>
      </c>
      <c r="D1132" s="7">
        <f>IFERROR(__xludf.DUMMYFUNCTION("""COMPUTED_VALUE"""),68.5)</f>
        <v>68.5</v>
      </c>
      <c r="E1132" s="6" t="str">
        <f>IFERROR(__xludf.DUMMYFUNCTION("""COMPUTED_VALUE"""),"No")</f>
        <v>No</v>
      </c>
      <c r="F1132" s="8" t="str">
        <f>IFERROR(__xludf.DUMMYFUNCTION("""COMPUTED_VALUE"""),"No")</f>
        <v>No</v>
      </c>
    </row>
    <row r="1133">
      <c r="A1133" s="5">
        <f>IFERROR(__xludf.DUMMYFUNCTION("""COMPUTED_VALUE"""),44811.0)</f>
        <v>44811</v>
      </c>
      <c r="B1133" s="6" t="str">
        <f>IFERROR(__xludf.DUMMYFUNCTION("""COMPUTED_VALUE"""),"dinner")</f>
        <v>dinner</v>
      </c>
      <c r="C1133" s="6" t="str">
        <f>IFERROR(__xludf.DUMMYFUNCTION("""COMPUTED_VALUE"""),"employee J")</f>
        <v>employee J</v>
      </c>
      <c r="D1133" s="7">
        <f>IFERROR(__xludf.DUMMYFUNCTION("""COMPUTED_VALUE"""),65.99)</f>
        <v>65.99</v>
      </c>
      <c r="E1133" s="6" t="str">
        <f>IFERROR(__xludf.DUMMYFUNCTION("""COMPUTED_VALUE"""),"No")</f>
        <v>No</v>
      </c>
      <c r="F1133" s="8" t="str">
        <f>IFERROR(__xludf.DUMMYFUNCTION("""COMPUTED_VALUE"""),"No")</f>
        <v>No</v>
      </c>
    </row>
    <row r="1134">
      <c r="A1134" s="5">
        <f>IFERROR(__xludf.DUMMYFUNCTION("""COMPUTED_VALUE"""),44811.0)</f>
        <v>44811</v>
      </c>
      <c r="B1134" s="6" t="str">
        <f>IFERROR(__xludf.DUMMYFUNCTION("""COMPUTED_VALUE"""),"dinner")</f>
        <v>dinner</v>
      </c>
      <c r="C1134" s="6" t="str">
        <f>IFERROR(__xludf.DUMMYFUNCTION("""COMPUTED_VALUE"""),"employee H")</f>
        <v>employee H</v>
      </c>
      <c r="D1134" s="7">
        <f>IFERROR(__xludf.DUMMYFUNCTION("""COMPUTED_VALUE"""),65.99)</f>
        <v>65.99</v>
      </c>
      <c r="E1134" s="6" t="str">
        <f>IFERROR(__xludf.DUMMYFUNCTION("""COMPUTED_VALUE"""),"No")</f>
        <v>No</v>
      </c>
      <c r="F1134" s="8" t="str">
        <f>IFERROR(__xludf.DUMMYFUNCTION("""COMPUTED_VALUE"""),"No")</f>
        <v>No</v>
      </c>
    </row>
    <row r="1135">
      <c r="A1135" s="5">
        <f>IFERROR(__xludf.DUMMYFUNCTION("""COMPUTED_VALUE"""),44812.0)</f>
        <v>44812</v>
      </c>
      <c r="B1135" s="6" t="str">
        <f>IFERROR(__xludf.DUMMYFUNCTION("""COMPUTED_VALUE"""),"lunch")</f>
        <v>lunch</v>
      </c>
      <c r="C1135" s="6" t="str">
        <f>IFERROR(__xludf.DUMMYFUNCTION("""COMPUTED_VALUE"""),"employee L")</f>
        <v>employee L</v>
      </c>
      <c r="D1135" s="7">
        <f>IFERROR(__xludf.DUMMYFUNCTION("""COMPUTED_VALUE"""),102.51)</f>
        <v>102.51</v>
      </c>
      <c r="E1135" s="6" t="str">
        <f>IFERROR(__xludf.DUMMYFUNCTION("""COMPUTED_VALUE"""),"No")</f>
        <v>No</v>
      </c>
      <c r="F1135" s="8" t="str">
        <f>IFERROR(__xludf.DUMMYFUNCTION("""COMPUTED_VALUE"""),"No")</f>
        <v>No</v>
      </c>
    </row>
    <row r="1136">
      <c r="A1136" s="5">
        <f>IFERROR(__xludf.DUMMYFUNCTION("""COMPUTED_VALUE"""),44812.0)</f>
        <v>44812</v>
      </c>
      <c r="B1136" s="6" t="str">
        <f>IFERROR(__xludf.DUMMYFUNCTION("""COMPUTED_VALUE"""),"dinner")</f>
        <v>dinner</v>
      </c>
      <c r="C1136" s="6" t="str">
        <f>IFERROR(__xludf.DUMMYFUNCTION("""COMPUTED_VALUE"""),"employee J")</f>
        <v>employee J</v>
      </c>
      <c r="D1136" s="7">
        <f>IFERROR(__xludf.DUMMYFUNCTION("""COMPUTED_VALUE"""),61.26)</f>
        <v>61.26</v>
      </c>
      <c r="E1136" s="6" t="str">
        <f>IFERROR(__xludf.DUMMYFUNCTION("""COMPUTED_VALUE"""),"No")</f>
        <v>No</v>
      </c>
      <c r="F1136" s="8" t="str">
        <f>IFERROR(__xludf.DUMMYFUNCTION("""COMPUTED_VALUE"""),"No")</f>
        <v>No</v>
      </c>
    </row>
    <row r="1137">
      <c r="A1137" s="5">
        <f>IFERROR(__xludf.DUMMYFUNCTION("""COMPUTED_VALUE"""),44812.0)</f>
        <v>44812</v>
      </c>
      <c r="B1137" s="6" t="str">
        <f>IFERROR(__xludf.DUMMYFUNCTION("""COMPUTED_VALUE"""),"dinner")</f>
        <v>dinner</v>
      </c>
      <c r="C1137" s="6" t="str">
        <f>IFERROR(__xludf.DUMMYFUNCTION("""COMPUTED_VALUE"""),"employee H")</f>
        <v>employee H</v>
      </c>
      <c r="D1137" s="7">
        <f>IFERROR(__xludf.DUMMYFUNCTION("""COMPUTED_VALUE"""),61.26)</f>
        <v>61.26</v>
      </c>
      <c r="E1137" s="6" t="str">
        <f>IFERROR(__xludf.DUMMYFUNCTION("""COMPUTED_VALUE"""),"No")</f>
        <v>No</v>
      </c>
      <c r="F1137" s="8" t="str">
        <f>IFERROR(__xludf.DUMMYFUNCTION("""COMPUTED_VALUE"""),"No")</f>
        <v>No</v>
      </c>
    </row>
    <row r="1138">
      <c r="A1138" s="5">
        <f>IFERROR(__xludf.DUMMYFUNCTION("""COMPUTED_VALUE"""),44812.0)</f>
        <v>44812</v>
      </c>
      <c r="B1138" s="6" t="str">
        <f>IFERROR(__xludf.DUMMYFUNCTION("""COMPUTED_VALUE"""),"dinner")</f>
        <v>dinner</v>
      </c>
      <c r="C1138" s="6" t="str">
        <f>IFERROR(__xludf.DUMMYFUNCTION("""COMPUTED_VALUE"""),"employee G")</f>
        <v>employee G</v>
      </c>
      <c r="D1138" s="7">
        <f>IFERROR(__xludf.DUMMYFUNCTION("""COMPUTED_VALUE"""),47.65)</f>
        <v>47.65</v>
      </c>
      <c r="E1138" s="6" t="str">
        <f>IFERROR(__xludf.DUMMYFUNCTION("""COMPUTED_VALUE"""),"No")</f>
        <v>No</v>
      </c>
      <c r="F1138" s="8" t="str">
        <f>IFERROR(__xludf.DUMMYFUNCTION("""COMPUTED_VALUE"""),"No")</f>
        <v>No</v>
      </c>
    </row>
    <row r="1139">
      <c r="A1139" s="5">
        <f>IFERROR(__xludf.DUMMYFUNCTION("""COMPUTED_VALUE"""),44813.0)</f>
        <v>44813</v>
      </c>
      <c r="B1139" s="6" t="str">
        <f>IFERROR(__xludf.DUMMYFUNCTION("""COMPUTED_VALUE"""),"lunch")</f>
        <v>lunch</v>
      </c>
      <c r="C1139" s="6" t="str">
        <f>IFERROR(__xludf.DUMMYFUNCTION("""COMPUTED_VALUE"""),"employee L")</f>
        <v>employee L</v>
      </c>
      <c r="D1139" s="7">
        <f>IFERROR(__xludf.DUMMYFUNCTION("""COMPUTED_VALUE"""),106.97)</f>
        <v>106.97</v>
      </c>
      <c r="E1139" s="6" t="str">
        <f>IFERROR(__xludf.DUMMYFUNCTION("""COMPUTED_VALUE"""),"No")</f>
        <v>No</v>
      </c>
      <c r="F1139" s="8" t="str">
        <f>IFERROR(__xludf.DUMMYFUNCTION("""COMPUTED_VALUE"""),"No")</f>
        <v>No</v>
      </c>
    </row>
    <row r="1140">
      <c r="A1140" s="5">
        <f>IFERROR(__xludf.DUMMYFUNCTION("""COMPUTED_VALUE"""),44813.0)</f>
        <v>44813</v>
      </c>
      <c r="B1140" s="6" t="str">
        <f>IFERROR(__xludf.DUMMYFUNCTION("""COMPUTED_VALUE"""),"dinner")</f>
        <v>dinner</v>
      </c>
      <c r="C1140" s="6" t="str">
        <f>IFERROR(__xludf.DUMMYFUNCTION("""COMPUTED_VALUE"""),"employee L")</f>
        <v>employee L</v>
      </c>
      <c r="D1140" s="7">
        <f>IFERROR(__xludf.DUMMYFUNCTION("""COMPUTED_VALUE"""),26.97)</f>
        <v>26.97</v>
      </c>
      <c r="E1140" s="6" t="str">
        <f>IFERROR(__xludf.DUMMYFUNCTION("""COMPUTED_VALUE"""),"No")</f>
        <v>No</v>
      </c>
      <c r="F1140" s="8" t="str">
        <f>IFERROR(__xludf.DUMMYFUNCTION("""COMPUTED_VALUE"""),"No")</f>
        <v>No</v>
      </c>
    </row>
    <row r="1141">
      <c r="A1141" s="5">
        <f>IFERROR(__xludf.DUMMYFUNCTION("""COMPUTED_VALUE"""),44813.0)</f>
        <v>44813</v>
      </c>
      <c r="B1141" s="6" t="str">
        <f>IFERROR(__xludf.DUMMYFUNCTION("""COMPUTED_VALUE"""),"dinner")</f>
        <v>dinner</v>
      </c>
      <c r="C1141" s="6" t="str">
        <f>IFERROR(__xludf.DUMMYFUNCTION("""COMPUTED_VALUE"""),"employee J")</f>
        <v>employee J</v>
      </c>
      <c r="D1141" s="7">
        <f>IFERROR(__xludf.DUMMYFUNCTION("""COMPUTED_VALUE"""),17.98)</f>
        <v>17.98</v>
      </c>
      <c r="E1141" s="6" t="str">
        <f>IFERROR(__xludf.DUMMYFUNCTION("""COMPUTED_VALUE"""),"No")</f>
        <v>No</v>
      </c>
      <c r="F1141" s="8" t="str">
        <f>IFERROR(__xludf.DUMMYFUNCTION("""COMPUTED_VALUE"""),"No")</f>
        <v>No</v>
      </c>
    </row>
    <row r="1142">
      <c r="A1142" s="5">
        <f>IFERROR(__xludf.DUMMYFUNCTION("""COMPUTED_VALUE"""),44813.0)</f>
        <v>44813</v>
      </c>
      <c r="B1142" s="6" t="str">
        <f>IFERROR(__xludf.DUMMYFUNCTION("""COMPUTED_VALUE"""),"dinner")</f>
        <v>dinner</v>
      </c>
      <c r="C1142" s="6" t="str">
        <f>IFERROR(__xludf.DUMMYFUNCTION("""COMPUTED_VALUE"""),"employee H")</f>
        <v>employee H</v>
      </c>
      <c r="D1142" s="7">
        <f>IFERROR(__xludf.DUMMYFUNCTION("""COMPUTED_VALUE"""),26.97)</f>
        <v>26.97</v>
      </c>
      <c r="E1142" s="6" t="str">
        <f>IFERROR(__xludf.DUMMYFUNCTION("""COMPUTED_VALUE"""),"No")</f>
        <v>No</v>
      </c>
      <c r="F1142" s="8" t="str">
        <f>IFERROR(__xludf.DUMMYFUNCTION("""COMPUTED_VALUE"""),"No")</f>
        <v>No</v>
      </c>
    </row>
    <row r="1143">
      <c r="A1143" s="5">
        <f>IFERROR(__xludf.DUMMYFUNCTION("""COMPUTED_VALUE"""),44814.0)</f>
        <v>44814</v>
      </c>
      <c r="B1143" s="6" t="str">
        <f>IFERROR(__xludf.DUMMYFUNCTION("""COMPUTED_VALUE"""),"lunch")</f>
        <v>lunch</v>
      </c>
      <c r="C1143" s="6" t="str">
        <f>IFERROR(__xludf.DUMMYFUNCTION("""COMPUTED_VALUE"""),"employee L")</f>
        <v>employee L</v>
      </c>
      <c r="D1143" s="7">
        <f>IFERROR(__xludf.DUMMYFUNCTION("""COMPUTED_VALUE"""),181.38)</f>
        <v>181.38</v>
      </c>
      <c r="E1143" s="6" t="str">
        <f>IFERROR(__xludf.DUMMYFUNCTION("""COMPUTED_VALUE"""),"No")</f>
        <v>No</v>
      </c>
      <c r="F1143" s="8" t="str">
        <f>IFERROR(__xludf.DUMMYFUNCTION("""COMPUTED_VALUE"""),"No")</f>
        <v>No</v>
      </c>
    </row>
    <row r="1144">
      <c r="A1144" s="5">
        <f>IFERROR(__xludf.DUMMYFUNCTION("""COMPUTED_VALUE"""),44814.0)</f>
        <v>44814</v>
      </c>
      <c r="B1144" s="6" t="str">
        <f>IFERROR(__xludf.DUMMYFUNCTION("""COMPUTED_VALUE"""),"lunch")</f>
        <v>lunch</v>
      </c>
      <c r="C1144" s="6" t="str">
        <f>IFERROR(__xludf.DUMMYFUNCTION("""COMPUTED_VALUE"""),"employee J")</f>
        <v>employee J</v>
      </c>
      <c r="D1144" s="7">
        <f>IFERROR(__xludf.DUMMYFUNCTION("""COMPUTED_VALUE"""),164.89)</f>
        <v>164.89</v>
      </c>
      <c r="E1144" s="6" t="str">
        <f>IFERROR(__xludf.DUMMYFUNCTION("""COMPUTED_VALUE"""),"No")</f>
        <v>No</v>
      </c>
      <c r="F1144" s="8" t="str">
        <f>IFERROR(__xludf.DUMMYFUNCTION("""COMPUTED_VALUE"""),"No")</f>
        <v>No</v>
      </c>
    </row>
    <row r="1145">
      <c r="A1145" s="5">
        <f>IFERROR(__xludf.DUMMYFUNCTION("""COMPUTED_VALUE"""),44814.0)</f>
        <v>44814</v>
      </c>
      <c r="B1145" s="6" t="str">
        <f>IFERROR(__xludf.DUMMYFUNCTION("""COMPUTED_VALUE"""),"dinner")</f>
        <v>dinner</v>
      </c>
      <c r="C1145" s="6" t="str">
        <f>IFERROR(__xludf.DUMMYFUNCTION("""COMPUTED_VALUE"""),"employee L")</f>
        <v>employee L</v>
      </c>
      <c r="D1145" s="7">
        <f>IFERROR(__xludf.DUMMYFUNCTION("""COMPUTED_VALUE"""),32.04)</f>
        <v>32.04</v>
      </c>
      <c r="E1145" s="6" t="str">
        <f>IFERROR(__xludf.DUMMYFUNCTION("""COMPUTED_VALUE"""),"No")</f>
        <v>No</v>
      </c>
      <c r="F1145" s="8" t="str">
        <f>IFERROR(__xludf.DUMMYFUNCTION("""COMPUTED_VALUE"""),"No")</f>
        <v>No</v>
      </c>
    </row>
    <row r="1146">
      <c r="A1146" s="5">
        <f>IFERROR(__xludf.DUMMYFUNCTION("""COMPUTED_VALUE"""),44814.0)</f>
        <v>44814</v>
      </c>
      <c r="B1146" s="6" t="str">
        <f>IFERROR(__xludf.DUMMYFUNCTION("""COMPUTED_VALUE"""),"dinner")</f>
        <v>dinner</v>
      </c>
      <c r="C1146" s="6" t="str">
        <f>IFERROR(__xludf.DUMMYFUNCTION("""COMPUTED_VALUE"""),"employee J")</f>
        <v>employee J</v>
      </c>
      <c r="D1146" s="7">
        <f>IFERROR(__xludf.DUMMYFUNCTION("""COMPUTED_VALUE"""),48.06)</f>
        <v>48.06</v>
      </c>
      <c r="E1146" s="6" t="str">
        <f>IFERROR(__xludf.DUMMYFUNCTION("""COMPUTED_VALUE"""),"No")</f>
        <v>No</v>
      </c>
      <c r="F1146" s="8" t="str">
        <f>IFERROR(__xludf.DUMMYFUNCTION("""COMPUTED_VALUE"""),"No")</f>
        <v>No</v>
      </c>
    </row>
    <row r="1147">
      <c r="A1147" s="5">
        <f>IFERROR(__xludf.DUMMYFUNCTION("""COMPUTED_VALUE"""),44814.0)</f>
        <v>44814</v>
      </c>
      <c r="B1147" s="6" t="str">
        <f>IFERROR(__xludf.DUMMYFUNCTION("""COMPUTED_VALUE"""),"dinner")</f>
        <v>dinner</v>
      </c>
      <c r="C1147" s="6" t="str">
        <f>IFERROR(__xludf.DUMMYFUNCTION("""COMPUTED_VALUE"""),"employee G")</f>
        <v>employee G</v>
      </c>
      <c r="D1147" s="7">
        <f>IFERROR(__xludf.DUMMYFUNCTION("""COMPUTED_VALUE"""),48.06)</f>
        <v>48.06</v>
      </c>
      <c r="E1147" s="6" t="str">
        <f>IFERROR(__xludf.DUMMYFUNCTION("""COMPUTED_VALUE"""),"No")</f>
        <v>No</v>
      </c>
      <c r="F1147" s="8" t="str">
        <f>IFERROR(__xludf.DUMMYFUNCTION("""COMPUTED_VALUE"""),"No")</f>
        <v>No</v>
      </c>
    </row>
    <row r="1148">
      <c r="A1148" s="5">
        <f>IFERROR(__xludf.DUMMYFUNCTION("""COMPUTED_VALUE"""),44815.0)</f>
        <v>44815</v>
      </c>
      <c r="B1148" s="6" t="str">
        <f>IFERROR(__xludf.DUMMYFUNCTION("""COMPUTED_VALUE"""),"lunch")</f>
        <v>lunch</v>
      </c>
      <c r="C1148" s="6" t="str">
        <f>IFERROR(__xludf.DUMMYFUNCTION("""COMPUTED_VALUE"""),"employee L")</f>
        <v>employee L</v>
      </c>
      <c r="D1148" s="7">
        <f>IFERROR(__xludf.DUMMYFUNCTION("""COMPUTED_VALUE"""),74.37)</f>
        <v>74.37</v>
      </c>
      <c r="E1148" s="6" t="str">
        <f>IFERROR(__xludf.DUMMYFUNCTION("""COMPUTED_VALUE"""),"No")</f>
        <v>No</v>
      </c>
      <c r="F1148" s="8" t="str">
        <f>IFERROR(__xludf.DUMMYFUNCTION("""COMPUTED_VALUE"""),"No")</f>
        <v>No</v>
      </c>
    </row>
    <row r="1149">
      <c r="A1149" s="5">
        <f>IFERROR(__xludf.DUMMYFUNCTION("""COMPUTED_VALUE"""),44815.0)</f>
        <v>44815</v>
      </c>
      <c r="B1149" s="6" t="str">
        <f>IFERROR(__xludf.DUMMYFUNCTION("""COMPUTED_VALUE"""),"lunch")</f>
        <v>lunch</v>
      </c>
      <c r="C1149" s="6" t="str">
        <f>IFERROR(__xludf.DUMMYFUNCTION("""COMPUTED_VALUE"""),"employee J")</f>
        <v>employee J</v>
      </c>
      <c r="D1149" s="7">
        <f>IFERROR(__xludf.DUMMYFUNCTION("""COMPUTED_VALUE"""),74.37)</f>
        <v>74.37</v>
      </c>
      <c r="E1149" s="6" t="str">
        <f>IFERROR(__xludf.DUMMYFUNCTION("""COMPUTED_VALUE"""),"No")</f>
        <v>No</v>
      </c>
      <c r="F1149" s="8" t="str">
        <f>IFERROR(__xludf.DUMMYFUNCTION("""COMPUTED_VALUE"""),"No")</f>
        <v>No</v>
      </c>
    </row>
    <row r="1150">
      <c r="A1150" s="5">
        <f>IFERROR(__xludf.DUMMYFUNCTION("""COMPUTED_VALUE"""),44815.0)</f>
        <v>44815</v>
      </c>
      <c r="B1150" s="6" t="str">
        <f>IFERROR(__xludf.DUMMYFUNCTION("""COMPUTED_VALUE"""),"lunch")</f>
        <v>lunch</v>
      </c>
      <c r="C1150" s="6" t="str">
        <f>IFERROR(__xludf.DUMMYFUNCTION("""COMPUTED_VALUE"""),"employee G")</f>
        <v>employee G</v>
      </c>
      <c r="D1150" s="7">
        <f>IFERROR(__xludf.DUMMYFUNCTION("""COMPUTED_VALUE"""),74.37)</f>
        <v>74.37</v>
      </c>
      <c r="E1150" s="6" t="str">
        <f>IFERROR(__xludf.DUMMYFUNCTION("""COMPUTED_VALUE"""),"No")</f>
        <v>No</v>
      </c>
      <c r="F1150" s="8" t="str">
        <f>IFERROR(__xludf.DUMMYFUNCTION("""COMPUTED_VALUE"""),"No")</f>
        <v>No</v>
      </c>
    </row>
    <row r="1151">
      <c r="A1151" s="5">
        <f>IFERROR(__xludf.DUMMYFUNCTION("""COMPUTED_VALUE"""),44815.0)</f>
        <v>44815</v>
      </c>
      <c r="B1151" s="6" t="str">
        <f>IFERROR(__xludf.DUMMYFUNCTION("""COMPUTED_VALUE"""),"dinner")</f>
        <v>dinner</v>
      </c>
      <c r="C1151" s="6" t="str">
        <f>IFERROR(__xludf.DUMMYFUNCTION("""COMPUTED_VALUE"""),"employee L")</f>
        <v>employee L</v>
      </c>
      <c r="D1151" s="7">
        <f>IFERROR(__xludf.DUMMYFUNCTION("""COMPUTED_VALUE"""),54.13)</f>
        <v>54.13</v>
      </c>
      <c r="E1151" s="6" t="str">
        <f>IFERROR(__xludf.DUMMYFUNCTION("""COMPUTED_VALUE"""),"No")</f>
        <v>No</v>
      </c>
      <c r="F1151" s="8" t="str">
        <f>IFERROR(__xludf.DUMMYFUNCTION("""COMPUTED_VALUE"""),"No")</f>
        <v>No</v>
      </c>
    </row>
    <row r="1152">
      <c r="A1152" s="5">
        <f>IFERROR(__xludf.DUMMYFUNCTION("""COMPUTED_VALUE"""),44815.0)</f>
        <v>44815</v>
      </c>
      <c r="B1152" s="6" t="str">
        <f>IFERROR(__xludf.DUMMYFUNCTION("""COMPUTED_VALUE"""),"dinner")</f>
        <v>dinner</v>
      </c>
      <c r="C1152" s="6" t="str">
        <f>IFERROR(__xludf.DUMMYFUNCTION("""COMPUTED_VALUE"""),"employee H")</f>
        <v>employee H</v>
      </c>
      <c r="D1152" s="7">
        <f>IFERROR(__xludf.DUMMYFUNCTION("""COMPUTED_VALUE"""),54.13)</f>
        <v>54.13</v>
      </c>
      <c r="E1152" s="6" t="str">
        <f>IFERROR(__xludf.DUMMYFUNCTION("""COMPUTED_VALUE"""),"No")</f>
        <v>No</v>
      </c>
      <c r="F1152" s="8" t="str">
        <f>IFERROR(__xludf.DUMMYFUNCTION("""COMPUTED_VALUE"""),"No")</f>
        <v>No</v>
      </c>
    </row>
    <row r="1153">
      <c r="A1153" s="5">
        <f>IFERROR(__xludf.DUMMYFUNCTION("""COMPUTED_VALUE"""),44815.0)</f>
        <v>44815</v>
      </c>
      <c r="B1153" s="6" t="str">
        <f>IFERROR(__xludf.DUMMYFUNCTION("""COMPUTED_VALUE"""),"dinner")</f>
        <v>dinner</v>
      </c>
      <c r="C1153" s="6" t="str">
        <f>IFERROR(__xludf.DUMMYFUNCTION("""COMPUTED_VALUE"""),"employee G")</f>
        <v>employee G</v>
      </c>
      <c r="D1153" s="7">
        <f>IFERROR(__xludf.DUMMYFUNCTION("""COMPUTED_VALUE"""),36.08)</f>
        <v>36.08</v>
      </c>
      <c r="E1153" s="6" t="str">
        <f>IFERROR(__xludf.DUMMYFUNCTION("""COMPUTED_VALUE"""),"No")</f>
        <v>No</v>
      </c>
      <c r="F1153" s="8" t="str">
        <f>IFERROR(__xludf.DUMMYFUNCTION("""COMPUTED_VALUE"""),"No")</f>
        <v>No</v>
      </c>
    </row>
    <row r="1154">
      <c r="A1154" s="5">
        <f>IFERROR(__xludf.DUMMYFUNCTION("""COMPUTED_VALUE"""),44816.0)</f>
        <v>44816</v>
      </c>
      <c r="B1154" s="6" t="str">
        <f>IFERROR(__xludf.DUMMYFUNCTION("""COMPUTED_VALUE"""),"lunch")</f>
        <v>lunch</v>
      </c>
      <c r="C1154" s="6" t="str">
        <f>IFERROR(__xludf.DUMMYFUNCTION("""COMPUTED_VALUE"""),"employee A")</f>
        <v>employee A</v>
      </c>
      <c r="D1154" s="7">
        <f>IFERROR(__xludf.DUMMYFUNCTION("""COMPUTED_VALUE"""),119.54)</f>
        <v>119.54</v>
      </c>
      <c r="E1154" s="6" t="str">
        <f>IFERROR(__xludf.DUMMYFUNCTION("""COMPUTED_VALUE"""),"No")</f>
        <v>No</v>
      </c>
      <c r="F1154" s="8" t="str">
        <f>IFERROR(__xludf.DUMMYFUNCTION("""COMPUTED_VALUE"""),"No")</f>
        <v>No</v>
      </c>
    </row>
    <row r="1155">
      <c r="A1155" s="5">
        <f>IFERROR(__xludf.DUMMYFUNCTION("""COMPUTED_VALUE"""),44816.0)</f>
        <v>44816</v>
      </c>
      <c r="B1155" s="6" t="str">
        <f>IFERROR(__xludf.DUMMYFUNCTION("""COMPUTED_VALUE"""),"dinner")</f>
        <v>dinner</v>
      </c>
      <c r="C1155" s="6" t="str">
        <f>IFERROR(__xludf.DUMMYFUNCTION("""COMPUTED_VALUE"""),"employee H")</f>
        <v>employee H</v>
      </c>
      <c r="D1155" s="7">
        <f>IFERROR(__xludf.DUMMYFUNCTION("""COMPUTED_VALUE"""),63.62)</f>
        <v>63.62</v>
      </c>
      <c r="E1155" s="6" t="str">
        <f>IFERROR(__xludf.DUMMYFUNCTION("""COMPUTED_VALUE"""),"No")</f>
        <v>No</v>
      </c>
      <c r="F1155" s="8" t="str">
        <f>IFERROR(__xludf.DUMMYFUNCTION("""COMPUTED_VALUE"""),"No")</f>
        <v>No</v>
      </c>
    </row>
    <row r="1156">
      <c r="A1156" s="5">
        <f>IFERROR(__xludf.DUMMYFUNCTION("""COMPUTED_VALUE"""),44816.0)</f>
        <v>44816</v>
      </c>
      <c r="B1156" s="6" t="str">
        <f>IFERROR(__xludf.DUMMYFUNCTION("""COMPUTED_VALUE"""),"dinner")</f>
        <v>dinner</v>
      </c>
      <c r="C1156" s="6" t="str">
        <f>IFERROR(__xludf.DUMMYFUNCTION("""COMPUTED_VALUE"""),"employee G")</f>
        <v>employee G</v>
      </c>
      <c r="D1156" s="7">
        <f>IFERROR(__xludf.DUMMYFUNCTION("""COMPUTED_VALUE"""),35.34)</f>
        <v>35.34</v>
      </c>
      <c r="E1156" s="6" t="str">
        <f>IFERROR(__xludf.DUMMYFUNCTION("""COMPUTED_VALUE"""),"No")</f>
        <v>No</v>
      </c>
      <c r="F1156" s="8" t="str">
        <f>IFERROR(__xludf.DUMMYFUNCTION("""COMPUTED_VALUE"""),"No")</f>
        <v>No</v>
      </c>
    </row>
    <row r="1157">
      <c r="A1157" s="5">
        <f>IFERROR(__xludf.DUMMYFUNCTION("""COMPUTED_VALUE"""),44816.0)</f>
        <v>44816</v>
      </c>
      <c r="B1157" s="6" t="str">
        <f>IFERROR(__xludf.DUMMYFUNCTION("""COMPUTED_VALUE"""),"dinner")</f>
        <v>dinner</v>
      </c>
      <c r="C1157" s="6" t="str">
        <f>IFERROR(__xludf.DUMMYFUNCTION("""COMPUTED_VALUE"""),"employee A")</f>
        <v>employee A</v>
      </c>
      <c r="D1157" s="7">
        <f>IFERROR(__xludf.DUMMYFUNCTION("""COMPUTED_VALUE"""),63.62)</f>
        <v>63.62</v>
      </c>
      <c r="E1157" s="6" t="str">
        <f>IFERROR(__xludf.DUMMYFUNCTION("""COMPUTED_VALUE"""),"No")</f>
        <v>No</v>
      </c>
      <c r="F1157" s="8" t="str">
        <f>IFERROR(__xludf.DUMMYFUNCTION("""COMPUTED_VALUE"""),"No")</f>
        <v>No</v>
      </c>
    </row>
    <row r="1158">
      <c r="A1158" s="5">
        <f>IFERROR(__xludf.DUMMYFUNCTION("""COMPUTED_VALUE"""),44817.0)</f>
        <v>44817</v>
      </c>
      <c r="B1158" s="6" t="str">
        <f>IFERROR(__xludf.DUMMYFUNCTION("""COMPUTED_VALUE"""),"lunch")</f>
        <v>lunch</v>
      </c>
      <c r="C1158" s="6" t="str">
        <f>IFERROR(__xludf.DUMMYFUNCTION("""COMPUTED_VALUE"""),"employee A")</f>
        <v>employee A</v>
      </c>
      <c r="D1158" s="7">
        <f>IFERROR(__xludf.DUMMYFUNCTION("""COMPUTED_VALUE"""),49.09)</f>
        <v>49.09</v>
      </c>
      <c r="E1158" s="6" t="str">
        <f>IFERROR(__xludf.DUMMYFUNCTION("""COMPUTED_VALUE"""),"No")</f>
        <v>No</v>
      </c>
      <c r="F1158" s="8" t="str">
        <f>IFERROR(__xludf.DUMMYFUNCTION("""COMPUTED_VALUE"""),"No")</f>
        <v>No</v>
      </c>
    </row>
    <row r="1159">
      <c r="A1159" s="5">
        <f>IFERROR(__xludf.DUMMYFUNCTION("""COMPUTED_VALUE"""),44817.0)</f>
        <v>44817</v>
      </c>
      <c r="B1159" s="6" t="str">
        <f>IFERROR(__xludf.DUMMYFUNCTION("""COMPUTED_VALUE"""),"dinner")</f>
        <v>dinner</v>
      </c>
      <c r="C1159" s="6" t="str">
        <f>IFERROR(__xludf.DUMMYFUNCTION("""COMPUTED_VALUE"""),"employee A")</f>
        <v>employee A</v>
      </c>
      <c r="D1159" s="7">
        <f>IFERROR(__xludf.DUMMYFUNCTION("""COMPUTED_VALUE"""),37.18)</f>
        <v>37.18</v>
      </c>
      <c r="E1159" s="6" t="str">
        <f>IFERROR(__xludf.DUMMYFUNCTION("""COMPUTED_VALUE"""),"No")</f>
        <v>No</v>
      </c>
      <c r="F1159" s="8" t="str">
        <f>IFERROR(__xludf.DUMMYFUNCTION("""COMPUTED_VALUE"""),"No")</f>
        <v>No</v>
      </c>
    </row>
    <row r="1160">
      <c r="A1160" s="5">
        <f>IFERROR(__xludf.DUMMYFUNCTION("""COMPUTED_VALUE"""),44817.0)</f>
        <v>44817</v>
      </c>
      <c r="B1160" s="6" t="str">
        <f>IFERROR(__xludf.DUMMYFUNCTION("""COMPUTED_VALUE"""),"dinner")</f>
        <v>dinner</v>
      </c>
      <c r="C1160" s="6" t="str">
        <f>IFERROR(__xludf.DUMMYFUNCTION("""COMPUTED_VALUE"""),"employee H")</f>
        <v>employee H</v>
      </c>
      <c r="D1160" s="7">
        <f>IFERROR(__xludf.DUMMYFUNCTION("""COMPUTED_VALUE"""),83.66)</f>
        <v>83.66</v>
      </c>
      <c r="E1160" s="6" t="str">
        <f>IFERROR(__xludf.DUMMYFUNCTION("""COMPUTED_VALUE"""),"No")</f>
        <v>No</v>
      </c>
      <c r="F1160" s="8" t="str">
        <f>IFERROR(__xludf.DUMMYFUNCTION("""COMPUTED_VALUE"""),"No")</f>
        <v>No</v>
      </c>
    </row>
    <row r="1161">
      <c r="A1161" s="5">
        <f>IFERROR(__xludf.DUMMYFUNCTION("""COMPUTED_VALUE"""),44817.0)</f>
        <v>44817</v>
      </c>
      <c r="B1161" s="6" t="str">
        <f>IFERROR(__xludf.DUMMYFUNCTION("""COMPUTED_VALUE"""),"dinner")</f>
        <v>dinner</v>
      </c>
      <c r="C1161" s="6" t="str">
        <f>IFERROR(__xludf.DUMMYFUNCTION("""COMPUTED_VALUE"""),"employee G")</f>
        <v>employee G</v>
      </c>
      <c r="D1161" s="7">
        <f>IFERROR(__xludf.DUMMYFUNCTION("""COMPUTED_VALUE"""),65.11)</f>
        <v>65.11</v>
      </c>
      <c r="E1161" s="6" t="str">
        <f>IFERROR(__xludf.DUMMYFUNCTION("""COMPUTED_VALUE"""),"No")</f>
        <v>No</v>
      </c>
      <c r="F1161" s="8" t="str">
        <f>IFERROR(__xludf.DUMMYFUNCTION("""COMPUTED_VALUE"""),"No")</f>
        <v>No</v>
      </c>
    </row>
    <row r="1162">
      <c r="A1162" s="5">
        <f>IFERROR(__xludf.DUMMYFUNCTION("""COMPUTED_VALUE"""),44818.0)</f>
        <v>44818</v>
      </c>
      <c r="B1162" s="6" t="str">
        <f>IFERROR(__xludf.DUMMYFUNCTION("""COMPUTED_VALUE"""),"lunch")</f>
        <v>lunch</v>
      </c>
      <c r="C1162" s="6" t="str">
        <f>IFERROR(__xludf.DUMMYFUNCTION("""COMPUTED_VALUE"""),"employee L")</f>
        <v>employee L</v>
      </c>
      <c r="D1162" s="7">
        <f>IFERROR(__xludf.DUMMYFUNCTION("""COMPUTED_VALUE"""),84.84)</f>
        <v>84.84</v>
      </c>
      <c r="E1162" s="6" t="str">
        <f>IFERROR(__xludf.DUMMYFUNCTION("""COMPUTED_VALUE"""),"No")</f>
        <v>No</v>
      </c>
      <c r="F1162" s="8" t="str">
        <f>IFERROR(__xludf.DUMMYFUNCTION("""COMPUTED_VALUE"""),"No")</f>
        <v>No</v>
      </c>
    </row>
    <row r="1163">
      <c r="A1163" s="5">
        <f>IFERROR(__xludf.DUMMYFUNCTION("""COMPUTED_VALUE"""),44818.0)</f>
        <v>44818</v>
      </c>
      <c r="B1163" s="6" t="str">
        <f>IFERROR(__xludf.DUMMYFUNCTION("""COMPUTED_VALUE"""),"dinner")</f>
        <v>dinner</v>
      </c>
      <c r="C1163" s="6" t="str">
        <f>IFERROR(__xludf.DUMMYFUNCTION("""COMPUTED_VALUE"""),"employee J")</f>
        <v>employee J</v>
      </c>
      <c r="D1163" s="7">
        <f>IFERROR(__xludf.DUMMYFUNCTION("""COMPUTED_VALUE"""),82.0)</f>
        <v>82</v>
      </c>
      <c r="E1163" s="6" t="str">
        <f>IFERROR(__xludf.DUMMYFUNCTION("""COMPUTED_VALUE"""),"No")</f>
        <v>No</v>
      </c>
      <c r="F1163" s="8" t="str">
        <f>IFERROR(__xludf.DUMMYFUNCTION("""COMPUTED_VALUE"""),"No")</f>
        <v>No</v>
      </c>
    </row>
    <row r="1164">
      <c r="A1164" s="5">
        <f>IFERROR(__xludf.DUMMYFUNCTION("""COMPUTED_VALUE"""),44818.0)</f>
        <v>44818</v>
      </c>
      <c r="B1164" s="6" t="str">
        <f>IFERROR(__xludf.DUMMYFUNCTION("""COMPUTED_VALUE"""),"dinner")</f>
        <v>dinner</v>
      </c>
      <c r="C1164" s="6" t="str">
        <f>IFERROR(__xludf.DUMMYFUNCTION("""COMPUTED_VALUE"""),"employee H")</f>
        <v>employee H</v>
      </c>
      <c r="D1164" s="7">
        <f>IFERROR(__xludf.DUMMYFUNCTION("""COMPUTED_VALUE"""),82.0)</f>
        <v>82</v>
      </c>
      <c r="E1164" s="6" t="str">
        <f>IFERROR(__xludf.DUMMYFUNCTION("""COMPUTED_VALUE"""),"No")</f>
        <v>No</v>
      </c>
      <c r="F1164" s="8" t="str">
        <f>IFERROR(__xludf.DUMMYFUNCTION("""COMPUTED_VALUE"""),"No")</f>
        <v>No</v>
      </c>
    </row>
    <row r="1165">
      <c r="A1165" s="5">
        <f>IFERROR(__xludf.DUMMYFUNCTION("""COMPUTED_VALUE"""),44818.0)</f>
        <v>44818</v>
      </c>
      <c r="B1165" s="6" t="str">
        <f>IFERROR(__xludf.DUMMYFUNCTION("""COMPUTED_VALUE"""),"dinner")</f>
        <v>dinner</v>
      </c>
      <c r="C1165" s="6" t="str">
        <f>IFERROR(__xludf.DUMMYFUNCTION("""COMPUTED_VALUE"""),"employee R")</f>
        <v>employee R</v>
      </c>
      <c r="D1165" s="7">
        <f>IFERROR(__xludf.DUMMYFUNCTION("""COMPUTED_VALUE"""),0.0)</f>
        <v>0</v>
      </c>
      <c r="E1165" s="9" t="str">
        <f>IFERROR(__xludf.DUMMYFUNCTION("""COMPUTED_VALUE"""),"Yes")</f>
        <v>Yes</v>
      </c>
      <c r="F1165" s="8" t="str">
        <f>IFERROR(__xludf.DUMMYFUNCTION("""COMPUTED_VALUE"""),"No")</f>
        <v>No</v>
      </c>
    </row>
    <row r="1166">
      <c r="A1166" s="5">
        <f>IFERROR(__xludf.DUMMYFUNCTION("""COMPUTED_VALUE"""),44819.0)</f>
        <v>44819</v>
      </c>
      <c r="B1166" s="6" t="str">
        <f>IFERROR(__xludf.DUMMYFUNCTION("""COMPUTED_VALUE"""),"lunch")</f>
        <v>lunch</v>
      </c>
      <c r="C1166" s="6" t="str">
        <f>IFERROR(__xludf.DUMMYFUNCTION("""COMPUTED_VALUE"""),"employee L")</f>
        <v>employee L</v>
      </c>
      <c r="D1166" s="7">
        <f>IFERROR(__xludf.DUMMYFUNCTION("""COMPUTED_VALUE"""),68.86)</f>
        <v>68.86</v>
      </c>
      <c r="E1166" s="6" t="str">
        <f>IFERROR(__xludf.DUMMYFUNCTION("""COMPUTED_VALUE"""),"No")</f>
        <v>No</v>
      </c>
      <c r="F1166" s="8" t="str">
        <f>IFERROR(__xludf.DUMMYFUNCTION("""COMPUTED_VALUE"""),"No")</f>
        <v>No</v>
      </c>
    </row>
    <row r="1167">
      <c r="A1167" s="5">
        <f>IFERROR(__xludf.DUMMYFUNCTION("""COMPUTED_VALUE"""),44819.0)</f>
        <v>44819</v>
      </c>
      <c r="B1167" s="6" t="str">
        <f>IFERROR(__xludf.DUMMYFUNCTION("""COMPUTED_VALUE"""),"dinner")</f>
        <v>dinner</v>
      </c>
      <c r="C1167" s="6" t="str">
        <f>IFERROR(__xludf.DUMMYFUNCTION("""COMPUTED_VALUE"""),"employee J")</f>
        <v>employee J</v>
      </c>
      <c r="D1167" s="7">
        <f>IFERROR(__xludf.DUMMYFUNCTION("""COMPUTED_VALUE"""),93.4)</f>
        <v>93.4</v>
      </c>
      <c r="E1167" s="6" t="str">
        <f>IFERROR(__xludf.DUMMYFUNCTION("""COMPUTED_VALUE"""),"No")</f>
        <v>No</v>
      </c>
      <c r="F1167" s="8" t="str">
        <f>IFERROR(__xludf.DUMMYFUNCTION("""COMPUTED_VALUE"""),"No")</f>
        <v>No</v>
      </c>
    </row>
    <row r="1168">
      <c r="A1168" s="5">
        <f>IFERROR(__xludf.DUMMYFUNCTION("""COMPUTED_VALUE"""),44819.0)</f>
        <v>44819</v>
      </c>
      <c r="B1168" s="6" t="str">
        <f>IFERROR(__xludf.DUMMYFUNCTION("""COMPUTED_VALUE"""),"dinner")</f>
        <v>dinner</v>
      </c>
      <c r="C1168" s="6" t="str">
        <f>IFERROR(__xludf.DUMMYFUNCTION("""COMPUTED_VALUE"""),"employee H")</f>
        <v>employee H</v>
      </c>
      <c r="D1168" s="7">
        <f>IFERROR(__xludf.DUMMYFUNCTION("""COMPUTED_VALUE"""),93.4)</f>
        <v>93.4</v>
      </c>
      <c r="E1168" s="6" t="str">
        <f>IFERROR(__xludf.DUMMYFUNCTION("""COMPUTED_VALUE"""),"No")</f>
        <v>No</v>
      </c>
      <c r="F1168" s="8" t="str">
        <f>IFERROR(__xludf.DUMMYFUNCTION("""COMPUTED_VALUE"""),"No")</f>
        <v>No</v>
      </c>
    </row>
    <row r="1169">
      <c r="A1169" s="5">
        <f>IFERROR(__xludf.DUMMYFUNCTION("""COMPUTED_VALUE"""),44819.0)</f>
        <v>44819</v>
      </c>
      <c r="B1169" s="6" t="str">
        <f>IFERROR(__xludf.DUMMYFUNCTION("""COMPUTED_VALUE"""),"dinner")</f>
        <v>dinner</v>
      </c>
      <c r="C1169" s="6" t="str">
        <f>IFERROR(__xludf.DUMMYFUNCTION("""COMPUTED_VALUE"""),"employee R")</f>
        <v>employee R</v>
      </c>
      <c r="D1169" s="7">
        <f>IFERROR(__xludf.DUMMYFUNCTION("""COMPUTED_VALUE"""),0.0)</f>
        <v>0</v>
      </c>
      <c r="E1169" s="9" t="str">
        <f>IFERROR(__xludf.DUMMYFUNCTION("""COMPUTED_VALUE"""),"Yes")</f>
        <v>Yes</v>
      </c>
      <c r="F1169" s="8" t="str">
        <f>IFERROR(__xludf.DUMMYFUNCTION("""COMPUTED_VALUE"""),"No")</f>
        <v>No</v>
      </c>
    </row>
    <row r="1170">
      <c r="A1170" s="5">
        <f>IFERROR(__xludf.DUMMYFUNCTION("""COMPUTED_VALUE"""),44820.0)</f>
        <v>44820</v>
      </c>
      <c r="B1170" s="6" t="str">
        <f>IFERROR(__xludf.DUMMYFUNCTION("""COMPUTED_VALUE"""),"lunch")</f>
        <v>lunch</v>
      </c>
      <c r="C1170" s="6" t="str">
        <f>IFERROR(__xludf.DUMMYFUNCTION("""COMPUTED_VALUE"""),"employee L")</f>
        <v>employee L</v>
      </c>
      <c r="D1170" s="7">
        <f>IFERROR(__xludf.DUMMYFUNCTION("""COMPUTED_VALUE"""),140.06)</f>
        <v>140.06</v>
      </c>
      <c r="E1170" s="6" t="str">
        <f>IFERROR(__xludf.DUMMYFUNCTION("""COMPUTED_VALUE"""),"No")</f>
        <v>No</v>
      </c>
      <c r="F1170" s="8" t="str">
        <f>IFERROR(__xludf.DUMMYFUNCTION("""COMPUTED_VALUE"""),"No")</f>
        <v>No</v>
      </c>
    </row>
    <row r="1171">
      <c r="A1171" s="5">
        <f>IFERROR(__xludf.DUMMYFUNCTION("""COMPUTED_VALUE"""),44820.0)</f>
        <v>44820</v>
      </c>
      <c r="B1171" s="6" t="str">
        <f>IFERROR(__xludf.DUMMYFUNCTION("""COMPUTED_VALUE"""),"dinner")</f>
        <v>dinner</v>
      </c>
      <c r="C1171" s="6" t="str">
        <f>IFERROR(__xludf.DUMMYFUNCTION("""COMPUTED_VALUE"""),"employee J")</f>
        <v>employee J</v>
      </c>
      <c r="D1171" s="7">
        <f>IFERROR(__xludf.DUMMYFUNCTION("""COMPUTED_VALUE"""),67.21)</f>
        <v>67.21</v>
      </c>
      <c r="E1171" s="6" t="str">
        <f>IFERROR(__xludf.DUMMYFUNCTION("""COMPUTED_VALUE"""),"No")</f>
        <v>No</v>
      </c>
      <c r="F1171" s="8" t="str">
        <f>IFERROR(__xludf.DUMMYFUNCTION("""COMPUTED_VALUE"""),"No")</f>
        <v>No</v>
      </c>
    </row>
    <row r="1172">
      <c r="A1172" s="5">
        <f>IFERROR(__xludf.DUMMYFUNCTION("""COMPUTED_VALUE"""),44820.0)</f>
        <v>44820</v>
      </c>
      <c r="B1172" s="6" t="str">
        <f>IFERROR(__xludf.DUMMYFUNCTION("""COMPUTED_VALUE"""),"dinner")</f>
        <v>dinner</v>
      </c>
      <c r="C1172" s="6" t="str">
        <f>IFERROR(__xludf.DUMMYFUNCTION("""COMPUTED_VALUE"""),"employee G")</f>
        <v>employee G</v>
      </c>
      <c r="D1172" s="7">
        <f>IFERROR(__xludf.DUMMYFUNCTION("""COMPUTED_VALUE"""),52.27)</f>
        <v>52.27</v>
      </c>
      <c r="E1172" s="6" t="str">
        <f>IFERROR(__xludf.DUMMYFUNCTION("""COMPUTED_VALUE"""),"No")</f>
        <v>No</v>
      </c>
      <c r="F1172" s="8" t="str">
        <f>IFERROR(__xludf.DUMMYFUNCTION("""COMPUTED_VALUE"""),"No")</f>
        <v>No</v>
      </c>
    </row>
    <row r="1173">
      <c r="A1173" s="5">
        <f>IFERROR(__xludf.DUMMYFUNCTION("""COMPUTED_VALUE"""),44820.0)</f>
        <v>44820</v>
      </c>
      <c r="B1173" s="6" t="str">
        <f>IFERROR(__xludf.DUMMYFUNCTION("""COMPUTED_VALUE"""),"dinner")</f>
        <v>dinner</v>
      </c>
      <c r="C1173" s="6" t="str">
        <f>IFERROR(__xludf.DUMMYFUNCTION("""COMPUTED_VALUE"""),"employee H")</f>
        <v>employee H</v>
      </c>
      <c r="D1173" s="7">
        <f>IFERROR(__xludf.DUMMYFUNCTION("""COMPUTED_VALUE"""),67.21)</f>
        <v>67.21</v>
      </c>
      <c r="E1173" s="6" t="str">
        <f>IFERROR(__xludf.DUMMYFUNCTION("""COMPUTED_VALUE"""),"No")</f>
        <v>No</v>
      </c>
      <c r="F1173" s="8" t="str">
        <f>IFERROR(__xludf.DUMMYFUNCTION("""COMPUTED_VALUE"""),"No")</f>
        <v>No</v>
      </c>
    </row>
    <row r="1174">
      <c r="A1174" s="5">
        <f>IFERROR(__xludf.DUMMYFUNCTION("""COMPUTED_VALUE"""),44821.0)</f>
        <v>44821</v>
      </c>
      <c r="B1174" s="6" t="str">
        <f>IFERROR(__xludf.DUMMYFUNCTION("""COMPUTED_VALUE"""),"lunch")</f>
        <v>lunch</v>
      </c>
      <c r="C1174" s="6" t="str">
        <f>IFERROR(__xludf.DUMMYFUNCTION("""COMPUTED_VALUE"""),"employee J")</f>
        <v>employee J</v>
      </c>
      <c r="D1174" s="7">
        <f>IFERROR(__xludf.DUMMYFUNCTION("""COMPUTED_VALUE"""),105.52)</f>
        <v>105.52</v>
      </c>
      <c r="E1174" s="6" t="str">
        <f>IFERROR(__xludf.DUMMYFUNCTION("""COMPUTED_VALUE"""),"No")</f>
        <v>No</v>
      </c>
      <c r="F1174" s="8" t="str">
        <f>IFERROR(__xludf.DUMMYFUNCTION("""COMPUTED_VALUE"""),"No")</f>
        <v>No</v>
      </c>
    </row>
    <row r="1175">
      <c r="A1175" s="5">
        <f>IFERROR(__xludf.DUMMYFUNCTION("""COMPUTED_VALUE"""),44821.0)</f>
        <v>44821</v>
      </c>
      <c r="B1175" s="6" t="str">
        <f>IFERROR(__xludf.DUMMYFUNCTION("""COMPUTED_VALUE"""),"lunch")</f>
        <v>lunch</v>
      </c>
      <c r="C1175" s="6" t="str">
        <f>IFERROR(__xludf.DUMMYFUNCTION("""COMPUTED_VALUE"""),"employee H")</f>
        <v>employee H</v>
      </c>
      <c r="D1175" s="7">
        <f>IFERROR(__xludf.DUMMYFUNCTION("""COMPUTED_VALUE"""),81.17)</f>
        <v>81.17</v>
      </c>
      <c r="E1175" s="6" t="str">
        <f>IFERROR(__xludf.DUMMYFUNCTION("""COMPUTED_VALUE"""),"No")</f>
        <v>No</v>
      </c>
      <c r="F1175" s="8" t="str">
        <f>IFERROR(__xludf.DUMMYFUNCTION("""COMPUTED_VALUE"""),"No")</f>
        <v>No</v>
      </c>
    </row>
    <row r="1176">
      <c r="A1176" s="5">
        <f>IFERROR(__xludf.DUMMYFUNCTION("""COMPUTED_VALUE"""),44821.0)</f>
        <v>44821</v>
      </c>
      <c r="B1176" s="6" t="str">
        <f>IFERROR(__xludf.DUMMYFUNCTION("""COMPUTED_VALUE"""),"lunch")</f>
        <v>lunch</v>
      </c>
      <c r="C1176" s="6" t="str">
        <f>IFERROR(__xludf.DUMMYFUNCTION("""COMPUTED_VALUE"""),"employee G")</f>
        <v>employee G</v>
      </c>
      <c r="D1176" s="7">
        <f>IFERROR(__xludf.DUMMYFUNCTION("""COMPUTED_VALUE"""),73.05)</f>
        <v>73.05</v>
      </c>
      <c r="E1176" s="6" t="str">
        <f>IFERROR(__xludf.DUMMYFUNCTION("""COMPUTED_VALUE"""),"No")</f>
        <v>No</v>
      </c>
      <c r="F1176" s="8" t="str">
        <f>IFERROR(__xludf.DUMMYFUNCTION("""COMPUTED_VALUE"""),"No")</f>
        <v>No</v>
      </c>
    </row>
    <row r="1177">
      <c r="A1177" s="5">
        <f>IFERROR(__xludf.DUMMYFUNCTION("""COMPUTED_VALUE"""),44821.0)</f>
        <v>44821</v>
      </c>
      <c r="B1177" s="6" t="str">
        <f>IFERROR(__xludf.DUMMYFUNCTION("""COMPUTED_VALUE"""),"dinner")</f>
        <v>dinner</v>
      </c>
      <c r="C1177" s="6" t="str">
        <f>IFERROR(__xludf.DUMMYFUNCTION("""COMPUTED_VALUE"""),"employee J")</f>
        <v>employee J</v>
      </c>
      <c r="D1177" s="7">
        <f>IFERROR(__xludf.DUMMYFUNCTION("""COMPUTED_VALUE"""),44.24)</f>
        <v>44.24</v>
      </c>
      <c r="E1177" s="6" t="str">
        <f>IFERROR(__xludf.DUMMYFUNCTION("""COMPUTED_VALUE"""),"No")</f>
        <v>No</v>
      </c>
      <c r="F1177" s="8" t="str">
        <f>IFERROR(__xludf.DUMMYFUNCTION("""COMPUTED_VALUE"""),"No")</f>
        <v>No</v>
      </c>
    </row>
    <row r="1178">
      <c r="A1178" s="5">
        <f>IFERROR(__xludf.DUMMYFUNCTION("""COMPUTED_VALUE"""),44821.0)</f>
        <v>44821</v>
      </c>
      <c r="B1178" s="6" t="str">
        <f>IFERROR(__xludf.DUMMYFUNCTION("""COMPUTED_VALUE"""),"dinner")</f>
        <v>dinner</v>
      </c>
      <c r="C1178" s="6" t="str">
        <f>IFERROR(__xludf.DUMMYFUNCTION("""COMPUTED_VALUE"""),"employee G")</f>
        <v>employee G</v>
      </c>
      <c r="D1178" s="7">
        <f>IFERROR(__xludf.DUMMYFUNCTION("""COMPUTED_VALUE"""),25.81)</f>
        <v>25.81</v>
      </c>
      <c r="E1178" s="6" t="str">
        <f>IFERROR(__xludf.DUMMYFUNCTION("""COMPUTED_VALUE"""),"No")</f>
        <v>No</v>
      </c>
      <c r="F1178" s="8" t="str">
        <f>IFERROR(__xludf.DUMMYFUNCTION("""COMPUTED_VALUE"""),"No")</f>
        <v>No</v>
      </c>
    </row>
    <row r="1179">
      <c r="A1179" s="5">
        <f>IFERROR(__xludf.DUMMYFUNCTION("""COMPUTED_VALUE"""),44821.0)</f>
        <v>44821</v>
      </c>
      <c r="B1179" s="6" t="str">
        <f>IFERROR(__xludf.DUMMYFUNCTION("""COMPUTED_VALUE"""),"dinner")</f>
        <v>dinner</v>
      </c>
      <c r="C1179" s="6" t="str">
        <f>IFERROR(__xludf.DUMMYFUNCTION("""COMPUTED_VALUE"""),"employee H")</f>
        <v>employee H</v>
      </c>
      <c r="D1179" s="7">
        <f>IFERROR(__xludf.DUMMYFUNCTION("""COMPUTED_VALUE"""),66.36)</f>
        <v>66.36</v>
      </c>
      <c r="E1179" s="6" t="str">
        <f>IFERROR(__xludf.DUMMYFUNCTION("""COMPUTED_VALUE"""),"No")</f>
        <v>No</v>
      </c>
      <c r="F1179" s="8" t="str">
        <f>IFERROR(__xludf.DUMMYFUNCTION("""COMPUTED_VALUE"""),"No")</f>
        <v>No</v>
      </c>
    </row>
    <row r="1180">
      <c r="A1180" s="5">
        <f>IFERROR(__xludf.DUMMYFUNCTION("""COMPUTED_VALUE"""),44822.0)</f>
        <v>44822</v>
      </c>
      <c r="B1180" s="6" t="str">
        <f>IFERROR(__xludf.DUMMYFUNCTION("""COMPUTED_VALUE"""),"lunch")</f>
        <v>lunch</v>
      </c>
      <c r="C1180" s="6" t="str">
        <f>IFERROR(__xludf.DUMMYFUNCTION("""COMPUTED_VALUE"""),"employee J")</f>
        <v>employee J</v>
      </c>
      <c r="D1180" s="7">
        <f>IFERROR(__xludf.DUMMYFUNCTION("""COMPUTED_VALUE"""),77.68)</f>
        <v>77.68</v>
      </c>
      <c r="E1180" s="6" t="str">
        <f>IFERROR(__xludf.DUMMYFUNCTION("""COMPUTED_VALUE"""),"No")</f>
        <v>No</v>
      </c>
      <c r="F1180" s="8" t="str">
        <f>IFERROR(__xludf.DUMMYFUNCTION("""COMPUTED_VALUE"""),"No")</f>
        <v>No</v>
      </c>
    </row>
    <row r="1181">
      <c r="A1181" s="5">
        <f>IFERROR(__xludf.DUMMYFUNCTION("""COMPUTED_VALUE"""),44822.0)</f>
        <v>44822</v>
      </c>
      <c r="B1181" s="6" t="str">
        <f>IFERROR(__xludf.DUMMYFUNCTION("""COMPUTED_VALUE"""),"lunch")</f>
        <v>lunch</v>
      </c>
      <c r="C1181" s="6" t="str">
        <f>IFERROR(__xludf.DUMMYFUNCTION("""COMPUTED_VALUE"""),"employee R")</f>
        <v>employee R</v>
      </c>
      <c r="D1181" s="7">
        <f>IFERROR(__xludf.DUMMYFUNCTION("""COMPUTED_VALUE"""),11.95)</f>
        <v>11.95</v>
      </c>
      <c r="E1181" s="6" t="str">
        <f>IFERROR(__xludf.DUMMYFUNCTION("""COMPUTED_VALUE"""),"No")</f>
        <v>No</v>
      </c>
      <c r="F1181" s="8" t="str">
        <f>IFERROR(__xludf.DUMMYFUNCTION("""COMPUTED_VALUE"""),"No")</f>
        <v>No</v>
      </c>
    </row>
    <row r="1182">
      <c r="A1182" s="5">
        <f>IFERROR(__xludf.DUMMYFUNCTION("""COMPUTED_VALUE"""),44822.0)</f>
        <v>44822</v>
      </c>
      <c r="B1182" s="6" t="str">
        <f>IFERROR(__xludf.DUMMYFUNCTION("""COMPUTED_VALUE"""),"lunch")</f>
        <v>lunch</v>
      </c>
      <c r="C1182" s="6" t="str">
        <f>IFERROR(__xludf.DUMMYFUNCTION("""COMPUTED_VALUE"""),"employee H")</f>
        <v>employee H</v>
      </c>
      <c r="D1182" s="7">
        <f>IFERROR(__xludf.DUMMYFUNCTION("""COMPUTED_VALUE"""),59.75)</f>
        <v>59.75</v>
      </c>
      <c r="E1182" s="6" t="str">
        <f>IFERROR(__xludf.DUMMYFUNCTION("""COMPUTED_VALUE"""),"No")</f>
        <v>No</v>
      </c>
      <c r="F1182" s="8" t="str">
        <f>IFERROR(__xludf.DUMMYFUNCTION("""COMPUTED_VALUE"""),"No")</f>
        <v>No</v>
      </c>
    </row>
    <row r="1183">
      <c r="A1183" s="5">
        <f>IFERROR(__xludf.DUMMYFUNCTION("""COMPUTED_VALUE"""),44822.0)</f>
        <v>44822</v>
      </c>
      <c r="B1183" s="6" t="str">
        <f>IFERROR(__xludf.DUMMYFUNCTION("""COMPUTED_VALUE"""),"dinner")</f>
        <v>dinner</v>
      </c>
      <c r="C1183" s="6" t="str">
        <f>IFERROR(__xludf.DUMMYFUNCTION("""COMPUTED_VALUE"""),"employee J")</f>
        <v>employee J</v>
      </c>
      <c r="D1183" s="7">
        <f>IFERROR(__xludf.DUMMYFUNCTION("""COMPUTED_VALUE"""),59.04)</f>
        <v>59.04</v>
      </c>
      <c r="E1183" s="6" t="str">
        <f>IFERROR(__xludf.DUMMYFUNCTION("""COMPUTED_VALUE"""),"No")</f>
        <v>No</v>
      </c>
      <c r="F1183" s="8" t="str">
        <f>IFERROR(__xludf.DUMMYFUNCTION("""COMPUTED_VALUE"""),"No")</f>
        <v>No</v>
      </c>
    </row>
    <row r="1184">
      <c r="A1184" s="5">
        <f>IFERROR(__xludf.DUMMYFUNCTION("""COMPUTED_VALUE"""),44822.0)</f>
        <v>44822</v>
      </c>
      <c r="B1184" s="6" t="str">
        <f>IFERROR(__xludf.DUMMYFUNCTION("""COMPUTED_VALUE"""),"dinner")</f>
        <v>dinner</v>
      </c>
      <c r="C1184" s="6" t="str">
        <f>IFERROR(__xludf.DUMMYFUNCTION("""COMPUTED_VALUE"""),"employee H")</f>
        <v>employee H</v>
      </c>
      <c r="D1184" s="7">
        <f>IFERROR(__xludf.DUMMYFUNCTION("""COMPUTED_VALUE"""),48.15)</f>
        <v>48.15</v>
      </c>
      <c r="E1184" s="6" t="str">
        <f>IFERROR(__xludf.DUMMYFUNCTION("""COMPUTED_VALUE"""),"No")</f>
        <v>No</v>
      </c>
      <c r="F1184" s="8" t="str">
        <f>IFERROR(__xludf.DUMMYFUNCTION("""COMPUTED_VALUE"""),"No")</f>
        <v>No</v>
      </c>
    </row>
    <row r="1185">
      <c r="A1185" s="5">
        <f>IFERROR(__xludf.DUMMYFUNCTION("""COMPUTED_VALUE"""),44822.0)</f>
        <v>44822</v>
      </c>
      <c r="B1185" s="6" t="str">
        <f>IFERROR(__xludf.DUMMYFUNCTION("""COMPUTED_VALUE"""),"dinner")</f>
        <v>dinner</v>
      </c>
      <c r="C1185" s="6" t="str">
        <f>IFERROR(__xludf.DUMMYFUNCTION("""COMPUTED_VALUE"""),"employee G")</f>
        <v>employee G</v>
      </c>
      <c r="D1185" s="7">
        <f>IFERROR(__xludf.DUMMYFUNCTION("""COMPUTED_VALUE"""),59.04)</f>
        <v>59.04</v>
      </c>
      <c r="E1185" s="6" t="str">
        <f>IFERROR(__xludf.DUMMYFUNCTION("""COMPUTED_VALUE"""),"No")</f>
        <v>No</v>
      </c>
      <c r="F1185" s="8" t="str">
        <f>IFERROR(__xludf.DUMMYFUNCTION("""COMPUTED_VALUE"""),"No")</f>
        <v>No</v>
      </c>
    </row>
    <row r="1186">
      <c r="A1186" s="5">
        <f>IFERROR(__xludf.DUMMYFUNCTION("""COMPUTED_VALUE"""),44823.0)</f>
        <v>44823</v>
      </c>
      <c r="B1186" s="6" t="str">
        <f>IFERROR(__xludf.DUMMYFUNCTION("""COMPUTED_VALUE"""),"lunch")</f>
        <v>lunch</v>
      </c>
      <c r="C1186" s="6" t="str">
        <f>IFERROR(__xludf.DUMMYFUNCTION("""COMPUTED_VALUE"""),"employee A")</f>
        <v>employee A</v>
      </c>
      <c r="D1186" s="7">
        <f>IFERROR(__xludf.DUMMYFUNCTION("""COMPUTED_VALUE"""),151.16)</f>
        <v>151.16</v>
      </c>
      <c r="E1186" s="6" t="str">
        <f>IFERROR(__xludf.DUMMYFUNCTION("""COMPUTED_VALUE"""),"No")</f>
        <v>No</v>
      </c>
      <c r="F1186" s="8" t="str">
        <f>IFERROR(__xludf.DUMMYFUNCTION("""COMPUTED_VALUE"""),"No")</f>
        <v>No</v>
      </c>
    </row>
    <row r="1187">
      <c r="A1187" s="5">
        <f>IFERROR(__xludf.DUMMYFUNCTION("""COMPUTED_VALUE"""),44823.0)</f>
        <v>44823</v>
      </c>
      <c r="B1187" s="6" t="str">
        <f>IFERROR(__xludf.DUMMYFUNCTION("""COMPUTED_VALUE"""),"dinner")</f>
        <v>dinner</v>
      </c>
      <c r="C1187" s="6" t="str">
        <f>IFERROR(__xludf.DUMMYFUNCTION("""COMPUTED_VALUE"""),"employee A")</f>
        <v>employee A</v>
      </c>
      <c r="D1187" s="7">
        <f>IFERROR(__xludf.DUMMYFUNCTION("""COMPUTED_VALUE"""),99.25)</f>
        <v>99.25</v>
      </c>
      <c r="E1187" s="6" t="str">
        <f>IFERROR(__xludf.DUMMYFUNCTION("""COMPUTED_VALUE"""),"No")</f>
        <v>No</v>
      </c>
      <c r="F1187" s="8" t="str">
        <f>IFERROR(__xludf.DUMMYFUNCTION("""COMPUTED_VALUE"""),"No")</f>
        <v>No</v>
      </c>
    </row>
    <row r="1188">
      <c r="A1188" s="5">
        <f>IFERROR(__xludf.DUMMYFUNCTION("""COMPUTED_VALUE"""),44823.0)</f>
        <v>44823</v>
      </c>
      <c r="B1188" s="6" t="str">
        <f>IFERROR(__xludf.DUMMYFUNCTION("""COMPUTED_VALUE"""),"dinner")</f>
        <v>dinner</v>
      </c>
      <c r="C1188" s="6" t="str">
        <f>IFERROR(__xludf.DUMMYFUNCTION("""COMPUTED_VALUE"""),"employee J")</f>
        <v>employee J</v>
      </c>
      <c r="D1188" s="7">
        <f>IFERROR(__xludf.DUMMYFUNCTION("""COMPUTED_VALUE"""),99.25)</f>
        <v>99.25</v>
      </c>
      <c r="E1188" s="6" t="str">
        <f>IFERROR(__xludf.DUMMYFUNCTION("""COMPUTED_VALUE"""),"No")</f>
        <v>No</v>
      </c>
      <c r="F1188" s="8" t="str">
        <f>IFERROR(__xludf.DUMMYFUNCTION("""COMPUTED_VALUE"""),"No")</f>
        <v>No</v>
      </c>
    </row>
    <row r="1189">
      <c r="A1189" s="5">
        <f>IFERROR(__xludf.DUMMYFUNCTION("""COMPUTED_VALUE"""),44824.0)</f>
        <v>44824</v>
      </c>
      <c r="B1189" s="6" t="str">
        <f>IFERROR(__xludf.DUMMYFUNCTION("""COMPUTED_VALUE"""),"lunch")</f>
        <v>lunch</v>
      </c>
      <c r="C1189" s="6" t="str">
        <f>IFERROR(__xludf.DUMMYFUNCTION("""COMPUTED_VALUE"""),"employee A")</f>
        <v>employee A</v>
      </c>
      <c r="D1189" s="7">
        <f>IFERROR(__xludf.DUMMYFUNCTION("""COMPUTED_VALUE"""),99.05)</f>
        <v>99.05</v>
      </c>
      <c r="E1189" s="6" t="str">
        <f>IFERROR(__xludf.DUMMYFUNCTION("""COMPUTED_VALUE"""),"No")</f>
        <v>No</v>
      </c>
      <c r="F1189" s="8" t="str">
        <f>IFERROR(__xludf.DUMMYFUNCTION("""COMPUTED_VALUE"""),"No")</f>
        <v>No</v>
      </c>
    </row>
    <row r="1190">
      <c r="A1190" s="5">
        <f>IFERROR(__xludf.DUMMYFUNCTION("""COMPUTED_VALUE"""),44824.0)</f>
        <v>44824</v>
      </c>
      <c r="B1190" s="6" t="str">
        <f>IFERROR(__xludf.DUMMYFUNCTION("""COMPUTED_VALUE"""),"dinner")</f>
        <v>dinner</v>
      </c>
      <c r="C1190" s="6" t="str">
        <f>IFERROR(__xludf.DUMMYFUNCTION("""COMPUTED_VALUE"""),"employee A")</f>
        <v>employee A</v>
      </c>
      <c r="D1190" s="7">
        <f>IFERROR(__xludf.DUMMYFUNCTION("""COMPUTED_VALUE"""),64.57)</f>
        <v>64.57</v>
      </c>
      <c r="E1190" s="6" t="str">
        <f>IFERROR(__xludf.DUMMYFUNCTION("""COMPUTED_VALUE"""),"No")</f>
        <v>No</v>
      </c>
      <c r="F1190" s="8" t="str">
        <f>IFERROR(__xludf.DUMMYFUNCTION("""COMPUTED_VALUE"""),"No")</f>
        <v>No</v>
      </c>
    </row>
    <row r="1191">
      <c r="A1191" s="5">
        <f>IFERROR(__xludf.DUMMYFUNCTION("""COMPUTED_VALUE"""),44824.0)</f>
        <v>44824</v>
      </c>
      <c r="B1191" s="6" t="str">
        <f>IFERROR(__xludf.DUMMYFUNCTION("""COMPUTED_VALUE"""),"dinner")</f>
        <v>dinner</v>
      </c>
      <c r="C1191" s="6" t="str">
        <f>IFERROR(__xludf.DUMMYFUNCTION("""COMPUTED_VALUE"""),"employee H")</f>
        <v>employee H</v>
      </c>
      <c r="D1191" s="7">
        <f>IFERROR(__xludf.DUMMYFUNCTION("""COMPUTED_VALUE"""),64.57)</f>
        <v>64.57</v>
      </c>
      <c r="E1191" s="6" t="str">
        <f>IFERROR(__xludf.DUMMYFUNCTION("""COMPUTED_VALUE"""),"No")</f>
        <v>No</v>
      </c>
      <c r="F1191" s="8" t="str">
        <f>IFERROR(__xludf.DUMMYFUNCTION("""COMPUTED_VALUE"""),"No")</f>
        <v>No</v>
      </c>
    </row>
    <row r="1192">
      <c r="A1192" s="5">
        <f>IFERROR(__xludf.DUMMYFUNCTION("""COMPUTED_VALUE"""),44824.0)</f>
        <v>44824</v>
      </c>
      <c r="B1192" s="6" t="str">
        <f>IFERROR(__xludf.DUMMYFUNCTION("""COMPUTED_VALUE"""),"dinner")</f>
        <v>dinner</v>
      </c>
      <c r="C1192" s="6" t="str">
        <f>IFERROR(__xludf.DUMMYFUNCTION("""COMPUTED_VALUE"""),"employee R")</f>
        <v>employee R</v>
      </c>
      <c r="D1192" s="7">
        <f>IFERROR(__xludf.DUMMYFUNCTION("""COMPUTED_VALUE"""),64.57)</f>
        <v>64.57</v>
      </c>
      <c r="E1192" s="6" t="str">
        <f>IFERROR(__xludf.DUMMYFUNCTION("""COMPUTED_VALUE"""),"No")</f>
        <v>No</v>
      </c>
      <c r="F1192" s="8" t="str">
        <f>IFERROR(__xludf.DUMMYFUNCTION("""COMPUTED_VALUE"""),"No")</f>
        <v>No</v>
      </c>
    </row>
    <row r="1193">
      <c r="A1193" s="5">
        <f>IFERROR(__xludf.DUMMYFUNCTION("""COMPUTED_VALUE"""),44825.0)</f>
        <v>44825</v>
      </c>
      <c r="B1193" s="6" t="str">
        <f>IFERROR(__xludf.DUMMYFUNCTION("""COMPUTED_VALUE"""),"lunch")</f>
        <v>lunch</v>
      </c>
      <c r="C1193" s="6" t="str">
        <f>IFERROR(__xludf.DUMMYFUNCTION("""COMPUTED_VALUE"""),"employee J")</f>
        <v>employee J</v>
      </c>
      <c r="D1193" s="7">
        <f>IFERROR(__xludf.DUMMYFUNCTION("""COMPUTED_VALUE"""),53.14)</f>
        <v>53.14</v>
      </c>
      <c r="E1193" s="6" t="str">
        <f>IFERROR(__xludf.DUMMYFUNCTION("""COMPUTED_VALUE"""),"No")</f>
        <v>No</v>
      </c>
      <c r="F1193" s="8" t="str">
        <f>IFERROR(__xludf.DUMMYFUNCTION("""COMPUTED_VALUE"""),"No")</f>
        <v>No</v>
      </c>
    </row>
    <row r="1194">
      <c r="A1194" s="5">
        <f>IFERROR(__xludf.DUMMYFUNCTION("""COMPUTED_VALUE"""),44825.0)</f>
        <v>44825</v>
      </c>
      <c r="B1194" s="6" t="str">
        <f>IFERROR(__xludf.DUMMYFUNCTION("""COMPUTED_VALUE"""),"dinner")</f>
        <v>dinner</v>
      </c>
      <c r="C1194" s="6" t="str">
        <f>IFERROR(__xludf.DUMMYFUNCTION("""COMPUTED_VALUE"""),"employee J")</f>
        <v>employee J</v>
      </c>
      <c r="D1194" s="7">
        <f>IFERROR(__xludf.DUMMYFUNCTION("""COMPUTED_VALUE"""),96.25)</f>
        <v>96.25</v>
      </c>
      <c r="E1194" s="6" t="str">
        <f>IFERROR(__xludf.DUMMYFUNCTION("""COMPUTED_VALUE"""),"No")</f>
        <v>No</v>
      </c>
      <c r="F1194" s="8" t="str">
        <f>IFERROR(__xludf.DUMMYFUNCTION("""COMPUTED_VALUE"""),"No")</f>
        <v>No</v>
      </c>
    </row>
    <row r="1195">
      <c r="A1195" s="5">
        <f>IFERROR(__xludf.DUMMYFUNCTION("""COMPUTED_VALUE"""),44825.0)</f>
        <v>44825</v>
      </c>
      <c r="B1195" s="6" t="str">
        <f>IFERROR(__xludf.DUMMYFUNCTION("""COMPUTED_VALUE"""),"dinner")</f>
        <v>dinner</v>
      </c>
      <c r="C1195" s="6" t="str">
        <f>IFERROR(__xludf.DUMMYFUNCTION("""COMPUTED_VALUE"""),"employee R")</f>
        <v>employee R</v>
      </c>
      <c r="D1195" s="7">
        <f>IFERROR(__xludf.DUMMYFUNCTION("""COMPUTED_VALUE"""),96.25)</f>
        <v>96.25</v>
      </c>
      <c r="E1195" s="6" t="str">
        <f>IFERROR(__xludf.DUMMYFUNCTION("""COMPUTED_VALUE"""),"No")</f>
        <v>No</v>
      </c>
      <c r="F1195" s="8" t="str">
        <f>IFERROR(__xludf.DUMMYFUNCTION("""COMPUTED_VALUE"""),"No")</f>
        <v>No</v>
      </c>
    </row>
    <row r="1196">
      <c r="A1196" s="5">
        <f>IFERROR(__xludf.DUMMYFUNCTION("""COMPUTED_VALUE"""),44826.0)</f>
        <v>44826</v>
      </c>
      <c r="B1196" s="6" t="str">
        <f>IFERROR(__xludf.DUMMYFUNCTION("""COMPUTED_VALUE"""),"lunch")</f>
        <v>lunch</v>
      </c>
      <c r="C1196" s="6" t="str">
        <f>IFERROR(__xludf.DUMMYFUNCTION("""COMPUTED_VALUE"""),"employee L")</f>
        <v>employee L</v>
      </c>
      <c r="D1196" s="7">
        <f>IFERROR(__xludf.DUMMYFUNCTION("""COMPUTED_VALUE"""),89.53)</f>
        <v>89.53</v>
      </c>
      <c r="E1196" s="6" t="str">
        <f>IFERROR(__xludf.DUMMYFUNCTION("""COMPUTED_VALUE"""),"No")</f>
        <v>No</v>
      </c>
      <c r="F1196" s="8" t="str">
        <f>IFERROR(__xludf.DUMMYFUNCTION("""COMPUTED_VALUE"""),"No")</f>
        <v>No</v>
      </c>
    </row>
    <row r="1197">
      <c r="A1197" s="5">
        <f>IFERROR(__xludf.DUMMYFUNCTION("""COMPUTED_VALUE"""),44826.0)</f>
        <v>44826</v>
      </c>
      <c r="B1197" s="6" t="str">
        <f>IFERROR(__xludf.DUMMYFUNCTION("""COMPUTED_VALUE"""),"dinner")</f>
        <v>dinner</v>
      </c>
      <c r="C1197" s="6" t="str">
        <f>IFERROR(__xludf.DUMMYFUNCTION("""COMPUTED_VALUE"""),"employee J")</f>
        <v>employee J</v>
      </c>
      <c r="D1197" s="7">
        <f>IFERROR(__xludf.DUMMYFUNCTION("""COMPUTED_VALUE"""),47.11)</f>
        <v>47.11</v>
      </c>
      <c r="E1197" s="6" t="str">
        <f>IFERROR(__xludf.DUMMYFUNCTION("""COMPUTED_VALUE"""),"No")</f>
        <v>No</v>
      </c>
      <c r="F1197" s="8" t="str">
        <f>IFERROR(__xludf.DUMMYFUNCTION("""COMPUTED_VALUE"""),"No")</f>
        <v>No</v>
      </c>
    </row>
    <row r="1198">
      <c r="A1198" s="5">
        <f>IFERROR(__xludf.DUMMYFUNCTION("""COMPUTED_VALUE"""),44826.0)</f>
        <v>44826</v>
      </c>
      <c r="B1198" s="6" t="str">
        <f>IFERROR(__xludf.DUMMYFUNCTION("""COMPUTED_VALUE"""),"dinner")</f>
        <v>dinner</v>
      </c>
      <c r="C1198" s="6" t="str">
        <f>IFERROR(__xludf.DUMMYFUNCTION("""COMPUTED_VALUE"""),"employee H")</f>
        <v>employee H</v>
      </c>
      <c r="D1198" s="7">
        <f>IFERROR(__xludf.DUMMYFUNCTION("""COMPUTED_VALUE"""),36.64)</f>
        <v>36.64</v>
      </c>
      <c r="E1198" s="6" t="str">
        <f>IFERROR(__xludf.DUMMYFUNCTION("""COMPUTED_VALUE"""),"No")</f>
        <v>No</v>
      </c>
      <c r="F1198" s="8" t="str">
        <f>IFERROR(__xludf.DUMMYFUNCTION("""COMPUTED_VALUE"""),"No")</f>
        <v>No</v>
      </c>
    </row>
    <row r="1199">
      <c r="A1199" s="5">
        <f>IFERROR(__xludf.DUMMYFUNCTION("""COMPUTED_VALUE"""),44826.0)</f>
        <v>44826</v>
      </c>
      <c r="B1199" s="6" t="str">
        <f>IFERROR(__xludf.DUMMYFUNCTION("""COMPUTED_VALUE"""),"dinner")</f>
        <v>dinner</v>
      </c>
      <c r="C1199" s="6" t="str">
        <f>IFERROR(__xludf.DUMMYFUNCTION("""COMPUTED_VALUE"""),"employee R")</f>
        <v>employee R</v>
      </c>
      <c r="D1199" s="7">
        <f>IFERROR(__xludf.DUMMYFUNCTION("""COMPUTED_VALUE"""),47.11)</f>
        <v>47.11</v>
      </c>
      <c r="E1199" s="6" t="str">
        <f>IFERROR(__xludf.DUMMYFUNCTION("""COMPUTED_VALUE"""),"No")</f>
        <v>No</v>
      </c>
      <c r="F1199" s="8" t="str">
        <f>IFERROR(__xludf.DUMMYFUNCTION("""COMPUTED_VALUE"""),"No")</f>
        <v>No</v>
      </c>
    </row>
    <row r="1200">
      <c r="A1200" s="5">
        <f>IFERROR(__xludf.DUMMYFUNCTION("""COMPUTED_VALUE"""),44827.0)</f>
        <v>44827</v>
      </c>
      <c r="B1200" s="6" t="str">
        <f>IFERROR(__xludf.DUMMYFUNCTION("""COMPUTED_VALUE"""),"lunch")</f>
        <v>lunch</v>
      </c>
      <c r="C1200" s="6" t="str">
        <f>IFERROR(__xludf.DUMMYFUNCTION("""COMPUTED_VALUE"""),"employee L")</f>
        <v>employee L</v>
      </c>
      <c r="D1200" s="7">
        <f>IFERROR(__xludf.DUMMYFUNCTION("""COMPUTED_VALUE"""),53.64)</f>
        <v>53.64</v>
      </c>
      <c r="E1200" s="6" t="str">
        <f>IFERROR(__xludf.DUMMYFUNCTION("""COMPUTED_VALUE"""),"No")</f>
        <v>No</v>
      </c>
      <c r="F1200" s="8" t="str">
        <f>IFERROR(__xludf.DUMMYFUNCTION("""COMPUTED_VALUE"""),"No")</f>
        <v>No</v>
      </c>
    </row>
    <row r="1201">
      <c r="A1201" s="5">
        <f>IFERROR(__xludf.DUMMYFUNCTION("""COMPUTED_VALUE"""),44827.0)</f>
        <v>44827</v>
      </c>
      <c r="B1201" s="6" t="str">
        <f>IFERROR(__xludf.DUMMYFUNCTION("""COMPUTED_VALUE"""),"lunch")</f>
        <v>lunch</v>
      </c>
      <c r="C1201" s="6" t="str">
        <f>IFERROR(__xludf.DUMMYFUNCTION("""COMPUTED_VALUE"""),"employee H")</f>
        <v>employee H</v>
      </c>
      <c r="D1201" s="7">
        <f>IFERROR(__xludf.DUMMYFUNCTION("""COMPUTED_VALUE"""),53.64)</f>
        <v>53.64</v>
      </c>
      <c r="E1201" s="6" t="str">
        <f>IFERROR(__xludf.DUMMYFUNCTION("""COMPUTED_VALUE"""),"No")</f>
        <v>No</v>
      </c>
      <c r="F1201" s="8" t="str">
        <f>IFERROR(__xludf.DUMMYFUNCTION("""COMPUTED_VALUE"""),"No")</f>
        <v>No</v>
      </c>
    </row>
    <row r="1202">
      <c r="A1202" s="5">
        <f>IFERROR(__xludf.DUMMYFUNCTION("""COMPUTED_VALUE"""),44827.0)</f>
        <v>44827</v>
      </c>
      <c r="B1202" s="6" t="str">
        <f>IFERROR(__xludf.DUMMYFUNCTION("""COMPUTED_VALUE"""),"dinner")</f>
        <v>dinner</v>
      </c>
      <c r="C1202" s="6" t="str">
        <f>IFERROR(__xludf.DUMMYFUNCTION("""COMPUTED_VALUE"""),"employee L")</f>
        <v>employee L</v>
      </c>
      <c r="D1202" s="7">
        <f>IFERROR(__xludf.DUMMYFUNCTION("""COMPUTED_VALUE"""),88.17)</f>
        <v>88.17</v>
      </c>
      <c r="E1202" s="6" t="str">
        <f>IFERROR(__xludf.DUMMYFUNCTION("""COMPUTED_VALUE"""),"No")</f>
        <v>No</v>
      </c>
      <c r="F1202" s="8" t="str">
        <f>IFERROR(__xludf.DUMMYFUNCTION("""COMPUTED_VALUE"""),"No")</f>
        <v>No</v>
      </c>
    </row>
    <row r="1203">
      <c r="A1203" s="5">
        <f>IFERROR(__xludf.DUMMYFUNCTION("""COMPUTED_VALUE"""),44827.0)</f>
        <v>44827</v>
      </c>
      <c r="B1203" s="6" t="str">
        <f>IFERROR(__xludf.DUMMYFUNCTION("""COMPUTED_VALUE"""),"dinner")</f>
        <v>dinner</v>
      </c>
      <c r="C1203" s="6" t="str">
        <f>IFERROR(__xludf.DUMMYFUNCTION("""COMPUTED_VALUE"""),"employee H")</f>
        <v>employee H</v>
      </c>
      <c r="D1203" s="7">
        <f>IFERROR(__xludf.DUMMYFUNCTION("""COMPUTED_VALUE"""),78.37)</f>
        <v>78.37</v>
      </c>
      <c r="E1203" s="6" t="str">
        <f>IFERROR(__xludf.DUMMYFUNCTION("""COMPUTED_VALUE"""),"No")</f>
        <v>No</v>
      </c>
      <c r="F1203" s="8" t="str">
        <f>IFERROR(__xludf.DUMMYFUNCTION("""COMPUTED_VALUE"""),"No")</f>
        <v>No</v>
      </c>
    </row>
    <row r="1204">
      <c r="A1204" s="5">
        <f>IFERROR(__xludf.DUMMYFUNCTION("""COMPUTED_VALUE"""),44827.0)</f>
        <v>44827</v>
      </c>
      <c r="B1204" s="6" t="str">
        <f>IFERROR(__xludf.DUMMYFUNCTION("""COMPUTED_VALUE"""),"dinner")</f>
        <v>dinner</v>
      </c>
      <c r="C1204" s="6" t="str">
        <f>IFERROR(__xludf.DUMMYFUNCTION("""COMPUTED_VALUE"""),"employee J")</f>
        <v>employee J</v>
      </c>
      <c r="D1204" s="7">
        <f>IFERROR(__xludf.DUMMYFUNCTION("""COMPUTED_VALUE"""),88.17)</f>
        <v>88.17</v>
      </c>
      <c r="E1204" s="6" t="str">
        <f>IFERROR(__xludf.DUMMYFUNCTION("""COMPUTED_VALUE"""),"No")</f>
        <v>No</v>
      </c>
      <c r="F1204" s="8" t="str">
        <f>IFERROR(__xludf.DUMMYFUNCTION("""COMPUTED_VALUE"""),"No")</f>
        <v>No</v>
      </c>
    </row>
    <row r="1205">
      <c r="A1205" s="5">
        <f>IFERROR(__xludf.DUMMYFUNCTION("""COMPUTED_VALUE"""),44828.0)</f>
        <v>44828</v>
      </c>
      <c r="B1205" s="6" t="str">
        <f>IFERROR(__xludf.DUMMYFUNCTION("""COMPUTED_VALUE"""),"lunch")</f>
        <v>lunch</v>
      </c>
      <c r="C1205" s="6" t="str">
        <f>IFERROR(__xludf.DUMMYFUNCTION("""COMPUTED_VALUE"""),"employee L")</f>
        <v>employee L</v>
      </c>
      <c r="D1205" s="7">
        <f>IFERROR(__xludf.DUMMYFUNCTION("""COMPUTED_VALUE"""),145.09)</f>
        <v>145.09</v>
      </c>
      <c r="E1205" s="6" t="str">
        <f>IFERROR(__xludf.DUMMYFUNCTION("""COMPUTED_VALUE"""),"No")</f>
        <v>No</v>
      </c>
      <c r="F1205" s="8" t="str">
        <f>IFERROR(__xludf.DUMMYFUNCTION("""COMPUTED_VALUE"""),"No")</f>
        <v>No</v>
      </c>
    </row>
    <row r="1206">
      <c r="A1206" s="5">
        <f>IFERROR(__xludf.DUMMYFUNCTION("""COMPUTED_VALUE"""),44828.0)</f>
        <v>44828</v>
      </c>
      <c r="B1206" s="6" t="str">
        <f>IFERROR(__xludf.DUMMYFUNCTION("""COMPUTED_VALUE"""),"lunch")</f>
        <v>lunch</v>
      </c>
      <c r="C1206" s="6" t="str">
        <f>IFERROR(__xludf.DUMMYFUNCTION("""COMPUTED_VALUE"""),"employee H")</f>
        <v>employee H</v>
      </c>
      <c r="D1206" s="7">
        <f>IFERROR(__xludf.DUMMYFUNCTION("""COMPUTED_VALUE"""),103.64)</f>
        <v>103.64</v>
      </c>
      <c r="E1206" s="6" t="str">
        <f>IFERROR(__xludf.DUMMYFUNCTION("""COMPUTED_VALUE"""),"No")</f>
        <v>No</v>
      </c>
      <c r="F1206" s="8" t="str">
        <f>IFERROR(__xludf.DUMMYFUNCTION("""COMPUTED_VALUE"""),"No")</f>
        <v>No</v>
      </c>
    </row>
    <row r="1207">
      <c r="A1207" s="5">
        <f>IFERROR(__xludf.DUMMYFUNCTION("""COMPUTED_VALUE"""),44828.0)</f>
        <v>44828</v>
      </c>
      <c r="B1207" s="6" t="str">
        <f>IFERROR(__xludf.DUMMYFUNCTION("""COMPUTED_VALUE"""),"dinner")</f>
        <v>dinner</v>
      </c>
      <c r="C1207" s="6" t="str">
        <f>IFERROR(__xludf.DUMMYFUNCTION("""COMPUTED_VALUE"""),"employee L")</f>
        <v>employee L</v>
      </c>
      <c r="D1207" s="7">
        <f>IFERROR(__xludf.DUMMYFUNCTION("""COMPUTED_VALUE"""),41.82)</f>
        <v>41.82</v>
      </c>
      <c r="E1207" s="6" t="str">
        <f>IFERROR(__xludf.DUMMYFUNCTION("""COMPUTED_VALUE"""),"No")</f>
        <v>No</v>
      </c>
      <c r="F1207" s="8" t="str">
        <f>IFERROR(__xludf.DUMMYFUNCTION("""COMPUTED_VALUE"""),"No")</f>
        <v>No</v>
      </c>
    </row>
    <row r="1208">
      <c r="A1208" s="5">
        <f>IFERROR(__xludf.DUMMYFUNCTION("""COMPUTED_VALUE"""),44828.0)</f>
        <v>44828</v>
      </c>
      <c r="B1208" s="6" t="str">
        <f>IFERROR(__xludf.DUMMYFUNCTION("""COMPUTED_VALUE"""),"dinner")</f>
        <v>dinner</v>
      </c>
      <c r="C1208" s="6" t="str">
        <f>IFERROR(__xludf.DUMMYFUNCTION("""COMPUTED_VALUE"""),"employee H")</f>
        <v>employee H</v>
      </c>
      <c r="D1208" s="7">
        <f>IFERROR(__xludf.DUMMYFUNCTION("""COMPUTED_VALUE"""),57.9)</f>
        <v>57.9</v>
      </c>
      <c r="E1208" s="6" t="str">
        <f>IFERROR(__xludf.DUMMYFUNCTION("""COMPUTED_VALUE"""),"No")</f>
        <v>No</v>
      </c>
      <c r="F1208" s="8" t="str">
        <f>IFERROR(__xludf.DUMMYFUNCTION("""COMPUTED_VALUE"""),"No")</f>
        <v>No</v>
      </c>
    </row>
    <row r="1209">
      <c r="A1209" s="5">
        <f>IFERROR(__xludf.DUMMYFUNCTION("""COMPUTED_VALUE"""),44828.0)</f>
        <v>44828</v>
      </c>
      <c r="B1209" s="6" t="str">
        <f>IFERROR(__xludf.DUMMYFUNCTION("""COMPUTED_VALUE"""),"dinner")</f>
        <v>dinner</v>
      </c>
      <c r="C1209" s="6" t="str">
        <f>IFERROR(__xludf.DUMMYFUNCTION("""COMPUTED_VALUE"""),"employee J")</f>
        <v>employee J</v>
      </c>
      <c r="D1209" s="7">
        <f>IFERROR(__xludf.DUMMYFUNCTION("""COMPUTED_VALUE"""),51.47)</f>
        <v>51.47</v>
      </c>
      <c r="E1209" s="6" t="str">
        <f>IFERROR(__xludf.DUMMYFUNCTION("""COMPUTED_VALUE"""),"No")</f>
        <v>No</v>
      </c>
      <c r="F1209" s="8" t="str">
        <f>IFERROR(__xludf.DUMMYFUNCTION("""COMPUTED_VALUE"""),"No")</f>
        <v>No</v>
      </c>
    </row>
    <row r="1210">
      <c r="A1210" s="5">
        <f>IFERROR(__xludf.DUMMYFUNCTION("""COMPUTED_VALUE"""),44829.0)</f>
        <v>44829</v>
      </c>
      <c r="B1210" s="6" t="str">
        <f>IFERROR(__xludf.DUMMYFUNCTION("""COMPUTED_VALUE"""),"lunch")</f>
        <v>lunch</v>
      </c>
      <c r="C1210" s="6" t="str">
        <f>IFERROR(__xludf.DUMMYFUNCTION("""COMPUTED_VALUE"""),"employee L")</f>
        <v>employee L</v>
      </c>
      <c r="D1210" s="7">
        <f>IFERROR(__xludf.DUMMYFUNCTION("""COMPUTED_VALUE"""),98.15)</f>
        <v>98.15</v>
      </c>
      <c r="E1210" s="6" t="str">
        <f>IFERROR(__xludf.DUMMYFUNCTION("""COMPUTED_VALUE"""),"No")</f>
        <v>No</v>
      </c>
      <c r="F1210" s="8" t="str">
        <f>IFERROR(__xludf.DUMMYFUNCTION("""COMPUTED_VALUE"""),"No")</f>
        <v>No</v>
      </c>
    </row>
    <row r="1211">
      <c r="A1211" s="5">
        <f>IFERROR(__xludf.DUMMYFUNCTION("""COMPUTED_VALUE"""),44829.0)</f>
        <v>44829</v>
      </c>
      <c r="B1211" s="6" t="str">
        <f>IFERROR(__xludf.DUMMYFUNCTION("""COMPUTED_VALUE"""),"lunch")</f>
        <v>lunch</v>
      </c>
      <c r="C1211" s="6" t="str">
        <f>IFERROR(__xludf.DUMMYFUNCTION("""COMPUTED_VALUE"""),"employee J")</f>
        <v>employee J</v>
      </c>
      <c r="D1211" s="7">
        <f>IFERROR(__xludf.DUMMYFUNCTION("""COMPUTED_VALUE"""),93.47)</f>
        <v>93.47</v>
      </c>
      <c r="E1211" s="6" t="str">
        <f>IFERROR(__xludf.DUMMYFUNCTION("""COMPUTED_VALUE"""),"No")</f>
        <v>No</v>
      </c>
      <c r="F1211" s="8" t="str">
        <f>IFERROR(__xludf.DUMMYFUNCTION("""COMPUTED_VALUE"""),"No")</f>
        <v>No</v>
      </c>
    </row>
    <row r="1212">
      <c r="A1212" s="5">
        <f>IFERROR(__xludf.DUMMYFUNCTION("""COMPUTED_VALUE"""),44829.0)</f>
        <v>44829</v>
      </c>
      <c r="B1212" s="6" t="str">
        <f>IFERROR(__xludf.DUMMYFUNCTION("""COMPUTED_VALUE"""),"lunch")</f>
        <v>lunch</v>
      </c>
      <c r="C1212" s="6" t="str">
        <f>IFERROR(__xludf.DUMMYFUNCTION("""COMPUTED_VALUE"""),"employee R")</f>
        <v>employee R</v>
      </c>
      <c r="D1212" s="7">
        <f>IFERROR(__xludf.DUMMYFUNCTION("""COMPUTED_VALUE"""),93.47)</f>
        <v>93.47</v>
      </c>
      <c r="E1212" s="6" t="str">
        <f>IFERROR(__xludf.DUMMYFUNCTION("""COMPUTED_VALUE"""),"No")</f>
        <v>No</v>
      </c>
      <c r="F1212" s="8" t="str">
        <f>IFERROR(__xludf.DUMMYFUNCTION("""COMPUTED_VALUE"""),"No")</f>
        <v>No</v>
      </c>
    </row>
    <row r="1213">
      <c r="A1213" s="5">
        <f>IFERROR(__xludf.DUMMYFUNCTION("""COMPUTED_VALUE"""),44829.0)</f>
        <v>44829</v>
      </c>
      <c r="B1213" s="6" t="str">
        <f>IFERROR(__xludf.DUMMYFUNCTION("""COMPUTED_VALUE"""),"dinner")</f>
        <v>dinner</v>
      </c>
      <c r="C1213" s="6" t="str">
        <f>IFERROR(__xludf.DUMMYFUNCTION("""COMPUTED_VALUE"""),"employee J")</f>
        <v>employee J</v>
      </c>
      <c r="D1213" s="7">
        <f>IFERROR(__xludf.DUMMYFUNCTION("""COMPUTED_VALUE"""),53.19)</f>
        <v>53.19</v>
      </c>
      <c r="E1213" s="6" t="str">
        <f>IFERROR(__xludf.DUMMYFUNCTION("""COMPUTED_VALUE"""),"No")</f>
        <v>No</v>
      </c>
      <c r="F1213" s="8" t="str">
        <f>IFERROR(__xludf.DUMMYFUNCTION("""COMPUTED_VALUE"""),"No")</f>
        <v>No</v>
      </c>
    </row>
    <row r="1214">
      <c r="A1214" s="5">
        <f>IFERROR(__xludf.DUMMYFUNCTION("""COMPUTED_VALUE"""),44829.0)</f>
        <v>44829</v>
      </c>
      <c r="B1214" s="6" t="str">
        <f>IFERROR(__xludf.DUMMYFUNCTION("""COMPUTED_VALUE"""),"dinner")</f>
        <v>dinner</v>
      </c>
      <c r="C1214" s="6" t="str">
        <f>IFERROR(__xludf.DUMMYFUNCTION("""COMPUTED_VALUE"""),"employee H")</f>
        <v>employee H</v>
      </c>
      <c r="D1214" s="7">
        <f>IFERROR(__xludf.DUMMYFUNCTION("""COMPUTED_VALUE"""),53.19)</f>
        <v>53.19</v>
      </c>
      <c r="E1214" s="6" t="str">
        <f>IFERROR(__xludf.DUMMYFUNCTION("""COMPUTED_VALUE"""),"No")</f>
        <v>No</v>
      </c>
      <c r="F1214" s="8" t="str">
        <f>IFERROR(__xludf.DUMMYFUNCTION("""COMPUTED_VALUE"""),"No")</f>
        <v>No</v>
      </c>
    </row>
    <row r="1215">
      <c r="A1215" s="5">
        <f>IFERROR(__xludf.DUMMYFUNCTION("""COMPUTED_VALUE"""),44829.0)</f>
        <v>44829</v>
      </c>
      <c r="B1215" s="6" t="str">
        <f>IFERROR(__xludf.DUMMYFUNCTION("""COMPUTED_VALUE"""),"dinner")</f>
        <v>dinner</v>
      </c>
      <c r="C1215" s="6" t="str">
        <f>IFERROR(__xludf.DUMMYFUNCTION("""COMPUTED_VALUE"""),"employee R")</f>
        <v>employee R</v>
      </c>
      <c r="D1215" s="7">
        <f>IFERROR(__xludf.DUMMYFUNCTION("""COMPUTED_VALUE"""),41.37)</f>
        <v>41.37</v>
      </c>
      <c r="E1215" s="6" t="str">
        <f>IFERROR(__xludf.DUMMYFUNCTION("""COMPUTED_VALUE"""),"No")</f>
        <v>No</v>
      </c>
      <c r="F1215" s="8" t="str">
        <f>IFERROR(__xludf.DUMMYFUNCTION("""COMPUTED_VALUE"""),"No")</f>
        <v>No</v>
      </c>
    </row>
    <row r="1216">
      <c r="A1216" s="5">
        <f>IFERROR(__xludf.DUMMYFUNCTION("""COMPUTED_VALUE"""),44830.0)</f>
        <v>44830</v>
      </c>
      <c r="B1216" s="6" t="str">
        <f>IFERROR(__xludf.DUMMYFUNCTION("""COMPUTED_VALUE"""),"lunch")</f>
        <v>lunch</v>
      </c>
      <c r="C1216" s="6" t="str">
        <f>IFERROR(__xludf.DUMMYFUNCTION("""COMPUTED_VALUE"""),"employee A")</f>
        <v>employee A</v>
      </c>
      <c r="D1216" s="7">
        <f>IFERROR(__xludf.DUMMYFUNCTION("""COMPUTED_VALUE"""),88.94)</f>
        <v>88.94</v>
      </c>
      <c r="E1216" s="6" t="str">
        <f>IFERROR(__xludf.DUMMYFUNCTION("""COMPUTED_VALUE"""),"No")</f>
        <v>No</v>
      </c>
      <c r="F1216" s="8" t="str">
        <f>IFERROR(__xludf.DUMMYFUNCTION("""COMPUTED_VALUE"""),"No")</f>
        <v>No</v>
      </c>
    </row>
    <row r="1217">
      <c r="A1217" s="5">
        <f>IFERROR(__xludf.DUMMYFUNCTION("""COMPUTED_VALUE"""),44830.0)</f>
        <v>44830</v>
      </c>
      <c r="B1217" s="6" t="str">
        <f>IFERROR(__xludf.DUMMYFUNCTION("""COMPUTED_VALUE"""),"dinner")</f>
        <v>dinner</v>
      </c>
      <c r="C1217" s="6" t="str">
        <f>IFERROR(__xludf.DUMMYFUNCTION("""COMPUTED_VALUE"""),"employee A")</f>
        <v>employee A</v>
      </c>
      <c r="D1217" s="7">
        <f>IFERROR(__xludf.DUMMYFUNCTION("""COMPUTED_VALUE"""),92.37)</f>
        <v>92.37</v>
      </c>
      <c r="E1217" s="6" t="str">
        <f>IFERROR(__xludf.DUMMYFUNCTION("""COMPUTED_VALUE"""),"No")</f>
        <v>No</v>
      </c>
      <c r="F1217" s="8" t="str">
        <f>IFERROR(__xludf.DUMMYFUNCTION("""COMPUTED_VALUE"""),"No")</f>
        <v>No</v>
      </c>
    </row>
    <row r="1218">
      <c r="A1218" s="5">
        <f>IFERROR(__xludf.DUMMYFUNCTION("""COMPUTED_VALUE"""),44830.0)</f>
        <v>44830</v>
      </c>
      <c r="B1218" s="6" t="str">
        <f>IFERROR(__xludf.DUMMYFUNCTION("""COMPUTED_VALUE"""),"dinner")</f>
        <v>dinner</v>
      </c>
      <c r="C1218" s="6" t="str">
        <f>IFERROR(__xludf.DUMMYFUNCTION("""COMPUTED_VALUE"""),"employee H")</f>
        <v>employee H</v>
      </c>
      <c r="D1218" s="7">
        <f>IFERROR(__xludf.DUMMYFUNCTION("""COMPUTED_VALUE"""),92.37)</f>
        <v>92.37</v>
      </c>
      <c r="E1218" s="6" t="str">
        <f>IFERROR(__xludf.DUMMYFUNCTION("""COMPUTED_VALUE"""),"No")</f>
        <v>No</v>
      </c>
      <c r="F1218" s="8" t="str">
        <f>IFERROR(__xludf.DUMMYFUNCTION("""COMPUTED_VALUE"""),"No")</f>
        <v>No</v>
      </c>
    </row>
    <row r="1219">
      <c r="A1219" s="5">
        <f>IFERROR(__xludf.DUMMYFUNCTION("""COMPUTED_VALUE"""),44830.0)</f>
        <v>44830</v>
      </c>
      <c r="B1219" s="6" t="str">
        <f>IFERROR(__xludf.DUMMYFUNCTION("""COMPUTED_VALUE"""),"dinner")</f>
        <v>dinner</v>
      </c>
      <c r="C1219" s="6" t="str">
        <f>IFERROR(__xludf.DUMMYFUNCTION("""COMPUTED_VALUE"""),"employee G")</f>
        <v>employee G</v>
      </c>
      <c r="D1219" s="7">
        <f>IFERROR(__xludf.DUMMYFUNCTION("""COMPUTED_VALUE"""),71.85)</f>
        <v>71.85</v>
      </c>
      <c r="E1219" s="6" t="str">
        <f>IFERROR(__xludf.DUMMYFUNCTION("""COMPUTED_VALUE"""),"No")</f>
        <v>No</v>
      </c>
      <c r="F1219" s="8" t="str">
        <f>IFERROR(__xludf.DUMMYFUNCTION("""COMPUTED_VALUE"""),"No")</f>
        <v>No</v>
      </c>
    </row>
    <row r="1220">
      <c r="A1220" s="5">
        <f>IFERROR(__xludf.DUMMYFUNCTION("""COMPUTED_VALUE"""),44831.0)</f>
        <v>44831</v>
      </c>
      <c r="B1220" s="6" t="str">
        <f>IFERROR(__xludf.DUMMYFUNCTION("""COMPUTED_VALUE"""),"lunch")</f>
        <v>lunch</v>
      </c>
      <c r="C1220" s="6" t="str">
        <f>IFERROR(__xludf.DUMMYFUNCTION("""COMPUTED_VALUE"""),"employee A")</f>
        <v>employee A</v>
      </c>
      <c r="D1220" s="7">
        <f>IFERROR(__xludf.DUMMYFUNCTION("""COMPUTED_VALUE"""),62.72)</f>
        <v>62.72</v>
      </c>
      <c r="E1220" s="6" t="str">
        <f>IFERROR(__xludf.DUMMYFUNCTION("""COMPUTED_VALUE"""),"No")</f>
        <v>No</v>
      </c>
      <c r="F1220" s="8" t="str">
        <f>IFERROR(__xludf.DUMMYFUNCTION("""COMPUTED_VALUE"""),"No")</f>
        <v>No</v>
      </c>
    </row>
    <row r="1221">
      <c r="A1221" s="5">
        <f>IFERROR(__xludf.DUMMYFUNCTION("""COMPUTED_VALUE"""),44831.0)</f>
        <v>44831</v>
      </c>
      <c r="B1221" s="6" t="str">
        <f>IFERROR(__xludf.DUMMYFUNCTION("""COMPUTED_VALUE"""),"dinner")</f>
        <v>dinner</v>
      </c>
      <c r="C1221" s="6" t="str">
        <f>IFERROR(__xludf.DUMMYFUNCTION("""COMPUTED_VALUE"""),"employee A")</f>
        <v>employee A</v>
      </c>
      <c r="D1221" s="7">
        <f>IFERROR(__xludf.DUMMYFUNCTION("""COMPUTED_VALUE"""),61.5)</f>
        <v>61.5</v>
      </c>
      <c r="E1221" s="6" t="str">
        <f>IFERROR(__xludf.DUMMYFUNCTION("""COMPUTED_VALUE"""),"No")</f>
        <v>No</v>
      </c>
      <c r="F1221" s="8" t="str">
        <f>IFERROR(__xludf.DUMMYFUNCTION("""COMPUTED_VALUE"""),"No")</f>
        <v>No</v>
      </c>
    </row>
    <row r="1222">
      <c r="A1222" s="5">
        <f>IFERROR(__xludf.DUMMYFUNCTION("""COMPUTED_VALUE"""),44831.0)</f>
        <v>44831</v>
      </c>
      <c r="B1222" s="6" t="str">
        <f>IFERROR(__xludf.DUMMYFUNCTION("""COMPUTED_VALUE"""),"dinner")</f>
        <v>dinner</v>
      </c>
      <c r="C1222" s="6" t="str">
        <f>IFERROR(__xludf.DUMMYFUNCTION("""COMPUTED_VALUE"""),"employee R")</f>
        <v>employee R</v>
      </c>
      <c r="D1222" s="7">
        <f>IFERROR(__xludf.DUMMYFUNCTION("""COMPUTED_VALUE"""),61.5)</f>
        <v>61.5</v>
      </c>
      <c r="E1222" s="6" t="str">
        <f>IFERROR(__xludf.DUMMYFUNCTION("""COMPUTED_VALUE"""),"No")</f>
        <v>No</v>
      </c>
      <c r="F1222" s="8" t="str">
        <f>IFERROR(__xludf.DUMMYFUNCTION("""COMPUTED_VALUE"""),"No")</f>
        <v>No</v>
      </c>
    </row>
    <row r="1223">
      <c r="A1223" s="5">
        <f>IFERROR(__xludf.DUMMYFUNCTION("""COMPUTED_VALUE"""),44831.0)</f>
        <v>44831</v>
      </c>
      <c r="B1223" s="6" t="str">
        <f>IFERROR(__xludf.DUMMYFUNCTION("""COMPUTED_VALUE"""),"dinner")</f>
        <v>dinner</v>
      </c>
      <c r="C1223" s="6" t="str">
        <f>IFERROR(__xludf.DUMMYFUNCTION("""COMPUTED_VALUE"""),"employee G")</f>
        <v>employee G</v>
      </c>
      <c r="D1223" s="7">
        <f>IFERROR(__xludf.DUMMYFUNCTION("""COMPUTED_VALUE"""),34.18)</f>
        <v>34.18</v>
      </c>
      <c r="E1223" s="6" t="str">
        <f>IFERROR(__xludf.DUMMYFUNCTION("""COMPUTED_VALUE"""),"No")</f>
        <v>No</v>
      </c>
      <c r="F1223" s="8" t="str">
        <f>IFERROR(__xludf.DUMMYFUNCTION("""COMPUTED_VALUE"""),"No")</f>
        <v>No</v>
      </c>
    </row>
    <row r="1224">
      <c r="A1224" s="5">
        <f>IFERROR(__xludf.DUMMYFUNCTION("""COMPUTED_VALUE"""),44832.0)</f>
        <v>44832</v>
      </c>
      <c r="B1224" s="6" t="str">
        <f>IFERROR(__xludf.DUMMYFUNCTION("""COMPUTED_VALUE"""),"lunch")</f>
        <v>lunch</v>
      </c>
      <c r="C1224" s="6" t="str">
        <f>IFERROR(__xludf.DUMMYFUNCTION("""COMPUTED_VALUE"""),"employee H")</f>
        <v>employee H</v>
      </c>
      <c r="D1224" s="7">
        <f>IFERROR(__xludf.DUMMYFUNCTION("""COMPUTED_VALUE"""),89.53)</f>
        <v>89.53</v>
      </c>
      <c r="E1224" s="6" t="str">
        <f>IFERROR(__xludf.DUMMYFUNCTION("""COMPUTED_VALUE"""),"No")</f>
        <v>No</v>
      </c>
      <c r="F1224" s="8" t="str">
        <f>IFERROR(__xludf.DUMMYFUNCTION("""COMPUTED_VALUE"""),"No")</f>
        <v>No</v>
      </c>
    </row>
    <row r="1225">
      <c r="A1225" s="5">
        <f>IFERROR(__xludf.DUMMYFUNCTION("""COMPUTED_VALUE"""),44832.0)</f>
        <v>44832</v>
      </c>
      <c r="B1225" s="6" t="str">
        <f>IFERROR(__xludf.DUMMYFUNCTION("""COMPUTED_VALUE"""),"dinner")</f>
        <v>dinner</v>
      </c>
      <c r="C1225" s="6" t="str">
        <f>IFERROR(__xludf.DUMMYFUNCTION("""COMPUTED_VALUE"""),"employee H")</f>
        <v>employee H</v>
      </c>
      <c r="D1225" s="7">
        <f>IFERROR(__xludf.DUMMYFUNCTION("""COMPUTED_VALUE"""),51.36)</f>
        <v>51.36</v>
      </c>
      <c r="E1225" s="6" t="str">
        <f>IFERROR(__xludf.DUMMYFUNCTION("""COMPUTED_VALUE"""),"No")</f>
        <v>No</v>
      </c>
      <c r="F1225" s="8" t="str">
        <f>IFERROR(__xludf.DUMMYFUNCTION("""COMPUTED_VALUE"""),"No")</f>
        <v>No</v>
      </c>
    </row>
    <row r="1226">
      <c r="A1226" s="5">
        <f>IFERROR(__xludf.DUMMYFUNCTION("""COMPUTED_VALUE"""),44832.0)</f>
        <v>44832</v>
      </c>
      <c r="B1226" s="6" t="str">
        <f>IFERROR(__xludf.DUMMYFUNCTION("""COMPUTED_VALUE"""),"dinner")</f>
        <v>dinner</v>
      </c>
      <c r="C1226" s="6" t="str">
        <f>IFERROR(__xludf.DUMMYFUNCTION("""COMPUTED_VALUE"""),"employee J")</f>
        <v>employee J</v>
      </c>
      <c r="D1226" s="7">
        <f>IFERROR(__xludf.DUMMYFUNCTION("""COMPUTED_VALUE"""),61.63)</f>
        <v>61.63</v>
      </c>
      <c r="E1226" s="6" t="str">
        <f>IFERROR(__xludf.DUMMYFUNCTION("""COMPUTED_VALUE"""),"No")</f>
        <v>No</v>
      </c>
      <c r="F1226" s="8" t="str">
        <f>IFERROR(__xludf.DUMMYFUNCTION("""COMPUTED_VALUE"""),"No")</f>
        <v>No</v>
      </c>
    </row>
    <row r="1227">
      <c r="A1227" s="5">
        <f>IFERROR(__xludf.DUMMYFUNCTION("""COMPUTED_VALUE"""),44832.0)</f>
        <v>44832</v>
      </c>
      <c r="B1227" s="6" t="str">
        <f>IFERROR(__xludf.DUMMYFUNCTION("""COMPUTED_VALUE"""),"dinner")</f>
        <v>dinner</v>
      </c>
      <c r="C1227" s="6" t="str">
        <f>IFERROR(__xludf.DUMMYFUNCTION("""COMPUTED_VALUE"""),"employee G")</f>
        <v>employee G</v>
      </c>
      <c r="D1227" s="7">
        <f>IFERROR(__xludf.DUMMYFUNCTION("""COMPUTED_VALUE"""),47.93)</f>
        <v>47.93</v>
      </c>
      <c r="E1227" s="6" t="str">
        <f>IFERROR(__xludf.DUMMYFUNCTION("""COMPUTED_VALUE"""),"No")</f>
        <v>No</v>
      </c>
      <c r="F1227" s="8" t="str">
        <f>IFERROR(__xludf.DUMMYFUNCTION("""COMPUTED_VALUE"""),"No")</f>
        <v>No</v>
      </c>
    </row>
    <row r="1228">
      <c r="A1228" s="5">
        <f>IFERROR(__xludf.DUMMYFUNCTION("""COMPUTED_VALUE"""),44833.0)</f>
        <v>44833</v>
      </c>
      <c r="B1228" s="6" t="str">
        <f>IFERROR(__xludf.DUMMYFUNCTION("""COMPUTED_VALUE"""),"lunch")</f>
        <v>lunch</v>
      </c>
      <c r="C1228" s="6" t="str">
        <f>IFERROR(__xludf.DUMMYFUNCTION("""COMPUTED_VALUE"""),"employee L")</f>
        <v>employee L</v>
      </c>
      <c r="D1228" s="7">
        <f>IFERROR(__xludf.DUMMYFUNCTION("""COMPUTED_VALUE"""),58.76)</f>
        <v>58.76</v>
      </c>
      <c r="E1228" s="6" t="str">
        <f>IFERROR(__xludf.DUMMYFUNCTION("""COMPUTED_VALUE"""),"No")</f>
        <v>No</v>
      </c>
      <c r="F1228" s="8" t="str">
        <f>IFERROR(__xludf.DUMMYFUNCTION("""COMPUTED_VALUE"""),"No")</f>
        <v>No</v>
      </c>
    </row>
    <row r="1229">
      <c r="A1229" s="5">
        <f>IFERROR(__xludf.DUMMYFUNCTION("""COMPUTED_VALUE"""),44833.0)</f>
        <v>44833</v>
      </c>
      <c r="B1229" s="6" t="str">
        <f>IFERROR(__xludf.DUMMYFUNCTION("""COMPUTED_VALUE"""),"dinner")</f>
        <v>dinner</v>
      </c>
      <c r="C1229" s="6" t="str">
        <f>IFERROR(__xludf.DUMMYFUNCTION("""COMPUTED_VALUE"""),"employee J")</f>
        <v>employee J</v>
      </c>
      <c r="D1229" s="7">
        <f>IFERROR(__xludf.DUMMYFUNCTION("""COMPUTED_VALUE"""),64.18)</f>
        <v>64.18</v>
      </c>
      <c r="E1229" s="6" t="str">
        <f>IFERROR(__xludf.DUMMYFUNCTION("""COMPUTED_VALUE"""),"No")</f>
        <v>No</v>
      </c>
      <c r="F1229" s="8" t="str">
        <f>IFERROR(__xludf.DUMMYFUNCTION("""COMPUTED_VALUE"""),"No")</f>
        <v>No</v>
      </c>
    </row>
    <row r="1230">
      <c r="A1230" s="5">
        <f>IFERROR(__xludf.DUMMYFUNCTION("""COMPUTED_VALUE"""),44833.0)</f>
        <v>44833</v>
      </c>
      <c r="B1230" s="6" t="str">
        <f>IFERROR(__xludf.DUMMYFUNCTION("""COMPUTED_VALUE"""),"dinner")</f>
        <v>dinner</v>
      </c>
      <c r="C1230" s="6" t="str">
        <f>IFERROR(__xludf.DUMMYFUNCTION("""COMPUTED_VALUE"""),"employee R")</f>
        <v>employee R</v>
      </c>
      <c r="D1230" s="7">
        <f>IFERROR(__xludf.DUMMYFUNCTION("""COMPUTED_VALUE"""),54.62)</f>
        <v>54.62</v>
      </c>
      <c r="E1230" s="6" t="str">
        <f>IFERROR(__xludf.DUMMYFUNCTION("""COMPUTED_VALUE"""),"No")</f>
        <v>No</v>
      </c>
      <c r="F1230" s="8" t="str">
        <f>IFERROR(__xludf.DUMMYFUNCTION("""COMPUTED_VALUE"""),"No")</f>
        <v>No</v>
      </c>
    </row>
    <row r="1231">
      <c r="A1231" s="5">
        <f>IFERROR(__xludf.DUMMYFUNCTION("""COMPUTED_VALUE"""),44833.0)</f>
        <v>44833</v>
      </c>
      <c r="B1231" s="6" t="str">
        <f>IFERROR(__xludf.DUMMYFUNCTION("""COMPUTED_VALUE"""),"dinner")</f>
        <v>dinner</v>
      </c>
      <c r="C1231" s="6" t="str">
        <f>IFERROR(__xludf.DUMMYFUNCTION("""COMPUTED_VALUE"""),"employee G")</f>
        <v>employee G</v>
      </c>
      <c r="D1231" s="7">
        <f>IFERROR(__xludf.DUMMYFUNCTION("""COMPUTED_VALUE"""),49.92)</f>
        <v>49.92</v>
      </c>
      <c r="E1231" s="6" t="str">
        <f>IFERROR(__xludf.DUMMYFUNCTION("""COMPUTED_VALUE"""),"No")</f>
        <v>No</v>
      </c>
      <c r="F1231" s="8" t="str">
        <f>IFERROR(__xludf.DUMMYFUNCTION("""COMPUTED_VALUE"""),"No")</f>
        <v>No</v>
      </c>
    </row>
    <row r="1232">
      <c r="A1232" s="5">
        <f>IFERROR(__xludf.DUMMYFUNCTION("""COMPUTED_VALUE"""),44834.0)</f>
        <v>44834</v>
      </c>
      <c r="B1232" s="6" t="str">
        <f>IFERROR(__xludf.DUMMYFUNCTION("""COMPUTED_VALUE"""),"lunch")</f>
        <v>lunch</v>
      </c>
      <c r="C1232" s="6" t="str">
        <f>IFERROR(__xludf.DUMMYFUNCTION("""COMPUTED_VALUE"""),"employee L")</f>
        <v>employee L</v>
      </c>
      <c r="D1232" s="7">
        <f>IFERROR(__xludf.DUMMYFUNCTION("""COMPUTED_VALUE"""),79.38)</f>
        <v>79.38</v>
      </c>
      <c r="E1232" s="6" t="str">
        <f>IFERROR(__xludf.DUMMYFUNCTION("""COMPUTED_VALUE"""),"No")</f>
        <v>No</v>
      </c>
      <c r="F1232" s="8" t="str">
        <f>IFERROR(__xludf.DUMMYFUNCTION("""COMPUTED_VALUE"""),"No")</f>
        <v>No</v>
      </c>
    </row>
    <row r="1233">
      <c r="A1233" s="5">
        <f>IFERROR(__xludf.DUMMYFUNCTION("""COMPUTED_VALUE"""),44834.0)</f>
        <v>44834</v>
      </c>
      <c r="B1233" s="6" t="str">
        <f>IFERROR(__xludf.DUMMYFUNCTION("""COMPUTED_VALUE"""),"dinner")</f>
        <v>dinner</v>
      </c>
      <c r="C1233" s="6" t="str">
        <f>IFERROR(__xludf.DUMMYFUNCTION("""COMPUTED_VALUE"""),"employee L")</f>
        <v>employee L</v>
      </c>
      <c r="D1233" s="7">
        <f>IFERROR(__xludf.DUMMYFUNCTION("""COMPUTED_VALUE"""),49.0)</f>
        <v>49</v>
      </c>
      <c r="E1233" s="6" t="str">
        <f>IFERROR(__xludf.DUMMYFUNCTION("""COMPUTED_VALUE"""),"No")</f>
        <v>No</v>
      </c>
      <c r="F1233" s="8" t="str">
        <f>IFERROR(__xludf.DUMMYFUNCTION("""COMPUTED_VALUE"""),"No")</f>
        <v>No</v>
      </c>
    </row>
    <row r="1234">
      <c r="A1234" s="5">
        <f>IFERROR(__xludf.DUMMYFUNCTION("""COMPUTED_VALUE"""),44834.0)</f>
        <v>44834</v>
      </c>
      <c r="B1234" s="6" t="str">
        <f>IFERROR(__xludf.DUMMYFUNCTION("""COMPUTED_VALUE"""),"dinner")</f>
        <v>dinner</v>
      </c>
      <c r="C1234" s="6" t="str">
        <f>IFERROR(__xludf.DUMMYFUNCTION("""COMPUTED_VALUE"""),"employee J")</f>
        <v>employee J</v>
      </c>
      <c r="D1234" s="7">
        <f>IFERROR(__xludf.DUMMYFUNCTION("""COMPUTED_VALUE"""),55.14)</f>
        <v>55.14</v>
      </c>
      <c r="E1234" s="6" t="str">
        <f>IFERROR(__xludf.DUMMYFUNCTION("""COMPUTED_VALUE"""),"No")</f>
        <v>No</v>
      </c>
      <c r="F1234" s="8" t="str">
        <f>IFERROR(__xludf.DUMMYFUNCTION("""COMPUTED_VALUE"""),"No")</f>
        <v>No</v>
      </c>
    </row>
    <row r="1235">
      <c r="A1235" s="5">
        <f>IFERROR(__xludf.DUMMYFUNCTION("""COMPUTED_VALUE"""),44834.0)</f>
        <v>44834</v>
      </c>
      <c r="B1235" s="6" t="str">
        <f>IFERROR(__xludf.DUMMYFUNCTION("""COMPUTED_VALUE"""),"dinner")</f>
        <v>dinner</v>
      </c>
      <c r="C1235" s="6" t="str">
        <f>IFERROR(__xludf.DUMMYFUNCTION("""COMPUTED_VALUE"""),"employee H")</f>
        <v>employee H</v>
      </c>
      <c r="D1235" s="7">
        <f>IFERROR(__xludf.DUMMYFUNCTION("""COMPUTED_VALUE"""),55.14)</f>
        <v>55.14</v>
      </c>
      <c r="E1235" s="6" t="str">
        <f>IFERROR(__xludf.DUMMYFUNCTION("""COMPUTED_VALUE"""),"No")</f>
        <v>No</v>
      </c>
      <c r="F1235" s="8" t="str">
        <f>IFERROR(__xludf.DUMMYFUNCTION("""COMPUTED_VALUE"""),"No")</f>
        <v>No</v>
      </c>
    </row>
    <row r="1236">
      <c r="A1236" s="5">
        <f>IFERROR(__xludf.DUMMYFUNCTION("""COMPUTED_VALUE"""),44835.0)</f>
        <v>44835</v>
      </c>
      <c r="B1236" s="6" t="str">
        <f>IFERROR(__xludf.DUMMYFUNCTION("""COMPUTED_VALUE"""),"lunch")</f>
        <v>lunch</v>
      </c>
      <c r="C1236" s="6" t="str">
        <f>IFERROR(__xludf.DUMMYFUNCTION("""COMPUTED_VALUE"""),"employee L")</f>
        <v>employee L</v>
      </c>
      <c r="D1236" s="7">
        <f>IFERROR(__xludf.DUMMYFUNCTION("""COMPUTED_VALUE"""),127.05)</f>
        <v>127.05</v>
      </c>
      <c r="E1236" s="6" t="str">
        <f>IFERROR(__xludf.DUMMYFUNCTION("""COMPUTED_VALUE"""),"No")</f>
        <v>No</v>
      </c>
      <c r="F1236" s="8" t="str">
        <f>IFERROR(__xludf.DUMMYFUNCTION("""COMPUTED_VALUE"""),"No")</f>
        <v>No</v>
      </c>
    </row>
    <row r="1237">
      <c r="A1237" s="5">
        <f>IFERROR(__xludf.DUMMYFUNCTION("""COMPUTED_VALUE"""),44835.0)</f>
        <v>44835</v>
      </c>
      <c r="B1237" s="6" t="str">
        <f>IFERROR(__xludf.DUMMYFUNCTION("""COMPUTED_VALUE"""),"lunch")</f>
        <v>lunch</v>
      </c>
      <c r="C1237" s="6" t="str">
        <f>IFERROR(__xludf.DUMMYFUNCTION("""COMPUTED_VALUE"""),"employee H")</f>
        <v>employee H</v>
      </c>
      <c r="D1237" s="7">
        <f>IFERROR(__xludf.DUMMYFUNCTION("""COMPUTED_VALUE"""),90.75)</f>
        <v>90.75</v>
      </c>
      <c r="E1237" s="6" t="str">
        <f>IFERROR(__xludf.DUMMYFUNCTION("""COMPUTED_VALUE"""),"No")</f>
        <v>No</v>
      </c>
      <c r="F1237" s="8" t="str">
        <f>IFERROR(__xludf.DUMMYFUNCTION("""COMPUTED_VALUE"""),"No")</f>
        <v>No</v>
      </c>
    </row>
    <row r="1238">
      <c r="A1238" s="5">
        <f>IFERROR(__xludf.DUMMYFUNCTION("""COMPUTED_VALUE"""),44835.0)</f>
        <v>44835</v>
      </c>
      <c r="B1238" s="6" t="str">
        <f>IFERROR(__xludf.DUMMYFUNCTION("""COMPUTED_VALUE"""),"lunch")</f>
        <v>lunch</v>
      </c>
      <c r="C1238" s="6" t="str">
        <f>IFERROR(__xludf.DUMMYFUNCTION("""COMPUTED_VALUE"""),"employee G")</f>
        <v>employee G</v>
      </c>
      <c r="D1238" s="7">
        <f>IFERROR(__xludf.DUMMYFUNCTION("""COMPUTED_VALUE"""),54.45)</f>
        <v>54.45</v>
      </c>
      <c r="E1238" s="6" t="str">
        <f>IFERROR(__xludf.DUMMYFUNCTION("""COMPUTED_VALUE"""),"No")</f>
        <v>No</v>
      </c>
      <c r="F1238" s="8" t="str">
        <f>IFERROR(__xludf.DUMMYFUNCTION("""COMPUTED_VALUE"""),"No")</f>
        <v>No</v>
      </c>
    </row>
    <row r="1239">
      <c r="A1239" s="5">
        <f>IFERROR(__xludf.DUMMYFUNCTION("""COMPUTED_VALUE"""),44835.0)</f>
        <v>44835</v>
      </c>
      <c r="B1239" s="6" t="str">
        <f>IFERROR(__xludf.DUMMYFUNCTION("""COMPUTED_VALUE"""),"dinner")</f>
        <v>dinner</v>
      </c>
      <c r="C1239" s="6" t="str">
        <f>IFERROR(__xludf.DUMMYFUNCTION("""COMPUTED_VALUE"""),"employee L")</f>
        <v>employee L</v>
      </c>
      <c r="D1239" s="7">
        <f>IFERROR(__xludf.DUMMYFUNCTION("""COMPUTED_VALUE"""),43.25)</f>
        <v>43.25</v>
      </c>
      <c r="E1239" s="6" t="str">
        <f>IFERROR(__xludf.DUMMYFUNCTION("""COMPUTED_VALUE"""),"No")</f>
        <v>No</v>
      </c>
      <c r="F1239" s="8" t="str">
        <f>IFERROR(__xludf.DUMMYFUNCTION("""COMPUTED_VALUE"""),"No")</f>
        <v>No</v>
      </c>
    </row>
    <row r="1240">
      <c r="A1240" s="5">
        <f>IFERROR(__xludf.DUMMYFUNCTION("""COMPUTED_VALUE"""),44835.0)</f>
        <v>44835</v>
      </c>
      <c r="B1240" s="6" t="str">
        <f>IFERROR(__xludf.DUMMYFUNCTION("""COMPUTED_VALUE"""),"dinner")</f>
        <v>dinner</v>
      </c>
      <c r="C1240" s="6" t="str">
        <f>IFERROR(__xludf.DUMMYFUNCTION("""COMPUTED_VALUE"""),"employee H")</f>
        <v>employee H</v>
      </c>
      <c r="D1240" s="7">
        <f>IFERROR(__xludf.DUMMYFUNCTION("""COMPUTED_VALUE"""),48.66)</f>
        <v>48.66</v>
      </c>
      <c r="E1240" s="6" t="str">
        <f>IFERROR(__xludf.DUMMYFUNCTION("""COMPUTED_VALUE"""),"No")</f>
        <v>No</v>
      </c>
      <c r="F1240" s="8" t="str">
        <f>IFERROR(__xludf.DUMMYFUNCTION("""COMPUTED_VALUE"""),"No")</f>
        <v>No</v>
      </c>
    </row>
    <row r="1241">
      <c r="A1241" s="5">
        <f>IFERROR(__xludf.DUMMYFUNCTION("""COMPUTED_VALUE"""),44835.0)</f>
        <v>44835</v>
      </c>
      <c r="B1241" s="6" t="str">
        <f>IFERROR(__xludf.DUMMYFUNCTION("""COMPUTED_VALUE"""),"dinner")</f>
        <v>dinner</v>
      </c>
      <c r="C1241" s="6" t="str">
        <f>IFERROR(__xludf.DUMMYFUNCTION("""COMPUTED_VALUE"""),"employee J")</f>
        <v>employee J</v>
      </c>
      <c r="D1241" s="7">
        <f>IFERROR(__xludf.DUMMYFUNCTION("""COMPUTED_VALUE"""),48.66)</f>
        <v>48.66</v>
      </c>
      <c r="E1241" s="6" t="str">
        <f>IFERROR(__xludf.DUMMYFUNCTION("""COMPUTED_VALUE"""),"No")</f>
        <v>No</v>
      </c>
      <c r="F1241" s="8" t="str">
        <f>IFERROR(__xludf.DUMMYFUNCTION("""COMPUTED_VALUE"""),"No")</f>
        <v>No</v>
      </c>
    </row>
    <row r="1242">
      <c r="A1242" s="5">
        <f>IFERROR(__xludf.DUMMYFUNCTION("""COMPUTED_VALUE"""),44835.0)</f>
        <v>44835</v>
      </c>
      <c r="B1242" s="6" t="str">
        <f>IFERROR(__xludf.DUMMYFUNCTION("""COMPUTED_VALUE"""),"dinner")</f>
        <v>dinner</v>
      </c>
      <c r="C1242" s="6" t="str">
        <f>IFERROR(__xludf.DUMMYFUNCTION("""COMPUTED_VALUE"""),"employee S")</f>
        <v>employee S</v>
      </c>
      <c r="D1242" s="7">
        <f>IFERROR(__xludf.DUMMYFUNCTION("""COMPUTED_VALUE"""),0.0)</f>
        <v>0</v>
      </c>
      <c r="E1242" s="6" t="str">
        <f>IFERROR(__xludf.DUMMYFUNCTION("""COMPUTED_VALUE"""),"Yes")</f>
        <v>Yes</v>
      </c>
      <c r="F1242" s="8" t="str">
        <f>IFERROR(__xludf.DUMMYFUNCTION("""COMPUTED_VALUE"""),"No")</f>
        <v>No</v>
      </c>
    </row>
    <row r="1243">
      <c r="A1243" s="5">
        <f>IFERROR(__xludf.DUMMYFUNCTION("""COMPUTED_VALUE"""),44836.0)</f>
        <v>44836</v>
      </c>
      <c r="B1243" s="6" t="str">
        <f>IFERROR(__xludf.DUMMYFUNCTION("""COMPUTED_VALUE"""),"lunch")</f>
        <v>lunch</v>
      </c>
      <c r="C1243" s="6" t="str">
        <f>IFERROR(__xludf.DUMMYFUNCTION("""COMPUTED_VALUE"""),"employee L")</f>
        <v>employee L</v>
      </c>
      <c r="D1243" s="7">
        <f>IFERROR(__xludf.DUMMYFUNCTION("""COMPUTED_VALUE"""),89.8)</f>
        <v>89.8</v>
      </c>
      <c r="E1243" s="6" t="str">
        <f>IFERROR(__xludf.DUMMYFUNCTION("""COMPUTED_VALUE"""),"No")</f>
        <v>No</v>
      </c>
      <c r="F1243" s="8" t="str">
        <f>IFERROR(__xludf.DUMMYFUNCTION("""COMPUTED_VALUE"""),"No")</f>
        <v>No</v>
      </c>
    </row>
    <row r="1244">
      <c r="A1244" s="5">
        <f>IFERROR(__xludf.DUMMYFUNCTION("""COMPUTED_VALUE"""),44836.0)</f>
        <v>44836</v>
      </c>
      <c r="B1244" s="6" t="str">
        <f>IFERROR(__xludf.DUMMYFUNCTION("""COMPUTED_VALUE"""),"lunch")</f>
        <v>lunch</v>
      </c>
      <c r="C1244" s="6" t="str">
        <f>IFERROR(__xludf.DUMMYFUNCTION("""COMPUTED_VALUE"""),"employee J")</f>
        <v>employee J</v>
      </c>
      <c r="D1244" s="7">
        <f>IFERROR(__xludf.DUMMYFUNCTION("""COMPUTED_VALUE"""),89.8)</f>
        <v>89.8</v>
      </c>
      <c r="E1244" s="6" t="str">
        <f>IFERROR(__xludf.DUMMYFUNCTION("""COMPUTED_VALUE"""),"No")</f>
        <v>No</v>
      </c>
      <c r="F1244" s="8" t="str">
        <f>IFERROR(__xludf.DUMMYFUNCTION("""COMPUTED_VALUE"""),"No")</f>
        <v>No</v>
      </c>
    </row>
    <row r="1245">
      <c r="A1245" s="5">
        <f>IFERROR(__xludf.DUMMYFUNCTION("""COMPUTED_VALUE"""),44836.0)</f>
        <v>44836</v>
      </c>
      <c r="B1245" s="6" t="str">
        <f>IFERROR(__xludf.DUMMYFUNCTION("""COMPUTED_VALUE"""),"lunch")</f>
        <v>lunch</v>
      </c>
      <c r="C1245" s="6" t="str">
        <f>IFERROR(__xludf.DUMMYFUNCTION("""COMPUTED_VALUE"""),"employee S")</f>
        <v>employee S</v>
      </c>
      <c r="D1245" s="7">
        <f>IFERROR(__xludf.DUMMYFUNCTION("""COMPUTED_VALUE"""),0.0)</f>
        <v>0</v>
      </c>
      <c r="E1245" s="6" t="str">
        <f>IFERROR(__xludf.DUMMYFUNCTION("""COMPUTED_VALUE"""),"Yes")</f>
        <v>Yes</v>
      </c>
      <c r="F1245" s="8" t="str">
        <f>IFERROR(__xludf.DUMMYFUNCTION("""COMPUTED_VALUE"""),"No")</f>
        <v>No</v>
      </c>
    </row>
    <row r="1246">
      <c r="A1246" s="5">
        <f>IFERROR(__xludf.DUMMYFUNCTION("""COMPUTED_VALUE"""),44836.0)</f>
        <v>44836</v>
      </c>
      <c r="B1246" s="6" t="str">
        <f>IFERROR(__xludf.DUMMYFUNCTION("""COMPUTED_VALUE"""),"dinner")</f>
        <v>dinner</v>
      </c>
      <c r="C1246" s="6" t="str">
        <f>IFERROR(__xludf.DUMMYFUNCTION("""COMPUTED_VALUE"""),"employee L")</f>
        <v>employee L</v>
      </c>
      <c r="D1246" s="7">
        <f>IFERROR(__xludf.DUMMYFUNCTION("""COMPUTED_VALUE"""),72.72)</f>
        <v>72.72</v>
      </c>
      <c r="E1246" s="6" t="str">
        <f>IFERROR(__xludf.DUMMYFUNCTION("""COMPUTED_VALUE"""),"No")</f>
        <v>No</v>
      </c>
      <c r="F1246" s="8" t="str">
        <f>IFERROR(__xludf.DUMMYFUNCTION("""COMPUTED_VALUE"""),"No")</f>
        <v>No</v>
      </c>
    </row>
    <row r="1247">
      <c r="A1247" s="5">
        <f>IFERROR(__xludf.DUMMYFUNCTION("""COMPUTED_VALUE"""),44836.0)</f>
        <v>44836</v>
      </c>
      <c r="B1247" s="6" t="str">
        <f>IFERROR(__xludf.DUMMYFUNCTION("""COMPUTED_VALUE"""),"dinner")</f>
        <v>dinner</v>
      </c>
      <c r="C1247" s="6" t="str">
        <f>IFERROR(__xludf.DUMMYFUNCTION("""COMPUTED_VALUE"""),"employee H")</f>
        <v>employee H</v>
      </c>
      <c r="D1247" s="7">
        <f>IFERROR(__xludf.DUMMYFUNCTION("""COMPUTED_VALUE"""),72.73)</f>
        <v>72.73</v>
      </c>
      <c r="E1247" s="6" t="str">
        <f>IFERROR(__xludf.DUMMYFUNCTION("""COMPUTED_VALUE"""),"No")</f>
        <v>No</v>
      </c>
      <c r="F1247" s="8" t="str">
        <f>IFERROR(__xludf.DUMMYFUNCTION("""COMPUTED_VALUE"""),"No")</f>
        <v>No</v>
      </c>
    </row>
    <row r="1248">
      <c r="A1248" s="5">
        <f>IFERROR(__xludf.DUMMYFUNCTION("""COMPUTED_VALUE"""),44836.0)</f>
        <v>44836</v>
      </c>
      <c r="B1248" s="6" t="str">
        <f>IFERROR(__xludf.DUMMYFUNCTION("""COMPUTED_VALUE"""),"dinner")</f>
        <v>dinner</v>
      </c>
      <c r="C1248" s="6" t="str">
        <f>IFERROR(__xludf.DUMMYFUNCTION("""COMPUTED_VALUE"""),"employee R")</f>
        <v>employee R</v>
      </c>
      <c r="D1248" s="7">
        <f>IFERROR(__xludf.DUMMYFUNCTION("""COMPUTED_VALUE"""),72.73)</f>
        <v>72.73</v>
      </c>
      <c r="E1248" s="6" t="str">
        <f>IFERROR(__xludf.DUMMYFUNCTION("""COMPUTED_VALUE"""),"No")</f>
        <v>No</v>
      </c>
      <c r="F1248" s="8" t="str">
        <f>IFERROR(__xludf.DUMMYFUNCTION("""COMPUTED_VALUE"""),"No")</f>
        <v>No</v>
      </c>
    </row>
    <row r="1249">
      <c r="A1249" s="5">
        <f>IFERROR(__xludf.DUMMYFUNCTION("""COMPUTED_VALUE"""),44837.0)</f>
        <v>44837</v>
      </c>
      <c r="B1249" s="6" t="str">
        <f>IFERROR(__xludf.DUMMYFUNCTION("""COMPUTED_VALUE"""),"lunch")</f>
        <v>lunch</v>
      </c>
      <c r="C1249" s="6" t="str">
        <f>IFERROR(__xludf.DUMMYFUNCTION("""COMPUTED_VALUE"""),"employee A")</f>
        <v>employee A</v>
      </c>
      <c r="D1249" s="7">
        <f>IFERROR(__xludf.DUMMYFUNCTION("""COMPUTED_VALUE"""),69.16)</f>
        <v>69.16</v>
      </c>
      <c r="E1249" s="6" t="str">
        <f>IFERROR(__xludf.DUMMYFUNCTION("""COMPUTED_VALUE"""),"No")</f>
        <v>No</v>
      </c>
      <c r="F1249" s="8" t="str">
        <f>IFERROR(__xludf.DUMMYFUNCTION("""COMPUTED_VALUE"""),"No")</f>
        <v>No</v>
      </c>
    </row>
    <row r="1250">
      <c r="A1250" s="5">
        <f>IFERROR(__xludf.DUMMYFUNCTION("""COMPUTED_VALUE"""),44837.0)</f>
        <v>44837</v>
      </c>
      <c r="B1250" s="6" t="str">
        <f>IFERROR(__xludf.DUMMYFUNCTION("""COMPUTED_VALUE"""),"dinner")</f>
        <v>dinner</v>
      </c>
      <c r="C1250" s="6" t="str">
        <f>IFERROR(__xludf.DUMMYFUNCTION("""COMPUTED_VALUE"""),"employee A")</f>
        <v>employee A</v>
      </c>
      <c r="D1250" s="7">
        <f>IFERROR(__xludf.DUMMYFUNCTION("""COMPUTED_VALUE"""),96.05)</f>
        <v>96.05</v>
      </c>
      <c r="E1250" s="6" t="str">
        <f>IFERROR(__xludf.DUMMYFUNCTION("""COMPUTED_VALUE"""),"No")</f>
        <v>No</v>
      </c>
      <c r="F1250" s="8" t="str">
        <f>IFERROR(__xludf.DUMMYFUNCTION("""COMPUTED_VALUE"""),"No")</f>
        <v>No</v>
      </c>
    </row>
    <row r="1251">
      <c r="A1251" s="5">
        <f>IFERROR(__xludf.DUMMYFUNCTION("""COMPUTED_VALUE"""),44837.0)</f>
        <v>44837</v>
      </c>
      <c r="B1251" s="6" t="str">
        <f>IFERROR(__xludf.DUMMYFUNCTION("""COMPUTED_VALUE"""),"dinner")</f>
        <v>dinner</v>
      </c>
      <c r="C1251" s="6" t="str">
        <f>IFERROR(__xludf.DUMMYFUNCTION("""COMPUTED_VALUE"""),"employee G")</f>
        <v>employee G</v>
      </c>
      <c r="D1251" s="7">
        <f>IFERROR(__xludf.DUMMYFUNCTION("""COMPUTED_VALUE"""),74.7)</f>
        <v>74.7</v>
      </c>
      <c r="E1251" s="6" t="str">
        <f>IFERROR(__xludf.DUMMYFUNCTION("""COMPUTED_VALUE"""),"No")</f>
        <v>No</v>
      </c>
      <c r="F1251" s="8" t="str">
        <f>IFERROR(__xludf.DUMMYFUNCTION("""COMPUTED_VALUE"""),"No")</f>
        <v>No</v>
      </c>
    </row>
    <row r="1252">
      <c r="A1252" s="5">
        <f>IFERROR(__xludf.DUMMYFUNCTION("""COMPUTED_VALUE"""),44838.0)</f>
        <v>44838</v>
      </c>
      <c r="B1252" s="6" t="str">
        <f>IFERROR(__xludf.DUMMYFUNCTION("""COMPUTED_VALUE"""),"lunch")</f>
        <v>lunch</v>
      </c>
      <c r="C1252" s="6" t="str">
        <f>IFERROR(__xludf.DUMMYFUNCTION("""COMPUTED_VALUE"""),"employee A")</f>
        <v>employee A</v>
      </c>
      <c r="D1252" s="7">
        <f>IFERROR(__xludf.DUMMYFUNCTION("""COMPUTED_VALUE"""),98.13)</f>
        <v>98.13</v>
      </c>
      <c r="E1252" s="6" t="str">
        <f>IFERROR(__xludf.DUMMYFUNCTION("""COMPUTED_VALUE"""),"No")</f>
        <v>No</v>
      </c>
      <c r="F1252" s="8" t="str">
        <f>IFERROR(__xludf.DUMMYFUNCTION("""COMPUTED_VALUE"""),"No")</f>
        <v>No</v>
      </c>
    </row>
    <row r="1253">
      <c r="A1253" s="5">
        <f>IFERROR(__xludf.DUMMYFUNCTION("""COMPUTED_VALUE"""),44838.0)</f>
        <v>44838</v>
      </c>
      <c r="B1253" s="6" t="str">
        <f>IFERROR(__xludf.DUMMYFUNCTION("""COMPUTED_VALUE"""),"dinner")</f>
        <v>dinner</v>
      </c>
      <c r="C1253" s="6" t="str">
        <f>IFERROR(__xludf.DUMMYFUNCTION("""COMPUTED_VALUE"""),"employee J")</f>
        <v>employee J</v>
      </c>
      <c r="D1253" s="7">
        <f>IFERROR(__xludf.DUMMYFUNCTION("""COMPUTED_VALUE"""),61.46)</f>
        <v>61.46</v>
      </c>
      <c r="E1253" s="6" t="str">
        <f>IFERROR(__xludf.DUMMYFUNCTION("""COMPUTED_VALUE"""),"No")</f>
        <v>No</v>
      </c>
      <c r="F1253" s="8" t="str">
        <f>IFERROR(__xludf.DUMMYFUNCTION("""COMPUTED_VALUE"""),"No")</f>
        <v>No</v>
      </c>
    </row>
    <row r="1254">
      <c r="A1254" s="5">
        <f>IFERROR(__xludf.DUMMYFUNCTION("""COMPUTED_VALUE"""),44838.0)</f>
        <v>44838</v>
      </c>
      <c r="B1254" s="6" t="str">
        <f>IFERROR(__xludf.DUMMYFUNCTION("""COMPUTED_VALUE"""),"dinner")</f>
        <v>dinner</v>
      </c>
      <c r="C1254" s="6" t="str">
        <f>IFERROR(__xludf.DUMMYFUNCTION("""COMPUTED_VALUE"""),"employee R")</f>
        <v>employee R</v>
      </c>
      <c r="D1254" s="7">
        <f>IFERROR(__xludf.DUMMYFUNCTION("""COMPUTED_VALUE"""),54.63)</f>
        <v>54.63</v>
      </c>
      <c r="E1254" s="6" t="str">
        <f>IFERROR(__xludf.DUMMYFUNCTION("""COMPUTED_VALUE"""),"No")</f>
        <v>No</v>
      </c>
      <c r="F1254" s="8" t="str">
        <f>IFERROR(__xludf.DUMMYFUNCTION("""COMPUTED_VALUE"""),"No")</f>
        <v>No</v>
      </c>
    </row>
    <row r="1255">
      <c r="A1255" s="5">
        <f>IFERROR(__xludf.DUMMYFUNCTION("""COMPUTED_VALUE"""),44838.0)</f>
        <v>44838</v>
      </c>
      <c r="B1255" s="6" t="str">
        <f>IFERROR(__xludf.DUMMYFUNCTION("""COMPUTED_VALUE"""),"dinner")</f>
        <v>dinner</v>
      </c>
      <c r="C1255" s="6" t="str">
        <f>IFERROR(__xludf.DUMMYFUNCTION("""COMPUTED_VALUE"""),"employee G")</f>
        <v>employee G</v>
      </c>
      <c r="D1255" s="7">
        <f>IFERROR(__xludf.DUMMYFUNCTION("""COMPUTED_VALUE"""),27.31)</f>
        <v>27.31</v>
      </c>
      <c r="E1255" s="6" t="str">
        <f>IFERROR(__xludf.DUMMYFUNCTION("""COMPUTED_VALUE"""),"No")</f>
        <v>No</v>
      </c>
      <c r="F1255" s="8" t="str">
        <f>IFERROR(__xludf.DUMMYFUNCTION("""COMPUTED_VALUE"""),"No")</f>
        <v>No</v>
      </c>
    </row>
    <row r="1256">
      <c r="A1256" s="5">
        <f>IFERROR(__xludf.DUMMYFUNCTION("""COMPUTED_VALUE"""),44839.0)</f>
        <v>44839</v>
      </c>
      <c r="B1256" s="6" t="str">
        <f>IFERROR(__xludf.DUMMYFUNCTION("""COMPUTED_VALUE"""),"lunch")</f>
        <v>lunch</v>
      </c>
      <c r="C1256" s="6" t="str">
        <f>IFERROR(__xludf.DUMMYFUNCTION("""COMPUTED_VALUE"""),"employee A")</f>
        <v>employee A</v>
      </c>
      <c r="D1256" s="7">
        <f>IFERROR(__xludf.DUMMYFUNCTION("""COMPUTED_VALUE"""),80.06)</f>
        <v>80.06</v>
      </c>
      <c r="E1256" s="6" t="str">
        <f>IFERROR(__xludf.DUMMYFUNCTION("""COMPUTED_VALUE"""),"No")</f>
        <v>No</v>
      </c>
      <c r="F1256" s="8" t="str">
        <f>IFERROR(__xludf.DUMMYFUNCTION("""COMPUTED_VALUE"""),"No")</f>
        <v>No</v>
      </c>
    </row>
    <row r="1257">
      <c r="A1257" s="5">
        <f>IFERROR(__xludf.DUMMYFUNCTION("""COMPUTED_VALUE"""),44839.0)</f>
        <v>44839</v>
      </c>
      <c r="B1257" s="6" t="str">
        <f>IFERROR(__xludf.DUMMYFUNCTION("""COMPUTED_VALUE"""),"dinner")</f>
        <v>dinner</v>
      </c>
      <c r="C1257" s="6" t="str">
        <f>IFERROR(__xludf.DUMMYFUNCTION("""COMPUTED_VALUE"""),"employee J")</f>
        <v>employee J</v>
      </c>
      <c r="D1257" s="7">
        <f>IFERROR(__xludf.DUMMYFUNCTION("""COMPUTED_VALUE"""),111.75)</f>
        <v>111.75</v>
      </c>
      <c r="E1257" s="6" t="str">
        <f>IFERROR(__xludf.DUMMYFUNCTION("""COMPUTED_VALUE"""),"No")</f>
        <v>No</v>
      </c>
      <c r="F1257" s="8" t="str">
        <f>IFERROR(__xludf.DUMMYFUNCTION("""COMPUTED_VALUE"""),"No")</f>
        <v>No</v>
      </c>
    </row>
    <row r="1258">
      <c r="A1258" s="5">
        <f>IFERROR(__xludf.DUMMYFUNCTION("""COMPUTED_VALUE"""),44839.0)</f>
        <v>44839</v>
      </c>
      <c r="B1258" s="6" t="str">
        <f>IFERROR(__xludf.DUMMYFUNCTION("""COMPUTED_VALUE"""),"dinner")</f>
        <v>dinner</v>
      </c>
      <c r="C1258" s="6" t="str">
        <f>IFERROR(__xludf.DUMMYFUNCTION("""COMPUTED_VALUE"""),"employee T")</f>
        <v>employee T</v>
      </c>
      <c r="D1258" s="7">
        <f>IFERROR(__xludf.DUMMYFUNCTION("""COMPUTED_VALUE"""),0.0)</f>
        <v>0</v>
      </c>
      <c r="E1258" s="6" t="str">
        <f>IFERROR(__xludf.DUMMYFUNCTION("""COMPUTED_VALUE"""),"Yes")</f>
        <v>Yes</v>
      </c>
      <c r="F1258" s="8" t="str">
        <f>IFERROR(__xludf.DUMMYFUNCTION("""COMPUTED_VALUE"""),"No")</f>
        <v>No</v>
      </c>
    </row>
    <row r="1259">
      <c r="A1259" s="5">
        <f>IFERROR(__xludf.DUMMYFUNCTION("""COMPUTED_VALUE"""),44839.0)</f>
        <v>44839</v>
      </c>
      <c r="B1259" s="6" t="str">
        <f>IFERROR(__xludf.DUMMYFUNCTION("""COMPUTED_VALUE"""),"dinner")</f>
        <v>dinner</v>
      </c>
      <c r="C1259" s="6" t="str">
        <f>IFERROR(__xludf.DUMMYFUNCTION("""COMPUTED_VALUE"""),"employee G")</f>
        <v>employee G</v>
      </c>
      <c r="D1259" s="7">
        <f>IFERROR(__xludf.DUMMYFUNCTION("""COMPUTED_VALUE"""),86.92)</f>
        <v>86.92</v>
      </c>
      <c r="E1259" s="6" t="str">
        <f>IFERROR(__xludf.DUMMYFUNCTION("""COMPUTED_VALUE"""),"No")</f>
        <v>No</v>
      </c>
      <c r="F1259" s="8" t="str">
        <f>IFERROR(__xludf.DUMMYFUNCTION("""COMPUTED_VALUE"""),"No")</f>
        <v>No</v>
      </c>
    </row>
    <row r="1260">
      <c r="A1260" s="5">
        <f>IFERROR(__xludf.DUMMYFUNCTION("""COMPUTED_VALUE"""),44840.0)</f>
        <v>44840</v>
      </c>
      <c r="B1260" s="6" t="str">
        <f>IFERROR(__xludf.DUMMYFUNCTION("""COMPUTED_VALUE"""),"lunch")</f>
        <v>lunch</v>
      </c>
      <c r="C1260" s="6" t="str">
        <f>IFERROR(__xludf.DUMMYFUNCTION("""COMPUTED_VALUE"""),"employee L")</f>
        <v>employee L</v>
      </c>
      <c r="D1260" s="7">
        <f>IFERROR(__xludf.DUMMYFUNCTION("""COMPUTED_VALUE"""),50.95)</f>
        <v>50.95</v>
      </c>
      <c r="E1260" s="6" t="str">
        <f>IFERROR(__xludf.DUMMYFUNCTION("""COMPUTED_VALUE"""),"No")</f>
        <v>No</v>
      </c>
      <c r="F1260" s="8" t="str">
        <f>IFERROR(__xludf.DUMMYFUNCTION("""COMPUTED_VALUE"""),"No")</f>
        <v>No</v>
      </c>
    </row>
    <row r="1261">
      <c r="A1261" s="5">
        <f>IFERROR(__xludf.DUMMYFUNCTION("""COMPUTED_VALUE"""),44840.0)</f>
        <v>44840</v>
      </c>
      <c r="B1261" s="6" t="str">
        <f>IFERROR(__xludf.DUMMYFUNCTION("""COMPUTED_VALUE"""),"dinner")</f>
        <v>dinner</v>
      </c>
      <c r="C1261" s="6" t="str">
        <f>IFERROR(__xludf.DUMMYFUNCTION("""COMPUTED_VALUE"""),"employee J")</f>
        <v>employee J</v>
      </c>
      <c r="D1261" s="7">
        <f>IFERROR(__xludf.DUMMYFUNCTION("""COMPUTED_VALUE"""),46.77)</f>
        <v>46.77</v>
      </c>
      <c r="E1261" s="6" t="str">
        <f>IFERROR(__xludf.DUMMYFUNCTION("""COMPUTED_VALUE"""),"No")</f>
        <v>No</v>
      </c>
      <c r="F1261" s="8" t="str">
        <f>IFERROR(__xludf.DUMMYFUNCTION("""COMPUTED_VALUE"""),"No")</f>
        <v>No</v>
      </c>
    </row>
    <row r="1262">
      <c r="A1262" s="5">
        <f>IFERROR(__xludf.DUMMYFUNCTION("""COMPUTED_VALUE"""),44840.0)</f>
        <v>44840</v>
      </c>
      <c r="B1262" s="6" t="str">
        <f>IFERROR(__xludf.DUMMYFUNCTION("""COMPUTED_VALUE"""),"dinner")</f>
        <v>dinner</v>
      </c>
      <c r="C1262" s="6" t="str">
        <f>IFERROR(__xludf.DUMMYFUNCTION("""COMPUTED_VALUE"""),"employee H")</f>
        <v>employee H</v>
      </c>
      <c r="D1262" s="7">
        <f>IFERROR(__xludf.DUMMYFUNCTION("""COMPUTED_VALUE"""),41.58)</f>
        <v>41.58</v>
      </c>
      <c r="E1262" s="6" t="str">
        <f>IFERROR(__xludf.DUMMYFUNCTION("""COMPUTED_VALUE"""),"No")</f>
        <v>No</v>
      </c>
      <c r="F1262" s="8" t="str">
        <f>IFERROR(__xludf.DUMMYFUNCTION("""COMPUTED_VALUE"""),"No")</f>
        <v>No</v>
      </c>
    </row>
    <row r="1263">
      <c r="A1263" s="5">
        <f>IFERROR(__xludf.DUMMYFUNCTION("""COMPUTED_VALUE"""),44840.0)</f>
        <v>44840</v>
      </c>
      <c r="B1263" s="6" t="str">
        <f>IFERROR(__xludf.DUMMYFUNCTION("""COMPUTED_VALUE"""),"dinner")</f>
        <v>dinner</v>
      </c>
      <c r="C1263" s="6" t="str">
        <f>IFERROR(__xludf.DUMMYFUNCTION("""COMPUTED_VALUE"""),"employee R")</f>
        <v>employee R</v>
      </c>
      <c r="D1263" s="7">
        <f>IFERROR(__xludf.DUMMYFUNCTION("""COMPUTED_VALUE"""),41.57)</f>
        <v>41.57</v>
      </c>
      <c r="E1263" s="6" t="str">
        <f>IFERROR(__xludf.DUMMYFUNCTION("""COMPUTED_VALUE"""),"No")</f>
        <v>No</v>
      </c>
      <c r="F1263" s="8" t="str">
        <f>IFERROR(__xludf.DUMMYFUNCTION("""COMPUTED_VALUE"""),"No")</f>
        <v>No</v>
      </c>
    </row>
    <row r="1264">
      <c r="A1264" s="5">
        <f>IFERROR(__xludf.DUMMYFUNCTION("""COMPUTED_VALUE"""),44841.0)</f>
        <v>44841</v>
      </c>
      <c r="B1264" s="6" t="str">
        <f>IFERROR(__xludf.DUMMYFUNCTION("""COMPUTED_VALUE"""),"lunch")</f>
        <v>lunch</v>
      </c>
      <c r="C1264" s="6" t="str">
        <f>IFERROR(__xludf.DUMMYFUNCTION("""COMPUTED_VALUE"""),"employee L")</f>
        <v>employee L</v>
      </c>
      <c r="D1264" s="7">
        <f>IFERROR(__xludf.DUMMYFUNCTION("""COMPUTED_VALUE"""),93.45)</f>
        <v>93.45</v>
      </c>
      <c r="E1264" s="6" t="str">
        <f>IFERROR(__xludf.DUMMYFUNCTION("""COMPUTED_VALUE"""),"No")</f>
        <v>No</v>
      </c>
      <c r="F1264" s="8" t="str">
        <f>IFERROR(__xludf.DUMMYFUNCTION("""COMPUTED_VALUE"""),"No")</f>
        <v>No</v>
      </c>
    </row>
    <row r="1265">
      <c r="A1265" s="5">
        <f>IFERROR(__xludf.DUMMYFUNCTION("""COMPUTED_VALUE"""),44841.0)</f>
        <v>44841</v>
      </c>
      <c r="B1265" s="6" t="str">
        <f>IFERROR(__xludf.DUMMYFUNCTION("""COMPUTED_VALUE"""),"lunch")</f>
        <v>lunch</v>
      </c>
      <c r="C1265" s="6" t="str">
        <f>IFERROR(__xludf.DUMMYFUNCTION("""COMPUTED_VALUE"""),"employee H")</f>
        <v>employee H</v>
      </c>
      <c r="D1265" s="7">
        <f>IFERROR(__xludf.DUMMYFUNCTION("""COMPUTED_VALUE"""),74.76)</f>
        <v>74.76</v>
      </c>
      <c r="E1265" s="6" t="str">
        <f>IFERROR(__xludf.DUMMYFUNCTION("""COMPUTED_VALUE"""),"No")</f>
        <v>No</v>
      </c>
      <c r="F1265" s="8" t="str">
        <f>IFERROR(__xludf.DUMMYFUNCTION("""COMPUTED_VALUE"""),"No")</f>
        <v>No</v>
      </c>
    </row>
    <row r="1266">
      <c r="A1266" s="5">
        <f>IFERROR(__xludf.DUMMYFUNCTION("""COMPUTED_VALUE"""),44841.0)</f>
        <v>44841</v>
      </c>
      <c r="B1266" s="6" t="str">
        <f>IFERROR(__xludf.DUMMYFUNCTION("""COMPUTED_VALUE"""),"dinner")</f>
        <v>dinner</v>
      </c>
      <c r="C1266" s="6" t="str">
        <f>IFERROR(__xludf.DUMMYFUNCTION("""COMPUTED_VALUE"""),"employee L")</f>
        <v>employee L</v>
      </c>
      <c r="D1266" s="7">
        <f>IFERROR(__xludf.DUMMYFUNCTION("""COMPUTED_VALUE"""),53.06)</f>
        <v>53.06</v>
      </c>
      <c r="E1266" s="6" t="str">
        <f>IFERROR(__xludf.DUMMYFUNCTION("""COMPUTED_VALUE"""),"No")</f>
        <v>No</v>
      </c>
      <c r="F1266" s="8" t="str">
        <f>IFERROR(__xludf.DUMMYFUNCTION("""COMPUTED_VALUE"""),"No")</f>
        <v>No</v>
      </c>
    </row>
    <row r="1267">
      <c r="A1267" s="5">
        <f>IFERROR(__xludf.DUMMYFUNCTION("""COMPUTED_VALUE"""),44841.0)</f>
        <v>44841</v>
      </c>
      <c r="B1267" s="6" t="str">
        <f>IFERROR(__xludf.DUMMYFUNCTION("""COMPUTED_VALUE"""),"dinner")</f>
        <v>dinner</v>
      </c>
      <c r="C1267" s="6" t="str">
        <f>IFERROR(__xludf.DUMMYFUNCTION("""COMPUTED_VALUE"""),"employee J")</f>
        <v>employee J</v>
      </c>
      <c r="D1267" s="7">
        <f>IFERROR(__xludf.DUMMYFUNCTION("""COMPUTED_VALUE"""),68.21)</f>
        <v>68.21</v>
      </c>
      <c r="E1267" s="6" t="str">
        <f>IFERROR(__xludf.DUMMYFUNCTION("""COMPUTED_VALUE"""),"No")</f>
        <v>No</v>
      </c>
      <c r="F1267" s="8" t="str">
        <f>IFERROR(__xludf.DUMMYFUNCTION("""COMPUTED_VALUE"""),"No")</f>
        <v>No</v>
      </c>
    </row>
    <row r="1268">
      <c r="A1268" s="5">
        <f>IFERROR(__xludf.DUMMYFUNCTION("""COMPUTED_VALUE"""),44841.0)</f>
        <v>44841</v>
      </c>
      <c r="B1268" s="6" t="str">
        <f>IFERROR(__xludf.DUMMYFUNCTION("""COMPUTED_VALUE"""),"dinner")</f>
        <v>dinner</v>
      </c>
      <c r="C1268" s="6" t="str">
        <f>IFERROR(__xludf.DUMMYFUNCTION("""COMPUTED_VALUE"""),"employee T")</f>
        <v>employee T</v>
      </c>
      <c r="D1268" s="7">
        <f>IFERROR(__xludf.DUMMYFUNCTION("""COMPUTED_VALUE"""),0.0)</f>
        <v>0</v>
      </c>
      <c r="E1268" s="6" t="str">
        <f>IFERROR(__xludf.DUMMYFUNCTION("""COMPUTED_VALUE"""),"Yes")</f>
        <v>Yes</v>
      </c>
      <c r="F1268" s="8" t="str">
        <f>IFERROR(__xludf.DUMMYFUNCTION("""COMPUTED_VALUE"""),"No")</f>
        <v>No</v>
      </c>
    </row>
    <row r="1269">
      <c r="A1269" s="5">
        <f>IFERROR(__xludf.DUMMYFUNCTION("""COMPUTED_VALUE"""),44842.0)</f>
        <v>44842</v>
      </c>
      <c r="B1269" s="6" t="str">
        <f>IFERROR(__xludf.DUMMYFUNCTION("""COMPUTED_VALUE"""),"lunch")</f>
        <v>lunch</v>
      </c>
      <c r="C1269" s="6" t="str">
        <f>IFERROR(__xludf.DUMMYFUNCTION("""COMPUTED_VALUE"""),"employee L")</f>
        <v>employee L</v>
      </c>
      <c r="D1269" s="7">
        <f>IFERROR(__xludf.DUMMYFUNCTION("""COMPUTED_VALUE"""),65.4)</f>
        <v>65.4</v>
      </c>
      <c r="E1269" s="6" t="str">
        <f>IFERROR(__xludf.DUMMYFUNCTION("""COMPUTED_VALUE"""),"No")</f>
        <v>No</v>
      </c>
      <c r="F1269" s="8" t="str">
        <f>IFERROR(__xludf.DUMMYFUNCTION("""COMPUTED_VALUE"""),"No")</f>
        <v>No</v>
      </c>
    </row>
    <row r="1270">
      <c r="A1270" s="5">
        <f>IFERROR(__xludf.DUMMYFUNCTION("""COMPUTED_VALUE"""),44842.0)</f>
        <v>44842</v>
      </c>
      <c r="B1270" s="6" t="str">
        <f>IFERROR(__xludf.DUMMYFUNCTION("""COMPUTED_VALUE"""),"lunch")</f>
        <v>lunch</v>
      </c>
      <c r="C1270" s="6" t="str">
        <f>IFERROR(__xludf.DUMMYFUNCTION("""COMPUTED_VALUE"""),"employee H")</f>
        <v>employee H</v>
      </c>
      <c r="D1270" s="7">
        <f>IFERROR(__xludf.DUMMYFUNCTION("""COMPUTED_VALUE"""),51.78)</f>
        <v>51.78</v>
      </c>
      <c r="E1270" s="6" t="str">
        <f>IFERROR(__xludf.DUMMYFUNCTION("""COMPUTED_VALUE"""),"No")</f>
        <v>No</v>
      </c>
      <c r="F1270" s="8" t="str">
        <f>IFERROR(__xludf.DUMMYFUNCTION("""COMPUTED_VALUE"""),"No")</f>
        <v>No</v>
      </c>
    </row>
    <row r="1271">
      <c r="A1271" s="5">
        <f>IFERROR(__xludf.DUMMYFUNCTION("""COMPUTED_VALUE"""),44842.0)</f>
        <v>44842</v>
      </c>
      <c r="B1271" s="6" t="str">
        <f>IFERROR(__xludf.DUMMYFUNCTION("""COMPUTED_VALUE"""),"lunch")</f>
        <v>lunch</v>
      </c>
      <c r="C1271" s="6" t="str">
        <f>IFERROR(__xludf.DUMMYFUNCTION("""COMPUTED_VALUE"""),"employee G")</f>
        <v>employee G</v>
      </c>
      <c r="D1271" s="7">
        <f>IFERROR(__xludf.DUMMYFUNCTION("""COMPUTED_VALUE"""),27.25)</f>
        <v>27.25</v>
      </c>
      <c r="E1271" s="6" t="str">
        <f>IFERROR(__xludf.DUMMYFUNCTION("""COMPUTED_VALUE"""),"No")</f>
        <v>No</v>
      </c>
      <c r="F1271" s="8" t="str">
        <f>IFERROR(__xludf.DUMMYFUNCTION("""COMPUTED_VALUE"""),"No")</f>
        <v>No</v>
      </c>
    </row>
    <row r="1272">
      <c r="A1272" s="5">
        <f>IFERROR(__xludf.DUMMYFUNCTION("""COMPUTED_VALUE"""),44842.0)</f>
        <v>44842</v>
      </c>
      <c r="B1272" s="6" t="str">
        <f>IFERROR(__xludf.DUMMYFUNCTION("""COMPUTED_VALUE"""),"dinner")</f>
        <v>dinner</v>
      </c>
      <c r="C1272" s="6" t="str">
        <f>IFERROR(__xludf.DUMMYFUNCTION("""COMPUTED_VALUE"""),"employee L")</f>
        <v>employee L</v>
      </c>
      <c r="D1272" s="7">
        <f>IFERROR(__xludf.DUMMYFUNCTION("""COMPUTED_VALUE"""),12.57)</f>
        <v>12.57</v>
      </c>
      <c r="E1272" s="6" t="str">
        <f>IFERROR(__xludf.DUMMYFUNCTION("""COMPUTED_VALUE"""),"No")</f>
        <v>No</v>
      </c>
      <c r="F1272" s="8" t="str">
        <f>IFERROR(__xludf.DUMMYFUNCTION("""COMPUTED_VALUE"""),"No")</f>
        <v>No</v>
      </c>
    </row>
    <row r="1273">
      <c r="A1273" s="5">
        <f>IFERROR(__xludf.DUMMYFUNCTION("""COMPUTED_VALUE"""),44842.0)</f>
        <v>44842</v>
      </c>
      <c r="B1273" s="6" t="str">
        <f>IFERROR(__xludf.DUMMYFUNCTION("""COMPUTED_VALUE"""),"dinner")</f>
        <v>dinner</v>
      </c>
      <c r="C1273" s="6" t="str">
        <f>IFERROR(__xludf.DUMMYFUNCTION("""COMPUTED_VALUE"""),"employee H")</f>
        <v>employee H</v>
      </c>
      <c r="D1273" s="7">
        <f>IFERROR(__xludf.DUMMYFUNCTION("""COMPUTED_VALUE"""),113.13)</f>
        <v>113.13</v>
      </c>
      <c r="E1273" s="6" t="str">
        <f>IFERROR(__xludf.DUMMYFUNCTION("""COMPUTED_VALUE"""),"No")</f>
        <v>No</v>
      </c>
      <c r="F1273" s="8" t="str">
        <f>IFERROR(__xludf.DUMMYFUNCTION("""COMPUTED_VALUE"""),"No")</f>
        <v>No</v>
      </c>
    </row>
    <row r="1274">
      <c r="A1274" s="5">
        <f>IFERROR(__xludf.DUMMYFUNCTION("""COMPUTED_VALUE"""),44842.0)</f>
        <v>44842</v>
      </c>
      <c r="B1274" s="6" t="str">
        <f>IFERROR(__xludf.DUMMYFUNCTION("""COMPUTED_VALUE"""),"dinner")</f>
        <v>dinner</v>
      </c>
      <c r="C1274" s="6" t="str">
        <f>IFERROR(__xludf.DUMMYFUNCTION("""COMPUTED_VALUE"""),"employee J")</f>
        <v>employee J</v>
      </c>
      <c r="D1274" s="7">
        <f>IFERROR(__xludf.DUMMYFUNCTION("""COMPUTED_VALUE"""),100.56)</f>
        <v>100.56</v>
      </c>
      <c r="E1274" s="6" t="str">
        <f>IFERROR(__xludf.DUMMYFUNCTION("""COMPUTED_VALUE"""),"No")</f>
        <v>No</v>
      </c>
      <c r="F1274" s="8" t="str">
        <f>IFERROR(__xludf.DUMMYFUNCTION("""COMPUTED_VALUE"""),"No")</f>
        <v>No</v>
      </c>
    </row>
    <row r="1275">
      <c r="A1275" s="5">
        <f>IFERROR(__xludf.DUMMYFUNCTION("""COMPUTED_VALUE"""),44842.0)</f>
        <v>44842</v>
      </c>
      <c r="B1275" s="6" t="str">
        <f>IFERROR(__xludf.DUMMYFUNCTION("""COMPUTED_VALUE"""),"dinner")</f>
        <v>dinner</v>
      </c>
      <c r="C1275" s="6" t="str">
        <f>IFERROR(__xludf.DUMMYFUNCTION("""COMPUTED_VALUE"""),"employee S")</f>
        <v>employee S</v>
      </c>
      <c r="D1275" s="7">
        <f>IFERROR(__xludf.DUMMYFUNCTION("""COMPUTED_VALUE"""),0.0)</f>
        <v>0</v>
      </c>
      <c r="E1275" s="6" t="str">
        <f>IFERROR(__xludf.DUMMYFUNCTION("""COMPUTED_VALUE"""),"Yes")</f>
        <v>Yes</v>
      </c>
      <c r="F1275" s="8" t="str">
        <f>IFERROR(__xludf.DUMMYFUNCTION("""COMPUTED_VALUE"""),"No")</f>
        <v>No</v>
      </c>
    </row>
    <row r="1276">
      <c r="A1276" s="5">
        <f>IFERROR(__xludf.DUMMYFUNCTION("""COMPUTED_VALUE"""),44843.0)</f>
        <v>44843</v>
      </c>
      <c r="B1276" s="6" t="str">
        <f>IFERROR(__xludf.DUMMYFUNCTION("""COMPUTED_VALUE"""),"lunch")</f>
        <v>lunch</v>
      </c>
      <c r="C1276" s="6" t="str">
        <f>IFERROR(__xludf.DUMMYFUNCTION("""COMPUTED_VALUE"""),"employee L")</f>
        <v>employee L</v>
      </c>
      <c r="D1276" s="7">
        <f>IFERROR(__xludf.DUMMYFUNCTION("""COMPUTED_VALUE"""),166.1)</f>
        <v>166.1</v>
      </c>
      <c r="E1276" s="6" t="str">
        <f>IFERROR(__xludf.DUMMYFUNCTION("""COMPUTED_VALUE"""),"No")</f>
        <v>No</v>
      </c>
      <c r="F1276" s="8" t="str">
        <f>IFERROR(__xludf.DUMMYFUNCTION("""COMPUTED_VALUE"""),"No")</f>
        <v>No</v>
      </c>
    </row>
    <row r="1277">
      <c r="A1277" s="5">
        <f>IFERROR(__xludf.DUMMYFUNCTION("""COMPUTED_VALUE"""),44843.0)</f>
        <v>44843</v>
      </c>
      <c r="B1277" s="6" t="str">
        <f>IFERROR(__xludf.DUMMYFUNCTION("""COMPUTED_VALUE"""),"lunch")</f>
        <v>lunch</v>
      </c>
      <c r="C1277" s="6" t="str">
        <f>IFERROR(__xludf.DUMMYFUNCTION("""COMPUTED_VALUE"""),"employee J")</f>
        <v>employee J</v>
      </c>
      <c r="D1277" s="7">
        <f>IFERROR(__xludf.DUMMYFUNCTION("""COMPUTED_VALUE"""),94.91)</f>
        <v>94.91</v>
      </c>
      <c r="E1277" s="6" t="str">
        <f>IFERROR(__xludf.DUMMYFUNCTION("""COMPUTED_VALUE"""),"No")</f>
        <v>No</v>
      </c>
      <c r="F1277" s="8" t="str">
        <f>IFERROR(__xludf.DUMMYFUNCTION("""COMPUTED_VALUE"""),"No")</f>
        <v>No</v>
      </c>
    </row>
    <row r="1278">
      <c r="A1278" s="5">
        <f>IFERROR(__xludf.DUMMYFUNCTION("""COMPUTED_VALUE"""),44843.0)</f>
        <v>44843</v>
      </c>
      <c r="B1278" s="6" t="str">
        <f>IFERROR(__xludf.DUMMYFUNCTION("""COMPUTED_VALUE"""),"lunch")</f>
        <v>lunch</v>
      </c>
      <c r="C1278" s="6" t="str">
        <f>IFERROR(__xludf.DUMMYFUNCTION("""COMPUTED_VALUE"""),"employee T")</f>
        <v>employee T</v>
      </c>
      <c r="D1278" s="7">
        <f>IFERROR(__xludf.DUMMYFUNCTION("""COMPUTED_VALUE"""),0.0)</f>
        <v>0</v>
      </c>
      <c r="E1278" s="6" t="str">
        <f>IFERROR(__xludf.DUMMYFUNCTION("""COMPUTED_VALUE"""),"Yes")</f>
        <v>Yes</v>
      </c>
      <c r="F1278" s="8" t="str">
        <f>IFERROR(__xludf.DUMMYFUNCTION("""COMPUTED_VALUE"""),"No")</f>
        <v>No</v>
      </c>
    </row>
    <row r="1279">
      <c r="A1279" s="5">
        <f>IFERROR(__xludf.DUMMYFUNCTION("""COMPUTED_VALUE"""),44843.0)</f>
        <v>44843</v>
      </c>
      <c r="B1279" s="6" t="str">
        <f>IFERROR(__xludf.DUMMYFUNCTION("""COMPUTED_VALUE"""),"dinner")</f>
        <v>dinner</v>
      </c>
      <c r="C1279" s="6" t="str">
        <f>IFERROR(__xludf.DUMMYFUNCTION("""COMPUTED_VALUE"""),"employee L")</f>
        <v>employee L</v>
      </c>
      <c r="D1279" s="7">
        <f>IFERROR(__xludf.DUMMYFUNCTION("""COMPUTED_VALUE"""),57.83)</f>
        <v>57.83</v>
      </c>
      <c r="E1279" s="6" t="str">
        <f>IFERROR(__xludf.DUMMYFUNCTION("""COMPUTED_VALUE"""),"No")</f>
        <v>No</v>
      </c>
      <c r="F1279" s="8" t="str">
        <f>IFERROR(__xludf.DUMMYFUNCTION("""COMPUTED_VALUE"""),"No")</f>
        <v>No</v>
      </c>
    </row>
    <row r="1280">
      <c r="A1280" s="5">
        <f>IFERROR(__xludf.DUMMYFUNCTION("""COMPUTED_VALUE"""),44843.0)</f>
        <v>44843</v>
      </c>
      <c r="B1280" s="6" t="str">
        <f>IFERROR(__xludf.DUMMYFUNCTION("""COMPUTED_VALUE"""),"dinner")</f>
        <v>dinner</v>
      </c>
      <c r="C1280" s="6" t="str">
        <f>IFERROR(__xludf.DUMMYFUNCTION("""COMPUTED_VALUE"""),"employee H")</f>
        <v>employee H</v>
      </c>
      <c r="D1280" s="7">
        <f>IFERROR(__xludf.DUMMYFUNCTION("""COMPUTED_VALUE"""),57.84)</f>
        <v>57.84</v>
      </c>
      <c r="E1280" s="6" t="str">
        <f>IFERROR(__xludf.DUMMYFUNCTION("""COMPUTED_VALUE"""),"No")</f>
        <v>No</v>
      </c>
      <c r="F1280" s="8" t="str">
        <f>IFERROR(__xludf.DUMMYFUNCTION("""COMPUTED_VALUE"""),"No")</f>
        <v>No</v>
      </c>
    </row>
    <row r="1281">
      <c r="A1281" s="5">
        <f>IFERROR(__xludf.DUMMYFUNCTION("""COMPUTED_VALUE"""),44843.0)</f>
        <v>44843</v>
      </c>
      <c r="B1281" s="6" t="str">
        <f>IFERROR(__xludf.DUMMYFUNCTION("""COMPUTED_VALUE"""),"dinner")</f>
        <v>dinner</v>
      </c>
      <c r="C1281" s="6" t="str">
        <f>IFERROR(__xludf.DUMMYFUNCTION("""COMPUTED_VALUE"""),"employee R")</f>
        <v>employee R</v>
      </c>
      <c r="D1281" s="7">
        <f>IFERROR(__xludf.DUMMYFUNCTION("""COMPUTED_VALUE"""),57.84)</f>
        <v>57.84</v>
      </c>
      <c r="E1281" s="6" t="str">
        <f>IFERROR(__xludf.DUMMYFUNCTION("""COMPUTED_VALUE"""),"No")</f>
        <v>No</v>
      </c>
      <c r="F1281" s="8" t="str">
        <f>IFERROR(__xludf.DUMMYFUNCTION("""COMPUTED_VALUE"""),"No")</f>
        <v>No</v>
      </c>
    </row>
    <row r="1282">
      <c r="A1282" s="5">
        <f>IFERROR(__xludf.DUMMYFUNCTION("""COMPUTED_VALUE"""),44844.0)</f>
        <v>44844</v>
      </c>
      <c r="B1282" s="6" t="str">
        <f>IFERROR(__xludf.DUMMYFUNCTION("""COMPUTED_VALUE"""),"lunch")</f>
        <v>lunch</v>
      </c>
      <c r="C1282" s="6" t="str">
        <f>IFERROR(__xludf.DUMMYFUNCTION("""COMPUTED_VALUE"""),"employee A")</f>
        <v>employee A</v>
      </c>
      <c r="D1282" s="7">
        <f>IFERROR(__xludf.DUMMYFUNCTION("""COMPUTED_VALUE"""),86.34)</f>
        <v>86.34</v>
      </c>
      <c r="E1282" s="6" t="str">
        <f>IFERROR(__xludf.DUMMYFUNCTION("""COMPUTED_VALUE"""),"No")</f>
        <v>No</v>
      </c>
      <c r="F1282" s="8" t="str">
        <f>IFERROR(__xludf.DUMMYFUNCTION("""COMPUTED_VALUE"""),"No")</f>
        <v>No</v>
      </c>
    </row>
    <row r="1283">
      <c r="A1283" s="5">
        <f>IFERROR(__xludf.DUMMYFUNCTION("""COMPUTED_VALUE"""),44844.0)</f>
        <v>44844</v>
      </c>
      <c r="B1283" s="6" t="str">
        <f>IFERROR(__xludf.DUMMYFUNCTION("""COMPUTED_VALUE"""),"dinner")</f>
        <v>dinner</v>
      </c>
      <c r="C1283" s="6" t="str">
        <f>IFERROR(__xludf.DUMMYFUNCTION("""COMPUTED_VALUE"""),"employee A")</f>
        <v>employee A</v>
      </c>
      <c r="D1283" s="7">
        <f>IFERROR(__xludf.DUMMYFUNCTION("""COMPUTED_VALUE"""),78.78)</f>
        <v>78.78</v>
      </c>
      <c r="E1283" s="6" t="str">
        <f>IFERROR(__xludf.DUMMYFUNCTION("""COMPUTED_VALUE"""),"No")</f>
        <v>No</v>
      </c>
      <c r="F1283" s="8" t="str">
        <f>IFERROR(__xludf.DUMMYFUNCTION("""COMPUTED_VALUE"""),"No")</f>
        <v>No</v>
      </c>
    </row>
    <row r="1284">
      <c r="A1284" s="5">
        <f>IFERROR(__xludf.DUMMYFUNCTION("""COMPUTED_VALUE"""),44844.0)</f>
        <v>44844</v>
      </c>
      <c r="B1284" s="6" t="str">
        <f>IFERROR(__xludf.DUMMYFUNCTION("""COMPUTED_VALUE"""),"dinner")</f>
        <v>dinner</v>
      </c>
      <c r="C1284" s="6" t="str">
        <f>IFERROR(__xludf.DUMMYFUNCTION("""COMPUTED_VALUE"""),"employee G")</f>
        <v>employee G</v>
      </c>
      <c r="D1284" s="7">
        <f>IFERROR(__xludf.DUMMYFUNCTION("""COMPUTED_VALUE"""),43.75)</f>
        <v>43.75</v>
      </c>
      <c r="E1284" s="6" t="str">
        <f>IFERROR(__xludf.DUMMYFUNCTION("""COMPUTED_VALUE"""),"No")</f>
        <v>No</v>
      </c>
      <c r="F1284" s="8" t="str">
        <f>IFERROR(__xludf.DUMMYFUNCTION("""COMPUTED_VALUE"""),"No")</f>
        <v>No</v>
      </c>
    </row>
    <row r="1285">
      <c r="A1285" s="5">
        <f>IFERROR(__xludf.DUMMYFUNCTION("""COMPUTED_VALUE"""),44844.0)</f>
        <v>44844</v>
      </c>
      <c r="B1285" s="6" t="str">
        <f>IFERROR(__xludf.DUMMYFUNCTION("""COMPUTED_VALUE"""),"dinner")</f>
        <v>dinner</v>
      </c>
      <c r="C1285" s="6" t="str">
        <f>IFERROR(__xludf.DUMMYFUNCTION("""COMPUTED_VALUE"""),"employee H")</f>
        <v>employee H</v>
      </c>
      <c r="D1285" s="7">
        <f>IFERROR(__xludf.DUMMYFUNCTION("""COMPUTED_VALUE"""),78.79)</f>
        <v>78.79</v>
      </c>
      <c r="E1285" s="6" t="str">
        <f>IFERROR(__xludf.DUMMYFUNCTION("""COMPUTED_VALUE"""),"No")</f>
        <v>No</v>
      </c>
      <c r="F1285" s="8" t="str">
        <f>IFERROR(__xludf.DUMMYFUNCTION("""COMPUTED_VALUE"""),"No")</f>
        <v>No</v>
      </c>
    </row>
    <row r="1286">
      <c r="A1286" s="5">
        <f>IFERROR(__xludf.DUMMYFUNCTION("""COMPUTED_VALUE"""),44845.0)</f>
        <v>44845</v>
      </c>
      <c r="B1286" s="6" t="str">
        <f>IFERROR(__xludf.DUMMYFUNCTION("""COMPUTED_VALUE"""),"lunch")</f>
        <v>lunch</v>
      </c>
      <c r="C1286" s="6" t="str">
        <f>IFERROR(__xludf.DUMMYFUNCTION("""COMPUTED_VALUE"""),"employee A")</f>
        <v>employee A</v>
      </c>
      <c r="D1286" s="7">
        <f>IFERROR(__xludf.DUMMYFUNCTION("""COMPUTED_VALUE"""),72.21)</f>
        <v>72.21</v>
      </c>
      <c r="E1286" s="6" t="str">
        <f>IFERROR(__xludf.DUMMYFUNCTION("""COMPUTED_VALUE"""),"No")</f>
        <v>No</v>
      </c>
      <c r="F1286" s="8" t="str">
        <f>IFERROR(__xludf.DUMMYFUNCTION("""COMPUTED_VALUE"""),"No")</f>
        <v>No</v>
      </c>
    </row>
    <row r="1287">
      <c r="A1287" s="5">
        <f>IFERROR(__xludf.DUMMYFUNCTION("""COMPUTED_VALUE"""),44845.0)</f>
        <v>44845</v>
      </c>
      <c r="B1287" s="6" t="str">
        <f>IFERROR(__xludf.DUMMYFUNCTION("""COMPUTED_VALUE"""),"dinner")</f>
        <v>dinner</v>
      </c>
      <c r="C1287" s="6" t="str">
        <f>IFERROR(__xludf.DUMMYFUNCTION("""COMPUTED_VALUE"""),"employee A")</f>
        <v>employee A</v>
      </c>
      <c r="D1287" s="7">
        <f>IFERROR(__xludf.DUMMYFUNCTION("""COMPUTED_VALUE"""),46.86)</f>
        <v>46.86</v>
      </c>
      <c r="E1287" s="6" t="str">
        <f>IFERROR(__xludf.DUMMYFUNCTION("""COMPUTED_VALUE"""),"No")</f>
        <v>No</v>
      </c>
      <c r="F1287" s="8" t="str">
        <f>IFERROR(__xludf.DUMMYFUNCTION("""COMPUTED_VALUE"""),"No")</f>
        <v>No</v>
      </c>
    </row>
    <row r="1288">
      <c r="A1288" s="5">
        <f>IFERROR(__xludf.DUMMYFUNCTION("""COMPUTED_VALUE"""),44845.0)</f>
        <v>44845</v>
      </c>
      <c r="B1288" s="6" t="str">
        <f>IFERROR(__xludf.DUMMYFUNCTION("""COMPUTED_VALUE"""),"dinner")</f>
        <v>dinner</v>
      </c>
      <c r="C1288" s="6" t="str">
        <f>IFERROR(__xludf.DUMMYFUNCTION("""COMPUTED_VALUE"""),"employee R")</f>
        <v>employee R</v>
      </c>
      <c r="D1288" s="7">
        <f>IFERROR(__xludf.DUMMYFUNCTION("""COMPUTED_VALUE"""),46.81)</f>
        <v>46.81</v>
      </c>
      <c r="E1288" s="6" t="str">
        <f>IFERROR(__xludf.DUMMYFUNCTION("""COMPUTED_VALUE"""),"No")</f>
        <v>No</v>
      </c>
      <c r="F1288" s="8" t="str">
        <f>IFERROR(__xludf.DUMMYFUNCTION("""COMPUTED_VALUE"""),"No")</f>
        <v>No</v>
      </c>
    </row>
    <row r="1289">
      <c r="A1289" s="5">
        <f>IFERROR(__xludf.DUMMYFUNCTION("""COMPUTED_VALUE"""),44845.0)</f>
        <v>44845</v>
      </c>
      <c r="B1289" s="6" t="str">
        <f>IFERROR(__xludf.DUMMYFUNCTION("""COMPUTED_VALUE"""),"dinner")</f>
        <v>dinner</v>
      </c>
      <c r="C1289" s="6" t="str">
        <f>IFERROR(__xludf.DUMMYFUNCTION("""COMPUTED_VALUE"""),"employee G")</f>
        <v>employee G</v>
      </c>
      <c r="D1289" s="7">
        <f>IFERROR(__xludf.DUMMYFUNCTION("""COMPUTED_VALUE"""),15.6)</f>
        <v>15.6</v>
      </c>
      <c r="E1289" s="6" t="str">
        <f>IFERROR(__xludf.DUMMYFUNCTION("""COMPUTED_VALUE"""),"No")</f>
        <v>No</v>
      </c>
      <c r="F1289" s="8" t="str">
        <f>IFERROR(__xludf.DUMMYFUNCTION("""COMPUTED_VALUE"""),"No")</f>
        <v>No</v>
      </c>
    </row>
    <row r="1290">
      <c r="A1290" s="5">
        <f>IFERROR(__xludf.DUMMYFUNCTION("""COMPUTED_VALUE"""),44846.0)</f>
        <v>44846</v>
      </c>
      <c r="B1290" s="6" t="str">
        <f>IFERROR(__xludf.DUMMYFUNCTION("""COMPUTED_VALUE"""),"lunch")</f>
        <v>lunch</v>
      </c>
      <c r="C1290" s="6" t="str">
        <f>IFERROR(__xludf.DUMMYFUNCTION("""COMPUTED_VALUE"""),"employee H")</f>
        <v>employee H</v>
      </c>
      <c r="D1290" s="7">
        <f>IFERROR(__xludf.DUMMYFUNCTION("""COMPUTED_VALUE"""),99.79)</f>
        <v>99.79</v>
      </c>
      <c r="E1290" s="6" t="str">
        <f>IFERROR(__xludf.DUMMYFUNCTION("""COMPUTED_VALUE"""),"No")</f>
        <v>No</v>
      </c>
      <c r="F1290" s="8" t="str">
        <f>IFERROR(__xludf.DUMMYFUNCTION("""COMPUTED_VALUE"""),"No")</f>
        <v>No</v>
      </c>
    </row>
    <row r="1291">
      <c r="A1291" s="5">
        <f>IFERROR(__xludf.DUMMYFUNCTION("""COMPUTED_VALUE"""),44846.0)</f>
        <v>44846</v>
      </c>
      <c r="B1291" s="6" t="str">
        <f>IFERROR(__xludf.DUMMYFUNCTION("""COMPUTED_VALUE"""),"dinner")</f>
        <v>dinner</v>
      </c>
      <c r="C1291" s="6" t="str">
        <f>IFERROR(__xludf.DUMMYFUNCTION("""COMPUTED_VALUE"""),"employee H")</f>
        <v>employee H</v>
      </c>
      <c r="D1291" s="7">
        <f>IFERROR(__xludf.DUMMYFUNCTION("""COMPUTED_VALUE"""),92.75)</f>
        <v>92.75</v>
      </c>
      <c r="E1291" s="6" t="str">
        <f>IFERROR(__xludf.DUMMYFUNCTION("""COMPUTED_VALUE"""),"No")</f>
        <v>No</v>
      </c>
      <c r="F1291" s="8" t="str">
        <f>IFERROR(__xludf.DUMMYFUNCTION("""COMPUTED_VALUE"""),"No")</f>
        <v>No</v>
      </c>
    </row>
    <row r="1292">
      <c r="A1292" s="5">
        <f>IFERROR(__xludf.DUMMYFUNCTION("""COMPUTED_VALUE"""),44846.0)</f>
        <v>44846</v>
      </c>
      <c r="B1292" s="6" t="str">
        <f>IFERROR(__xludf.DUMMYFUNCTION("""COMPUTED_VALUE"""),"dinner")</f>
        <v>dinner</v>
      </c>
      <c r="C1292" s="6" t="str">
        <f>IFERROR(__xludf.DUMMYFUNCTION("""COMPUTED_VALUE"""),"employee J")</f>
        <v>employee J</v>
      </c>
      <c r="D1292" s="7">
        <f>IFERROR(__xludf.DUMMYFUNCTION("""COMPUTED_VALUE"""),92.75)</f>
        <v>92.75</v>
      </c>
      <c r="E1292" s="6" t="str">
        <f>IFERROR(__xludf.DUMMYFUNCTION("""COMPUTED_VALUE"""),"No")</f>
        <v>No</v>
      </c>
      <c r="F1292" s="8" t="str">
        <f>IFERROR(__xludf.DUMMYFUNCTION("""COMPUTED_VALUE"""),"No")</f>
        <v>No</v>
      </c>
    </row>
    <row r="1293">
      <c r="A1293" s="5">
        <f>IFERROR(__xludf.DUMMYFUNCTION("""COMPUTED_VALUE"""),44847.0)</f>
        <v>44847</v>
      </c>
      <c r="B1293" s="6" t="str">
        <f>IFERROR(__xludf.DUMMYFUNCTION("""COMPUTED_VALUE"""),"lunch")</f>
        <v>lunch</v>
      </c>
      <c r="C1293" s="6" t="str">
        <f>IFERROR(__xludf.DUMMYFUNCTION("""COMPUTED_VALUE"""),"employee J")</f>
        <v>employee J</v>
      </c>
      <c r="D1293" s="7">
        <f>IFERROR(__xludf.DUMMYFUNCTION("""COMPUTED_VALUE"""),73.98)</f>
        <v>73.98</v>
      </c>
      <c r="E1293" s="6" t="str">
        <f>IFERROR(__xludf.DUMMYFUNCTION("""COMPUTED_VALUE"""),"No")</f>
        <v>No</v>
      </c>
      <c r="F1293" s="8" t="str">
        <f>IFERROR(__xludf.DUMMYFUNCTION("""COMPUTED_VALUE"""),"No")</f>
        <v>No</v>
      </c>
    </row>
    <row r="1294">
      <c r="A1294" s="5">
        <f>IFERROR(__xludf.DUMMYFUNCTION("""COMPUTED_VALUE"""),44847.0)</f>
        <v>44847</v>
      </c>
      <c r="B1294" s="6" t="str">
        <f>IFERROR(__xludf.DUMMYFUNCTION("""COMPUTED_VALUE"""),"dinner")</f>
        <v>dinner</v>
      </c>
      <c r="C1294" s="6" t="str">
        <f>IFERROR(__xludf.DUMMYFUNCTION("""COMPUTED_VALUE"""),"employee J")</f>
        <v>employee J</v>
      </c>
      <c r="D1294" s="7">
        <f>IFERROR(__xludf.DUMMYFUNCTION("""COMPUTED_VALUE"""),54.38)</f>
        <v>54.38</v>
      </c>
      <c r="E1294" s="6" t="str">
        <f>IFERROR(__xludf.DUMMYFUNCTION("""COMPUTED_VALUE"""),"No")</f>
        <v>No</v>
      </c>
      <c r="F1294" s="8" t="str">
        <f>IFERROR(__xludf.DUMMYFUNCTION("""COMPUTED_VALUE"""),"No")</f>
        <v>No</v>
      </c>
    </row>
    <row r="1295">
      <c r="A1295" s="5">
        <f>IFERROR(__xludf.DUMMYFUNCTION("""COMPUTED_VALUE"""),44847.0)</f>
        <v>44847</v>
      </c>
      <c r="B1295" s="6" t="str">
        <f>IFERROR(__xludf.DUMMYFUNCTION("""COMPUTED_VALUE"""),"dinner")</f>
        <v>dinner</v>
      </c>
      <c r="C1295" s="6" t="str">
        <f>IFERROR(__xludf.DUMMYFUNCTION("""COMPUTED_VALUE"""),"employee T")</f>
        <v>employee T</v>
      </c>
      <c r="D1295" s="7">
        <f>IFERROR(__xludf.DUMMYFUNCTION("""COMPUTED_VALUE"""),33.23)</f>
        <v>33.23</v>
      </c>
      <c r="E1295" s="6" t="str">
        <f>IFERROR(__xludf.DUMMYFUNCTION("""COMPUTED_VALUE"""),"No")</f>
        <v>No</v>
      </c>
      <c r="F1295" s="8" t="str">
        <f>IFERROR(__xludf.DUMMYFUNCTION("""COMPUTED_VALUE"""),"No")</f>
        <v>No</v>
      </c>
    </row>
    <row r="1296">
      <c r="A1296" s="5">
        <f>IFERROR(__xludf.DUMMYFUNCTION("""COMPUTED_VALUE"""),44847.0)</f>
        <v>44847</v>
      </c>
      <c r="B1296" s="6" t="str">
        <f>IFERROR(__xludf.DUMMYFUNCTION("""COMPUTED_VALUE"""),"dinner")</f>
        <v>dinner</v>
      </c>
      <c r="C1296" s="6" t="str">
        <f>IFERROR(__xludf.DUMMYFUNCTION("""COMPUTED_VALUE"""),"employee R")</f>
        <v>employee R</v>
      </c>
      <c r="D1296" s="7">
        <f>IFERROR(__xludf.DUMMYFUNCTION("""COMPUTED_VALUE"""),48.34)</f>
        <v>48.34</v>
      </c>
      <c r="E1296" s="6" t="str">
        <f>IFERROR(__xludf.DUMMYFUNCTION("""COMPUTED_VALUE"""),"No")</f>
        <v>No</v>
      </c>
      <c r="F1296" s="8" t="str">
        <f>IFERROR(__xludf.DUMMYFUNCTION("""COMPUTED_VALUE"""),"No")</f>
        <v>No</v>
      </c>
    </row>
    <row r="1297">
      <c r="A1297" s="5">
        <f>IFERROR(__xludf.DUMMYFUNCTION("""COMPUTED_VALUE"""),44848.0)</f>
        <v>44848</v>
      </c>
      <c r="B1297" s="6" t="str">
        <f>IFERROR(__xludf.DUMMYFUNCTION("""COMPUTED_VALUE"""),"lunch")</f>
        <v>lunch</v>
      </c>
      <c r="C1297" s="6" t="str">
        <f>IFERROR(__xludf.DUMMYFUNCTION("""COMPUTED_VALUE"""),"employee L")</f>
        <v>employee L</v>
      </c>
      <c r="D1297" s="7">
        <f>IFERROR(__xludf.DUMMYFUNCTION("""COMPUTED_VALUE"""),46.67)</f>
        <v>46.67</v>
      </c>
      <c r="E1297" s="6" t="str">
        <f>IFERROR(__xludf.DUMMYFUNCTION("""COMPUTED_VALUE"""),"No")</f>
        <v>No</v>
      </c>
      <c r="F1297" s="8" t="str">
        <f>IFERROR(__xludf.DUMMYFUNCTION("""COMPUTED_VALUE"""),"No")</f>
        <v>No</v>
      </c>
    </row>
    <row r="1298">
      <c r="A1298" s="5">
        <f>IFERROR(__xludf.DUMMYFUNCTION("""COMPUTED_VALUE"""),44848.0)</f>
        <v>44848</v>
      </c>
      <c r="B1298" s="6" t="str">
        <f>IFERROR(__xludf.DUMMYFUNCTION("""COMPUTED_VALUE"""),"lunch")</f>
        <v>lunch</v>
      </c>
      <c r="C1298" s="6" t="str">
        <f>IFERROR(__xludf.DUMMYFUNCTION("""COMPUTED_VALUE"""),"employee H")</f>
        <v>employee H</v>
      </c>
      <c r="D1298" s="7">
        <f>IFERROR(__xludf.DUMMYFUNCTION("""COMPUTED_VALUE"""),28.0)</f>
        <v>28</v>
      </c>
      <c r="E1298" s="6" t="str">
        <f>IFERROR(__xludf.DUMMYFUNCTION("""COMPUTED_VALUE"""),"No")</f>
        <v>No</v>
      </c>
      <c r="F1298" s="8" t="str">
        <f>IFERROR(__xludf.DUMMYFUNCTION("""COMPUTED_VALUE"""),"No")</f>
        <v>No</v>
      </c>
    </row>
    <row r="1299">
      <c r="A1299" s="5">
        <f>IFERROR(__xludf.DUMMYFUNCTION("""COMPUTED_VALUE"""),44848.0)</f>
        <v>44848</v>
      </c>
      <c r="B1299" s="6" t="str">
        <f>IFERROR(__xludf.DUMMYFUNCTION("""COMPUTED_VALUE"""),"dinner")</f>
        <v>dinner</v>
      </c>
      <c r="C1299" s="6" t="str">
        <f>IFERROR(__xludf.DUMMYFUNCTION("""COMPUTED_VALUE"""),"employee L")</f>
        <v>employee L</v>
      </c>
      <c r="D1299" s="7">
        <f>IFERROR(__xludf.DUMMYFUNCTION("""COMPUTED_VALUE"""),33.23)</f>
        <v>33.23</v>
      </c>
      <c r="E1299" s="6" t="str">
        <f>IFERROR(__xludf.DUMMYFUNCTION("""COMPUTED_VALUE"""),"No")</f>
        <v>No</v>
      </c>
      <c r="F1299" s="8" t="str">
        <f>IFERROR(__xludf.DUMMYFUNCTION("""COMPUTED_VALUE"""),"No")</f>
        <v>No</v>
      </c>
    </row>
    <row r="1300">
      <c r="A1300" s="5">
        <f>IFERROR(__xludf.DUMMYFUNCTION("""COMPUTED_VALUE"""),44848.0)</f>
        <v>44848</v>
      </c>
      <c r="B1300" s="6" t="str">
        <f>IFERROR(__xludf.DUMMYFUNCTION("""COMPUTED_VALUE"""),"dinner")</f>
        <v>dinner</v>
      </c>
      <c r="C1300" s="6" t="str">
        <f>IFERROR(__xludf.DUMMYFUNCTION("""COMPUTED_VALUE"""),"employee J")</f>
        <v>employee J</v>
      </c>
      <c r="D1300" s="7">
        <f>IFERROR(__xludf.DUMMYFUNCTION("""COMPUTED_VALUE"""),74.76)</f>
        <v>74.76</v>
      </c>
      <c r="E1300" s="6" t="str">
        <f>IFERROR(__xludf.DUMMYFUNCTION("""COMPUTED_VALUE"""),"No")</f>
        <v>No</v>
      </c>
      <c r="F1300" s="8" t="str">
        <f>IFERROR(__xludf.DUMMYFUNCTION("""COMPUTED_VALUE"""),"No")</f>
        <v>No</v>
      </c>
    </row>
    <row r="1301">
      <c r="A1301" s="5">
        <f>IFERROR(__xludf.DUMMYFUNCTION("""COMPUTED_VALUE"""),44848.0)</f>
        <v>44848</v>
      </c>
      <c r="B1301" s="6" t="str">
        <f>IFERROR(__xludf.DUMMYFUNCTION("""COMPUTED_VALUE"""),"dinner")</f>
        <v>dinner</v>
      </c>
      <c r="C1301" s="6" t="str">
        <f>IFERROR(__xludf.DUMMYFUNCTION("""COMPUTED_VALUE"""),"employee T")</f>
        <v>employee T</v>
      </c>
      <c r="D1301" s="7">
        <f>IFERROR(__xludf.DUMMYFUNCTION("""COMPUTED_VALUE"""),74.76)</f>
        <v>74.76</v>
      </c>
      <c r="E1301" s="6" t="str">
        <f>IFERROR(__xludf.DUMMYFUNCTION("""COMPUTED_VALUE"""),"No")</f>
        <v>No</v>
      </c>
      <c r="F1301" s="8" t="str">
        <f>IFERROR(__xludf.DUMMYFUNCTION("""COMPUTED_VALUE"""),"No")</f>
        <v>No</v>
      </c>
    </row>
    <row r="1302">
      <c r="A1302" s="5">
        <f>IFERROR(__xludf.DUMMYFUNCTION("""COMPUTED_VALUE"""),44849.0)</f>
        <v>44849</v>
      </c>
      <c r="B1302" s="6" t="str">
        <f>IFERROR(__xludf.DUMMYFUNCTION("""COMPUTED_VALUE"""),"lunch")</f>
        <v>lunch</v>
      </c>
      <c r="C1302" s="6" t="str">
        <f>IFERROR(__xludf.DUMMYFUNCTION("""COMPUTED_VALUE"""),"employee L")</f>
        <v>employee L</v>
      </c>
      <c r="D1302" s="7">
        <f>IFERROR(__xludf.DUMMYFUNCTION("""COMPUTED_VALUE"""),74.26)</f>
        <v>74.26</v>
      </c>
      <c r="E1302" s="6" t="str">
        <f>IFERROR(__xludf.DUMMYFUNCTION("""COMPUTED_VALUE"""),"No")</f>
        <v>No</v>
      </c>
      <c r="F1302" s="8" t="str">
        <f>IFERROR(__xludf.DUMMYFUNCTION("""COMPUTED_VALUE"""),"No")</f>
        <v>No</v>
      </c>
    </row>
    <row r="1303">
      <c r="A1303" s="5">
        <f>IFERROR(__xludf.DUMMYFUNCTION("""COMPUTED_VALUE"""),44849.0)</f>
        <v>44849</v>
      </c>
      <c r="B1303" s="6" t="str">
        <f>IFERROR(__xludf.DUMMYFUNCTION("""COMPUTED_VALUE"""),"lunch")</f>
        <v>lunch</v>
      </c>
      <c r="C1303" s="6" t="str">
        <f>IFERROR(__xludf.DUMMYFUNCTION("""COMPUTED_VALUE"""),"employee H")</f>
        <v>employee H</v>
      </c>
      <c r="D1303" s="7">
        <f>IFERROR(__xludf.DUMMYFUNCTION("""COMPUTED_VALUE"""),53.05)</f>
        <v>53.05</v>
      </c>
      <c r="E1303" s="6" t="str">
        <f>IFERROR(__xludf.DUMMYFUNCTION("""COMPUTED_VALUE"""),"No")</f>
        <v>No</v>
      </c>
      <c r="F1303" s="8" t="str">
        <f>IFERROR(__xludf.DUMMYFUNCTION("""COMPUTED_VALUE"""),"No")</f>
        <v>No</v>
      </c>
    </row>
    <row r="1304">
      <c r="A1304" s="5">
        <f>IFERROR(__xludf.DUMMYFUNCTION("""COMPUTED_VALUE"""),44849.0)</f>
        <v>44849</v>
      </c>
      <c r="B1304" s="6" t="str">
        <f>IFERROR(__xludf.DUMMYFUNCTION("""COMPUTED_VALUE"""),"lunch")</f>
        <v>lunch</v>
      </c>
      <c r="C1304" s="6" t="str">
        <f>IFERROR(__xludf.DUMMYFUNCTION("""COMPUTED_VALUE"""),"employee S")</f>
        <v>employee S</v>
      </c>
      <c r="D1304" s="7">
        <f>IFERROR(__xludf.DUMMYFUNCTION("""COMPUTED_VALUE"""),26.52)</f>
        <v>26.52</v>
      </c>
      <c r="E1304" s="6" t="str">
        <f>IFERROR(__xludf.DUMMYFUNCTION("""COMPUTED_VALUE"""),"No")</f>
        <v>No</v>
      </c>
      <c r="F1304" s="8" t="str">
        <f>IFERROR(__xludf.DUMMYFUNCTION("""COMPUTED_VALUE"""),"No")</f>
        <v>No</v>
      </c>
    </row>
    <row r="1305">
      <c r="A1305" s="5">
        <f>IFERROR(__xludf.DUMMYFUNCTION("""COMPUTED_VALUE"""),44849.0)</f>
        <v>44849</v>
      </c>
      <c r="B1305" s="6" t="str">
        <f>IFERROR(__xludf.DUMMYFUNCTION("""COMPUTED_VALUE"""),"dinner")</f>
        <v>dinner</v>
      </c>
      <c r="C1305" s="6" t="str">
        <f>IFERROR(__xludf.DUMMYFUNCTION("""COMPUTED_VALUE"""),"employee L")</f>
        <v>employee L</v>
      </c>
      <c r="D1305" s="7">
        <f>IFERROR(__xludf.DUMMYFUNCTION("""COMPUTED_VALUE"""),35.75)</f>
        <v>35.75</v>
      </c>
      <c r="E1305" s="6" t="str">
        <f>IFERROR(__xludf.DUMMYFUNCTION("""COMPUTED_VALUE"""),"No")</f>
        <v>No</v>
      </c>
      <c r="F1305" s="8" t="str">
        <f>IFERROR(__xludf.DUMMYFUNCTION("""COMPUTED_VALUE"""),"No")</f>
        <v>No</v>
      </c>
    </row>
    <row r="1306">
      <c r="A1306" s="5">
        <f>IFERROR(__xludf.DUMMYFUNCTION("""COMPUTED_VALUE"""),44849.0)</f>
        <v>44849</v>
      </c>
      <c r="B1306" s="6" t="str">
        <f>IFERROR(__xludf.DUMMYFUNCTION("""COMPUTED_VALUE"""),"dinner")</f>
        <v>dinner</v>
      </c>
      <c r="C1306" s="6" t="str">
        <f>IFERROR(__xludf.DUMMYFUNCTION("""COMPUTED_VALUE"""),"employee H")</f>
        <v>employee H</v>
      </c>
      <c r="D1306" s="7">
        <f>IFERROR(__xludf.DUMMYFUNCTION("""COMPUTED_VALUE"""),33.76)</f>
        <v>33.76</v>
      </c>
      <c r="E1306" s="6" t="str">
        <f>IFERROR(__xludf.DUMMYFUNCTION("""COMPUTED_VALUE"""),"No")</f>
        <v>No</v>
      </c>
      <c r="F1306" s="8" t="str">
        <f>IFERROR(__xludf.DUMMYFUNCTION("""COMPUTED_VALUE"""),"No")</f>
        <v>No</v>
      </c>
    </row>
    <row r="1307">
      <c r="A1307" s="5">
        <f>IFERROR(__xludf.DUMMYFUNCTION("""COMPUTED_VALUE"""),44849.0)</f>
        <v>44849</v>
      </c>
      <c r="B1307" s="6" t="str">
        <f>IFERROR(__xludf.DUMMYFUNCTION("""COMPUTED_VALUE"""),"dinner")</f>
        <v>dinner</v>
      </c>
      <c r="C1307" s="6" t="str">
        <f>IFERROR(__xludf.DUMMYFUNCTION("""COMPUTED_VALUE"""),"employee J")</f>
        <v>employee J</v>
      </c>
      <c r="D1307" s="7">
        <f>IFERROR(__xludf.DUMMYFUNCTION("""COMPUTED_VALUE"""),19.86)</f>
        <v>19.86</v>
      </c>
      <c r="E1307" s="6" t="str">
        <f>IFERROR(__xludf.DUMMYFUNCTION("""COMPUTED_VALUE"""),"No")</f>
        <v>No</v>
      </c>
      <c r="F1307" s="8" t="str">
        <f>IFERROR(__xludf.DUMMYFUNCTION("""COMPUTED_VALUE"""),"No")</f>
        <v>No</v>
      </c>
    </row>
    <row r="1308">
      <c r="A1308" s="5">
        <f>IFERROR(__xludf.DUMMYFUNCTION("""COMPUTED_VALUE"""),44850.0)</f>
        <v>44850</v>
      </c>
      <c r="B1308" s="6" t="str">
        <f>IFERROR(__xludf.DUMMYFUNCTION("""COMPUTED_VALUE"""),"lunch")</f>
        <v>lunch</v>
      </c>
      <c r="C1308" s="6" t="str">
        <f>IFERROR(__xludf.DUMMYFUNCTION("""COMPUTED_VALUE"""),"employee L")</f>
        <v>employee L</v>
      </c>
      <c r="D1308" s="7">
        <f>IFERROR(__xludf.DUMMYFUNCTION("""COMPUTED_VALUE"""),166.66)</f>
        <v>166.66</v>
      </c>
      <c r="E1308" s="6" t="str">
        <f>IFERROR(__xludf.DUMMYFUNCTION("""COMPUTED_VALUE"""),"No")</f>
        <v>No</v>
      </c>
      <c r="F1308" s="8" t="str">
        <f>IFERROR(__xludf.DUMMYFUNCTION("""COMPUTED_VALUE"""),"No")</f>
        <v>No</v>
      </c>
    </row>
    <row r="1309">
      <c r="A1309" s="5">
        <f>IFERROR(__xludf.DUMMYFUNCTION("""COMPUTED_VALUE"""),44850.0)</f>
        <v>44850</v>
      </c>
      <c r="B1309" s="6" t="str">
        <f>IFERROR(__xludf.DUMMYFUNCTION("""COMPUTED_VALUE"""),"lunch")</f>
        <v>lunch</v>
      </c>
      <c r="C1309" s="6" t="str">
        <f>IFERROR(__xludf.DUMMYFUNCTION("""COMPUTED_VALUE"""),"employee T")</f>
        <v>employee T</v>
      </c>
      <c r="D1309" s="7">
        <f>IFERROR(__xludf.DUMMYFUNCTION("""COMPUTED_VALUE"""),77.37)</f>
        <v>77.37</v>
      </c>
      <c r="E1309" s="6" t="str">
        <f>IFERROR(__xludf.DUMMYFUNCTION("""COMPUTED_VALUE"""),"No")</f>
        <v>No</v>
      </c>
      <c r="F1309" s="8" t="str">
        <f>IFERROR(__xludf.DUMMYFUNCTION("""COMPUTED_VALUE"""),"No")</f>
        <v>No</v>
      </c>
    </row>
    <row r="1310">
      <c r="A1310" s="5">
        <f>IFERROR(__xludf.DUMMYFUNCTION("""COMPUTED_VALUE"""),44850.0)</f>
        <v>44850</v>
      </c>
      <c r="B1310" s="6" t="str">
        <f>IFERROR(__xludf.DUMMYFUNCTION("""COMPUTED_VALUE"""),"lunch")</f>
        <v>lunch</v>
      </c>
      <c r="C1310" s="6" t="str">
        <f>IFERROR(__xludf.DUMMYFUNCTION("""COMPUTED_VALUE"""),"employee S")</f>
        <v>employee S</v>
      </c>
      <c r="D1310" s="7">
        <f>IFERROR(__xludf.DUMMYFUNCTION("""COMPUTED_VALUE"""),101.18)</f>
        <v>101.18</v>
      </c>
      <c r="E1310" s="6" t="str">
        <f>IFERROR(__xludf.DUMMYFUNCTION("""COMPUTED_VALUE"""),"No")</f>
        <v>No</v>
      </c>
      <c r="F1310" s="8" t="str">
        <f>IFERROR(__xludf.DUMMYFUNCTION("""COMPUTED_VALUE"""),"No")</f>
        <v>No</v>
      </c>
    </row>
    <row r="1311">
      <c r="A1311" s="5">
        <f>IFERROR(__xludf.DUMMYFUNCTION("""COMPUTED_VALUE"""),44850.0)</f>
        <v>44850</v>
      </c>
      <c r="B1311" s="6" t="str">
        <f>IFERROR(__xludf.DUMMYFUNCTION("""COMPUTED_VALUE"""),"dinner")</f>
        <v>dinner</v>
      </c>
      <c r="C1311" s="6" t="str">
        <f>IFERROR(__xludf.DUMMYFUNCTION("""COMPUTED_VALUE"""),"employee L")</f>
        <v>employee L</v>
      </c>
      <c r="D1311" s="7">
        <f>IFERROR(__xludf.DUMMYFUNCTION("""COMPUTED_VALUE"""),101.58)</f>
        <v>101.58</v>
      </c>
      <c r="E1311" s="6" t="str">
        <f>IFERROR(__xludf.DUMMYFUNCTION("""COMPUTED_VALUE"""),"No")</f>
        <v>No</v>
      </c>
      <c r="F1311" s="8" t="str">
        <f>IFERROR(__xludf.DUMMYFUNCTION("""COMPUTED_VALUE"""),"No")</f>
        <v>No</v>
      </c>
    </row>
    <row r="1312">
      <c r="A1312" s="5">
        <f>IFERROR(__xludf.DUMMYFUNCTION("""COMPUTED_VALUE"""),44850.0)</f>
        <v>44850</v>
      </c>
      <c r="B1312" s="6" t="str">
        <f>IFERROR(__xludf.DUMMYFUNCTION("""COMPUTED_VALUE"""),"dinner")</f>
        <v>dinner</v>
      </c>
      <c r="C1312" s="6" t="str">
        <f>IFERROR(__xludf.DUMMYFUNCTION("""COMPUTED_VALUE"""),"employee R")</f>
        <v>employee R</v>
      </c>
      <c r="D1312" s="7">
        <f>IFERROR(__xludf.DUMMYFUNCTION("""COMPUTED_VALUE"""),101.58)</f>
        <v>101.58</v>
      </c>
      <c r="E1312" s="6" t="str">
        <f>IFERROR(__xludf.DUMMYFUNCTION("""COMPUTED_VALUE"""),"No")</f>
        <v>No</v>
      </c>
      <c r="F1312" s="8" t="str">
        <f>IFERROR(__xludf.DUMMYFUNCTION("""COMPUTED_VALUE"""),"No")</f>
        <v>No</v>
      </c>
    </row>
    <row r="1313">
      <c r="A1313" s="5">
        <f>IFERROR(__xludf.DUMMYFUNCTION("""COMPUTED_VALUE"""),44851.0)</f>
        <v>44851</v>
      </c>
      <c r="B1313" s="6" t="str">
        <f>IFERROR(__xludf.DUMMYFUNCTION("""COMPUTED_VALUE"""),"lunch")</f>
        <v>lunch</v>
      </c>
      <c r="C1313" s="6" t="str">
        <f>IFERROR(__xludf.DUMMYFUNCTION("""COMPUTED_VALUE"""),"employee A")</f>
        <v>employee A</v>
      </c>
      <c r="D1313" s="7">
        <f>IFERROR(__xludf.DUMMYFUNCTION("""COMPUTED_VALUE"""),139.77)</f>
        <v>139.77</v>
      </c>
      <c r="E1313" s="6" t="str">
        <f>IFERROR(__xludf.DUMMYFUNCTION("""COMPUTED_VALUE"""),"No")</f>
        <v>No</v>
      </c>
      <c r="F1313" s="8" t="str">
        <f>IFERROR(__xludf.DUMMYFUNCTION("""COMPUTED_VALUE"""),"No")</f>
        <v>No</v>
      </c>
    </row>
    <row r="1314">
      <c r="A1314" s="5">
        <f>IFERROR(__xludf.DUMMYFUNCTION("""COMPUTED_VALUE"""),44851.0)</f>
        <v>44851</v>
      </c>
      <c r="B1314" s="6" t="str">
        <f>IFERROR(__xludf.DUMMYFUNCTION("""COMPUTED_VALUE"""),"dinner")</f>
        <v>dinner</v>
      </c>
      <c r="C1314" s="6" t="str">
        <f>IFERROR(__xludf.DUMMYFUNCTION("""COMPUTED_VALUE"""),"employee A")</f>
        <v>employee A</v>
      </c>
      <c r="D1314" s="7">
        <f>IFERROR(__xludf.DUMMYFUNCTION("""COMPUTED_VALUE"""),42.02)</f>
        <v>42.02</v>
      </c>
      <c r="E1314" s="6" t="str">
        <f>IFERROR(__xludf.DUMMYFUNCTION("""COMPUTED_VALUE"""),"No")</f>
        <v>No</v>
      </c>
      <c r="F1314" s="8" t="str">
        <f>IFERROR(__xludf.DUMMYFUNCTION("""COMPUTED_VALUE"""),"No")</f>
        <v>No</v>
      </c>
    </row>
    <row r="1315">
      <c r="A1315" s="5">
        <f>IFERROR(__xludf.DUMMYFUNCTION("""COMPUTED_VALUE"""),44851.0)</f>
        <v>44851</v>
      </c>
      <c r="B1315" s="6" t="str">
        <f>IFERROR(__xludf.DUMMYFUNCTION("""COMPUTED_VALUE"""),"dinner")</f>
        <v>dinner</v>
      </c>
      <c r="C1315" s="6" t="str">
        <f>IFERROR(__xludf.DUMMYFUNCTION("""COMPUTED_VALUE"""),"employee J")</f>
        <v>employee J</v>
      </c>
      <c r="D1315" s="7">
        <f>IFERROR(__xludf.DUMMYFUNCTION("""COMPUTED_VALUE"""),63.03)</f>
        <v>63.03</v>
      </c>
      <c r="E1315" s="6" t="str">
        <f>IFERROR(__xludf.DUMMYFUNCTION("""COMPUTED_VALUE"""),"No")</f>
        <v>No</v>
      </c>
      <c r="F1315" s="8" t="str">
        <f>IFERROR(__xludf.DUMMYFUNCTION("""COMPUTED_VALUE"""),"No")</f>
        <v>No</v>
      </c>
    </row>
    <row r="1316">
      <c r="A1316" s="5">
        <f>IFERROR(__xludf.DUMMYFUNCTION("""COMPUTED_VALUE"""),44851.0)</f>
        <v>44851</v>
      </c>
      <c r="B1316" s="6" t="str">
        <f>IFERROR(__xludf.DUMMYFUNCTION("""COMPUTED_VALUE"""),"dinner")</f>
        <v>dinner</v>
      </c>
      <c r="C1316" s="6" t="str">
        <f>IFERROR(__xludf.DUMMYFUNCTION("""COMPUTED_VALUE"""),"employee G")</f>
        <v>employee G</v>
      </c>
      <c r="D1316" s="7">
        <f>IFERROR(__xludf.DUMMYFUNCTION("""COMPUTED_VALUE"""),49.02)</f>
        <v>49.02</v>
      </c>
      <c r="E1316" s="6" t="str">
        <f>IFERROR(__xludf.DUMMYFUNCTION("""COMPUTED_VALUE"""),"No")</f>
        <v>No</v>
      </c>
      <c r="F1316" s="8" t="str">
        <f>IFERROR(__xludf.DUMMYFUNCTION("""COMPUTED_VALUE"""),"No")</f>
        <v>No</v>
      </c>
    </row>
    <row r="1317">
      <c r="A1317" s="5">
        <f>IFERROR(__xludf.DUMMYFUNCTION("""COMPUTED_VALUE"""),44852.0)</f>
        <v>44852</v>
      </c>
      <c r="B1317" s="6" t="str">
        <f>IFERROR(__xludf.DUMMYFUNCTION("""COMPUTED_VALUE"""),"lunch")</f>
        <v>lunch</v>
      </c>
      <c r="C1317" s="6" t="str">
        <f>IFERROR(__xludf.DUMMYFUNCTION("""COMPUTED_VALUE"""),"employee A")</f>
        <v>employee A</v>
      </c>
      <c r="D1317" s="7">
        <f>IFERROR(__xludf.DUMMYFUNCTION("""COMPUTED_VALUE"""),62.75)</f>
        <v>62.75</v>
      </c>
      <c r="E1317" s="6" t="str">
        <f>IFERROR(__xludf.DUMMYFUNCTION("""COMPUTED_VALUE"""),"No")</f>
        <v>No</v>
      </c>
      <c r="F1317" s="8" t="str">
        <f>IFERROR(__xludf.DUMMYFUNCTION("""COMPUTED_VALUE"""),"No")</f>
        <v>No</v>
      </c>
    </row>
    <row r="1318">
      <c r="A1318" s="5">
        <f>IFERROR(__xludf.DUMMYFUNCTION("""COMPUTED_VALUE"""),44852.0)</f>
        <v>44852</v>
      </c>
      <c r="B1318" s="6" t="str">
        <f>IFERROR(__xludf.DUMMYFUNCTION("""COMPUTED_VALUE"""),"dinner")</f>
        <v>dinner</v>
      </c>
      <c r="C1318" s="6" t="str">
        <f>IFERROR(__xludf.DUMMYFUNCTION("""COMPUTED_VALUE"""),"employee A")</f>
        <v>employee A</v>
      </c>
      <c r="D1318" s="7">
        <f>IFERROR(__xludf.DUMMYFUNCTION("""COMPUTED_VALUE"""),41.53)</f>
        <v>41.53</v>
      </c>
      <c r="E1318" s="6" t="str">
        <f>IFERROR(__xludf.DUMMYFUNCTION("""COMPUTED_VALUE"""),"No")</f>
        <v>No</v>
      </c>
      <c r="F1318" s="8" t="str">
        <f>IFERROR(__xludf.DUMMYFUNCTION("""COMPUTED_VALUE"""),"No")</f>
        <v>No</v>
      </c>
    </row>
    <row r="1319">
      <c r="A1319" s="5">
        <f>IFERROR(__xludf.DUMMYFUNCTION("""COMPUTED_VALUE"""),44852.0)</f>
        <v>44852</v>
      </c>
      <c r="B1319" s="6" t="str">
        <f>IFERROR(__xludf.DUMMYFUNCTION("""COMPUTED_VALUE"""),"dinner")</f>
        <v>dinner</v>
      </c>
      <c r="C1319" s="6" t="str">
        <f>IFERROR(__xludf.DUMMYFUNCTION("""COMPUTED_VALUE"""),"employee G")</f>
        <v>employee G</v>
      </c>
      <c r="D1319" s="7">
        <f>IFERROR(__xludf.DUMMYFUNCTION("""COMPUTED_VALUE"""),41.54)</f>
        <v>41.54</v>
      </c>
      <c r="E1319" s="6" t="str">
        <f>IFERROR(__xludf.DUMMYFUNCTION("""COMPUTED_VALUE"""),"No")</f>
        <v>No</v>
      </c>
      <c r="F1319" s="8" t="str">
        <f>IFERROR(__xludf.DUMMYFUNCTION("""COMPUTED_VALUE"""),"No")</f>
        <v>No</v>
      </c>
    </row>
    <row r="1320">
      <c r="A1320" s="5">
        <f>IFERROR(__xludf.DUMMYFUNCTION("""COMPUTED_VALUE"""),44852.0)</f>
        <v>44852</v>
      </c>
      <c r="B1320" s="6" t="str">
        <f>IFERROR(__xludf.DUMMYFUNCTION("""COMPUTED_VALUE"""),"dinner")</f>
        <v>dinner</v>
      </c>
      <c r="C1320" s="6" t="str">
        <f>IFERROR(__xludf.DUMMYFUNCTION("""COMPUTED_VALUE"""),"employee R")</f>
        <v>employee R</v>
      </c>
      <c r="D1320" s="7">
        <f>IFERROR(__xludf.DUMMYFUNCTION("""COMPUTED_VALUE"""),18.44)</f>
        <v>18.44</v>
      </c>
      <c r="E1320" s="6" t="str">
        <f>IFERROR(__xludf.DUMMYFUNCTION("""COMPUTED_VALUE"""),"No")</f>
        <v>No</v>
      </c>
      <c r="F1320" s="8" t="str">
        <f>IFERROR(__xludf.DUMMYFUNCTION("""COMPUTED_VALUE"""),"No")</f>
        <v>No</v>
      </c>
    </row>
    <row r="1321">
      <c r="A1321" s="5">
        <f>IFERROR(__xludf.DUMMYFUNCTION("""COMPUTED_VALUE"""),44853.0)</f>
        <v>44853</v>
      </c>
      <c r="B1321" s="6" t="str">
        <f>IFERROR(__xludf.DUMMYFUNCTION("""COMPUTED_VALUE"""),"lunch")</f>
        <v>lunch</v>
      </c>
      <c r="C1321" s="6" t="str">
        <f>IFERROR(__xludf.DUMMYFUNCTION("""COMPUTED_VALUE"""),"employee J")</f>
        <v>employee J</v>
      </c>
      <c r="D1321" s="7">
        <f>IFERROR(__xludf.DUMMYFUNCTION("""COMPUTED_VALUE"""),78.98)</f>
        <v>78.98</v>
      </c>
      <c r="E1321" s="6" t="str">
        <f>IFERROR(__xludf.DUMMYFUNCTION("""COMPUTED_VALUE"""),"No")</f>
        <v>No</v>
      </c>
      <c r="F1321" s="8" t="str">
        <f>IFERROR(__xludf.DUMMYFUNCTION("""COMPUTED_VALUE"""),"No")</f>
        <v>No</v>
      </c>
    </row>
    <row r="1322">
      <c r="A1322" s="5">
        <f>IFERROR(__xludf.DUMMYFUNCTION("""COMPUTED_VALUE"""),44853.0)</f>
        <v>44853</v>
      </c>
      <c r="B1322" s="6" t="str">
        <f>IFERROR(__xludf.DUMMYFUNCTION("""COMPUTED_VALUE"""),"dinner")</f>
        <v>dinner</v>
      </c>
      <c r="C1322" s="6" t="str">
        <f>IFERROR(__xludf.DUMMYFUNCTION("""COMPUTED_VALUE"""),"employee J")</f>
        <v>employee J</v>
      </c>
      <c r="D1322" s="7">
        <f>IFERROR(__xludf.DUMMYFUNCTION("""COMPUTED_VALUE"""),41.32)</f>
        <v>41.32</v>
      </c>
      <c r="E1322" s="6" t="str">
        <f>IFERROR(__xludf.DUMMYFUNCTION("""COMPUTED_VALUE"""),"No")</f>
        <v>No</v>
      </c>
      <c r="F1322" s="8" t="str">
        <f>IFERROR(__xludf.DUMMYFUNCTION("""COMPUTED_VALUE"""),"No")</f>
        <v>No</v>
      </c>
    </row>
    <row r="1323">
      <c r="A1323" s="5">
        <f>IFERROR(__xludf.DUMMYFUNCTION("""COMPUTED_VALUE"""),44853.0)</f>
        <v>44853</v>
      </c>
      <c r="B1323" s="6" t="str">
        <f>IFERROR(__xludf.DUMMYFUNCTION("""COMPUTED_VALUE"""),"dinner")</f>
        <v>dinner</v>
      </c>
      <c r="C1323" s="6" t="str">
        <f>IFERROR(__xludf.DUMMYFUNCTION("""COMPUTED_VALUE"""),"employee R")</f>
        <v>employee R</v>
      </c>
      <c r="D1323" s="7">
        <f>IFERROR(__xludf.DUMMYFUNCTION("""COMPUTED_VALUE"""),27.55)</f>
        <v>27.55</v>
      </c>
      <c r="E1323" s="6" t="str">
        <f>IFERROR(__xludf.DUMMYFUNCTION("""COMPUTED_VALUE"""),"No")</f>
        <v>No</v>
      </c>
      <c r="F1323" s="8" t="str">
        <f>IFERROR(__xludf.DUMMYFUNCTION("""COMPUTED_VALUE"""),"No")</f>
        <v>No</v>
      </c>
    </row>
    <row r="1324">
      <c r="A1324" s="5">
        <f>IFERROR(__xludf.DUMMYFUNCTION("""COMPUTED_VALUE"""),44853.0)</f>
        <v>44853</v>
      </c>
      <c r="B1324" s="6" t="str">
        <f>IFERROR(__xludf.DUMMYFUNCTION("""COMPUTED_VALUE"""),"dinner")</f>
        <v>dinner</v>
      </c>
      <c r="C1324" s="6" t="str">
        <f>IFERROR(__xludf.DUMMYFUNCTION("""COMPUTED_VALUE"""),"employee S")</f>
        <v>employee S</v>
      </c>
      <c r="D1324" s="7">
        <f>IFERROR(__xludf.DUMMYFUNCTION("""COMPUTED_VALUE"""),22.96)</f>
        <v>22.96</v>
      </c>
      <c r="E1324" s="6" t="str">
        <f>IFERROR(__xludf.DUMMYFUNCTION("""COMPUTED_VALUE"""),"No")</f>
        <v>No</v>
      </c>
      <c r="F1324" s="8" t="str">
        <f>IFERROR(__xludf.DUMMYFUNCTION("""COMPUTED_VALUE"""),"No")</f>
        <v>No</v>
      </c>
    </row>
    <row r="1325">
      <c r="A1325" s="5">
        <f>IFERROR(__xludf.DUMMYFUNCTION("""COMPUTED_VALUE"""),44854.0)</f>
        <v>44854</v>
      </c>
      <c r="B1325" s="6" t="str">
        <f>IFERROR(__xludf.DUMMYFUNCTION("""COMPUTED_VALUE"""),"lunch")</f>
        <v>lunch</v>
      </c>
      <c r="C1325" s="6" t="str">
        <f>IFERROR(__xludf.DUMMYFUNCTION("""COMPUTED_VALUE"""),"employee L")</f>
        <v>employee L</v>
      </c>
      <c r="D1325" s="7">
        <f>IFERROR(__xludf.DUMMYFUNCTION("""COMPUTED_VALUE"""),66.37)</f>
        <v>66.37</v>
      </c>
      <c r="E1325" s="6" t="str">
        <f>IFERROR(__xludf.DUMMYFUNCTION("""COMPUTED_VALUE"""),"No")</f>
        <v>No</v>
      </c>
      <c r="F1325" s="8" t="str">
        <f>IFERROR(__xludf.DUMMYFUNCTION("""COMPUTED_VALUE"""),"No")</f>
        <v>No</v>
      </c>
    </row>
    <row r="1326">
      <c r="A1326" s="5">
        <f>IFERROR(__xludf.DUMMYFUNCTION("""COMPUTED_VALUE"""),44854.0)</f>
        <v>44854</v>
      </c>
      <c r="B1326" s="6" t="str">
        <f>IFERROR(__xludf.DUMMYFUNCTION("""COMPUTED_VALUE"""),"dinner")</f>
        <v>dinner</v>
      </c>
      <c r="C1326" s="6" t="str">
        <f>IFERROR(__xludf.DUMMYFUNCTION("""COMPUTED_VALUE"""),"employee J")</f>
        <v>employee J</v>
      </c>
      <c r="D1326" s="7">
        <f>IFERROR(__xludf.DUMMYFUNCTION("""COMPUTED_VALUE"""),61.21)</f>
        <v>61.21</v>
      </c>
      <c r="E1326" s="6" t="str">
        <f>IFERROR(__xludf.DUMMYFUNCTION("""COMPUTED_VALUE"""),"No")</f>
        <v>No</v>
      </c>
      <c r="F1326" s="8" t="str">
        <f>IFERROR(__xludf.DUMMYFUNCTION("""COMPUTED_VALUE"""),"No")</f>
        <v>No</v>
      </c>
    </row>
    <row r="1327">
      <c r="A1327" s="5">
        <f>IFERROR(__xludf.DUMMYFUNCTION("""COMPUTED_VALUE"""),44854.0)</f>
        <v>44854</v>
      </c>
      <c r="B1327" s="6" t="str">
        <f>IFERROR(__xludf.DUMMYFUNCTION("""COMPUTED_VALUE"""),"dinner")</f>
        <v>dinner</v>
      </c>
      <c r="C1327" s="6" t="str">
        <f>IFERROR(__xludf.DUMMYFUNCTION("""COMPUTED_VALUE"""),"employee R")</f>
        <v>employee R</v>
      </c>
      <c r="D1327" s="7">
        <f>IFERROR(__xludf.DUMMYFUNCTION("""COMPUTED_VALUE"""),47.61)</f>
        <v>47.61</v>
      </c>
      <c r="E1327" s="6" t="str">
        <f>IFERROR(__xludf.DUMMYFUNCTION("""COMPUTED_VALUE"""),"No")</f>
        <v>No</v>
      </c>
      <c r="F1327" s="8" t="str">
        <f>IFERROR(__xludf.DUMMYFUNCTION("""COMPUTED_VALUE"""),"No")</f>
        <v>No</v>
      </c>
    </row>
    <row r="1328">
      <c r="A1328" s="5">
        <f>IFERROR(__xludf.DUMMYFUNCTION("""COMPUTED_VALUE"""),44854.0)</f>
        <v>44854</v>
      </c>
      <c r="B1328" s="6" t="str">
        <f>IFERROR(__xludf.DUMMYFUNCTION("""COMPUTED_VALUE"""),"dinner")</f>
        <v>dinner</v>
      </c>
      <c r="C1328" s="6" t="str">
        <f>IFERROR(__xludf.DUMMYFUNCTION("""COMPUTED_VALUE"""),"employee T")</f>
        <v>employee T</v>
      </c>
      <c r="D1328" s="7">
        <f>IFERROR(__xludf.DUMMYFUNCTION("""COMPUTED_VALUE"""),34.01)</f>
        <v>34.01</v>
      </c>
      <c r="E1328" s="6" t="str">
        <f>IFERROR(__xludf.DUMMYFUNCTION("""COMPUTED_VALUE"""),"No")</f>
        <v>No</v>
      </c>
      <c r="F1328" s="8" t="str">
        <f>IFERROR(__xludf.DUMMYFUNCTION("""COMPUTED_VALUE"""),"No")</f>
        <v>No</v>
      </c>
    </row>
    <row r="1329">
      <c r="A1329" s="5">
        <f>IFERROR(__xludf.DUMMYFUNCTION("""COMPUTED_VALUE"""),44855.0)</f>
        <v>44855</v>
      </c>
      <c r="B1329" s="6" t="str">
        <f>IFERROR(__xludf.DUMMYFUNCTION("""COMPUTED_VALUE"""),"lunch")</f>
        <v>lunch</v>
      </c>
      <c r="C1329" s="6" t="str">
        <f>IFERROR(__xludf.DUMMYFUNCTION("""COMPUTED_VALUE"""),"employee L")</f>
        <v>employee L</v>
      </c>
      <c r="D1329" s="7">
        <f>IFERROR(__xludf.DUMMYFUNCTION("""COMPUTED_VALUE"""),129.95)</f>
        <v>129.95</v>
      </c>
      <c r="E1329" s="6" t="str">
        <f>IFERROR(__xludf.DUMMYFUNCTION("""COMPUTED_VALUE"""),"No")</f>
        <v>No</v>
      </c>
      <c r="F1329" s="8" t="str">
        <f>IFERROR(__xludf.DUMMYFUNCTION("""COMPUTED_VALUE"""),"No")</f>
        <v>No</v>
      </c>
    </row>
    <row r="1330">
      <c r="A1330" s="5">
        <f>IFERROR(__xludf.DUMMYFUNCTION("""COMPUTED_VALUE"""),44855.0)</f>
        <v>44855</v>
      </c>
      <c r="B1330" s="6" t="str">
        <f>IFERROR(__xludf.DUMMYFUNCTION("""COMPUTED_VALUE"""),"dinner")</f>
        <v>dinner</v>
      </c>
      <c r="C1330" s="6" t="str">
        <f>IFERROR(__xludf.DUMMYFUNCTION("""COMPUTED_VALUE"""),"employee L")</f>
        <v>employee L</v>
      </c>
      <c r="D1330" s="7">
        <f>IFERROR(__xludf.DUMMYFUNCTION("""COMPUTED_VALUE"""),72.25)</f>
        <v>72.25</v>
      </c>
      <c r="E1330" s="6" t="str">
        <f>IFERROR(__xludf.DUMMYFUNCTION("""COMPUTED_VALUE"""),"No")</f>
        <v>No</v>
      </c>
      <c r="F1330" s="8" t="str">
        <f>IFERROR(__xludf.DUMMYFUNCTION("""COMPUTED_VALUE"""),"No")</f>
        <v>No</v>
      </c>
    </row>
    <row r="1331">
      <c r="A1331" s="5">
        <f>IFERROR(__xludf.DUMMYFUNCTION("""COMPUTED_VALUE"""),44855.0)</f>
        <v>44855</v>
      </c>
      <c r="B1331" s="6" t="str">
        <f>IFERROR(__xludf.DUMMYFUNCTION("""COMPUTED_VALUE"""),"dinner")</f>
        <v>dinner</v>
      </c>
      <c r="C1331" s="6" t="str">
        <f>IFERROR(__xludf.DUMMYFUNCTION("""COMPUTED_VALUE"""),"employee T")</f>
        <v>employee T</v>
      </c>
      <c r="D1331" s="7">
        <f>IFERROR(__xludf.DUMMYFUNCTION("""COMPUTED_VALUE"""),72.25)</f>
        <v>72.25</v>
      </c>
      <c r="E1331" s="6" t="str">
        <f>IFERROR(__xludf.DUMMYFUNCTION("""COMPUTED_VALUE"""),"No")</f>
        <v>No</v>
      </c>
      <c r="F1331" s="8" t="str">
        <f>IFERROR(__xludf.DUMMYFUNCTION("""COMPUTED_VALUE"""),"No")</f>
        <v>No</v>
      </c>
    </row>
    <row r="1332">
      <c r="A1332" s="5">
        <f>IFERROR(__xludf.DUMMYFUNCTION("""COMPUTED_VALUE"""),44855.0)</f>
        <v>44855</v>
      </c>
      <c r="B1332" s="6" t="str">
        <f>IFERROR(__xludf.DUMMYFUNCTION("""COMPUTED_VALUE"""),"dinner")</f>
        <v>dinner</v>
      </c>
      <c r="C1332" s="6" t="str">
        <f>IFERROR(__xludf.DUMMYFUNCTION("""COMPUTED_VALUE"""),"employee H")</f>
        <v>employee H</v>
      </c>
      <c r="D1332" s="7">
        <f>IFERROR(__xludf.DUMMYFUNCTION("""COMPUTED_VALUE"""),72.25)</f>
        <v>72.25</v>
      </c>
      <c r="E1332" s="6" t="str">
        <f>IFERROR(__xludf.DUMMYFUNCTION("""COMPUTED_VALUE"""),"No")</f>
        <v>No</v>
      </c>
      <c r="F1332" s="8" t="str">
        <f>IFERROR(__xludf.DUMMYFUNCTION("""COMPUTED_VALUE"""),"No")</f>
        <v>No</v>
      </c>
    </row>
    <row r="1333">
      <c r="A1333" s="5">
        <f>IFERROR(__xludf.DUMMYFUNCTION("""COMPUTED_VALUE"""),44856.0)</f>
        <v>44856</v>
      </c>
      <c r="B1333" s="6" t="str">
        <f>IFERROR(__xludf.DUMMYFUNCTION("""COMPUTED_VALUE"""),"lunch")</f>
        <v>lunch</v>
      </c>
      <c r="C1333" s="6" t="str">
        <f>IFERROR(__xludf.DUMMYFUNCTION("""COMPUTED_VALUE"""),"employee L")</f>
        <v>employee L</v>
      </c>
      <c r="D1333" s="7">
        <f>IFERROR(__xludf.DUMMYFUNCTION("""COMPUTED_VALUE"""),106.6)</f>
        <v>106.6</v>
      </c>
      <c r="E1333" s="6" t="str">
        <f>IFERROR(__xludf.DUMMYFUNCTION("""COMPUTED_VALUE"""),"No")</f>
        <v>No</v>
      </c>
      <c r="F1333" s="8" t="str">
        <f>IFERROR(__xludf.DUMMYFUNCTION("""COMPUTED_VALUE"""),"No")</f>
        <v>No</v>
      </c>
    </row>
    <row r="1334">
      <c r="A1334" s="5">
        <f>IFERROR(__xludf.DUMMYFUNCTION("""COMPUTED_VALUE"""),44856.0)</f>
        <v>44856</v>
      </c>
      <c r="B1334" s="6" t="str">
        <f>IFERROR(__xludf.DUMMYFUNCTION("""COMPUTED_VALUE"""),"lunch")</f>
        <v>lunch</v>
      </c>
      <c r="C1334" s="6" t="str">
        <f>IFERROR(__xludf.DUMMYFUNCTION("""COMPUTED_VALUE"""),"employee G")</f>
        <v>employee G</v>
      </c>
      <c r="D1334" s="7">
        <f>IFERROR(__xludf.DUMMYFUNCTION("""COMPUTED_VALUE"""),76.14)</f>
        <v>76.14</v>
      </c>
      <c r="E1334" s="6" t="str">
        <f>IFERROR(__xludf.DUMMYFUNCTION("""COMPUTED_VALUE"""),"No")</f>
        <v>No</v>
      </c>
      <c r="F1334" s="8" t="str">
        <f>IFERROR(__xludf.DUMMYFUNCTION("""COMPUTED_VALUE"""),"No")</f>
        <v>No</v>
      </c>
    </row>
    <row r="1335">
      <c r="A1335" s="5">
        <f>IFERROR(__xludf.DUMMYFUNCTION("""COMPUTED_VALUE"""),44856.0)</f>
        <v>44856</v>
      </c>
      <c r="B1335" s="6" t="str">
        <f>IFERROR(__xludf.DUMMYFUNCTION("""COMPUTED_VALUE"""),"lunch")</f>
        <v>lunch</v>
      </c>
      <c r="C1335" s="6" t="str">
        <f>IFERROR(__xludf.DUMMYFUNCTION("""COMPUTED_VALUE"""),"employee S")</f>
        <v>employee S</v>
      </c>
      <c r="D1335" s="7">
        <f>IFERROR(__xludf.DUMMYFUNCTION("""COMPUTED_VALUE"""),45.68)</f>
        <v>45.68</v>
      </c>
      <c r="E1335" s="6" t="str">
        <f>IFERROR(__xludf.DUMMYFUNCTION("""COMPUTED_VALUE"""),"No")</f>
        <v>No</v>
      </c>
      <c r="F1335" s="8" t="str">
        <f>IFERROR(__xludf.DUMMYFUNCTION("""COMPUTED_VALUE"""),"No")</f>
        <v>No</v>
      </c>
    </row>
    <row r="1336">
      <c r="A1336" s="5">
        <f>IFERROR(__xludf.DUMMYFUNCTION("""COMPUTED_VALUE"""),44856.0)</f>
        <v>44856</v>
      </c>
      <c r="B1336" s="6" t="str">
        <f>IFERROR(__xludf.DUMMYFUNCTION("""COMPUTED_VALUE"""),"dinner")</f>
        <v>dinner</v>
      </c>
      <c r="C1336" s="6" t="str">
        <f>IFERROR(__xludf.DUMMYFUNCTION("""COMPUTED_VALUE"""),"employee J")</f>
        <v>employee J</v>
      </c>
      <c r="D1336" s="7">
        <f>IFERROR(__xludf.DUMMYFUNCTION("""COMPUTED_VALUE"""),65.0)</f>
        <v>65</v>
      </c>
      <c r="E1336" s="6" t="str">
        <f>IFERROR(__xludf.DUMMYFUNCTION("""COMPUTED_VALUE"""),"No")</f>
        <v>No</v>
      </c>
      <c r="F1336" s="8" t="str">
        <f>IFERROR(__xludf.DUMMYFUNCTION("""COMPUTED_VALUE"""),"No")</f>
        <v>No</v>
      </c>
    </row>
    <row r="1337">
      <c r="A1337" s="5">
        <f>IFERROR(__xludf.DUMMYFUNCTION("""COMPUTED_VALUE"""),44856.0)</f>
        <v>44856</v>
      </c>
      <c r="B1337" s="6" t="str">
        <f>IFERROR(__xludf.DUMMYFUNCTION("""COMPUTED_VALUE"""),"dinner")</f>
        <v>dinner</v>
      </c>
      <c r="C1337" s="6" t="str">
        <f>IFERROR(__xludf.DUMMYFUNCTION("""COMPUTED_VALUE"""),"employee H")</f>
        <v>employee H</v>
      </c>
      <c r="D1337" s="7">
        <f>IFERROR(__xludf.DUMMYFUNCTION("""COMPUTED_VALUE"""),68.82)</f>
        <v>68.82</v>
      </c>
      <c r="E1337" s="6" t="str">
        <f>IFERROR(__xludf.DUMMYFUNCTION("""COMPUTED_VALUE"""),"No")</f>
        <v>No</v>
      </c>
      <c r="F1337" s="8" t="str">
        <f>IFERROR(__xludf.DUMMYFUNCTION("""COMPUTED_VALUE"""),"No")</f>
        <v>No</v>
      </c>
    </row>
    <row r="1338">
      <c r="A1338" s="5">
        <f>IFERROR(__xludf.DUMMYFUNCTION("""COMPUTED_VALUE"""),44856.0)</f>
        <v>44856</v>
      </c>
      <c r="B1338" s="6" t="str">
        <f>IFERROR(__xludf.DUMMYFUNCTION("""COMPUTED_VALUE"""),"dinner")</f>
        <v>dinner</v>
      </c>
      <c r="C1338" s="6" t="str">
        <f>IFERROR(__xludf.DUMMYFUNCTION("""COMPUTED_VALUE"""),"employee T")</f>
        <v>employee T</v>
      </c>
      <c r="D1338" s="7">
        <f>IFERROR(__xludf.DUMMYFUNCTION("""COMPUTED_VALUE"""),68.82)</f>
        <v>68.82</v>
      </c>
      <c r="E1338" s="6" t="str">
        <f>IFERROR(__xludf.DUMMYFUNCTION("""COMPUTED_VALUE"""),"No")</f>
        <v>No</v>
      </c>
      <c r="F1338" s="8" t="str">
        <f>IFERROR(__xludf.DUMMYFUNCTION("""COMPUTED_VALUE"""),"No")</f>
        <v>No</v>
      </c>
    </row>
    <row r="1339">
      <c r="A1339" s="5">
        <f>IFERROR(__xludf.DUMMYFUNCTION("""COMPUTED_VALUE"""),44857.0)</f>
        <v>44857</v>
      </c>
      <c r="B1339" s="6" t="str">
        <f>IFERROR(__xludf.DUMMYFUNCTION("""COMPUTED_VALUE"""),"lunch")</f>
        <v>lunch</v>
      </c>
      <c r="C1339" s="6" t="str">
        <f>IFERROR(__xludf.DUMMYFUNCTION("""COMPUTED_VALUE"""),"employee L")</f>
        <v>employee L</v>
      </c>
      <c r="D1339" s="7">
        <f>IFERROR(__xludf.DUMMYFUNCTION("""COMPUTED_VALUE"""),54.0)</f>
        <v>54</v>
      </c>
      <c r="E1339" s="6" t="str">
        <f>IFERROR(__xludf.DUMMYFUNCTION("""COMPUTED_VALUE"""),"No")</f>
        <v>No</v>
      </c>
      <c r="F1339" s="8" t="str">
        <f>IFERROR(__xludf.DUMMYFUNCTION("""COMPUTED_VALUE"""),"No")</f>
        <v>No</v>
      </c>
    </row>
    <row r="1340">
      <c r="A1340" s="5">
        <f>IFERROR(__xludf.DUMMYFUNCTION("""COMPUTED_VALUE"""),44857.0)</f>
        <v>44857</v>
      </c>
      <c r="B1340" s="6" t="str">
        <f>IFERROR(__xludf.DUMMYFUNCTION("""COMPUTED_VALUE"""),"lunch")</f>
        <v>lunch</v>
      </c>
      <c r="C1340" s="6" t="str">
        <f>IFERROR(__xludf.DUMMYFUNCTION("""COMPUTED_VALUE"""),"employee G")</f>
        <v>employee G</v>
      </c>
      <c r="D1340" s="7">
        <f>IFERROR(__xludf.DUMMYFUNCTION("""COMPUTED_VALUE"""),27.0)</f>
        <v>27</v>
      </c>
      <c r="E1340" s="6" t="str">
        <f>IFERROR(__xludf.DUMMYFUNCTION("""COMPUTED_VALUE"""),"No")</f>
        <v>No</v>
      </c>
      <c r="F1340" s="8" t="str">
        <f>IFERROR(__xludf.DUMMYFUNCTION("""COMPUTED_VALUE"""),"No")</f>
        <v>No</v>
      </c>
    </row>
    <row r="1341">
      <c r="A1341" s="5">
        <f>IFERROR(__xludf.DUMMYFUNCTION("""COMPUTED_VALUE"""),44857.0)</f>
        <v>44857</v>
      </c>
      <c r="B1341" s="6" t="str">
        <f>IFERROR(__xludf.DUMMYFUNCTION("""COMPUTED_VALUE"""),"lunch")</f>
        <v>lunch</v>
      </c>
      <c r="C1341" s="6" t="str">
        <f>IFERROR(__xludf.DUMMYFUNCTION("""COMPUTED_VALUE"""),"employee T")</f>
        <v>employee T</v>
      </c>
      <c r="D1341" s="7">
        <f>IFERROR(__xludf.DUMMYFUNCTION("""COMPUTED_VALUE"""),45.0)</f>
        <v>45</v>
      </c>
      <c r="E1341" s="6" t="str">
        <f>IFERROR(__xludf.DUMMYFUNCTION("""COMPUTED_VALUE"""),"No")</f>
        <v>No</v>
      </c>
      <c r="F1341" s="8" t="str">
        <f>IFERROR(__xludf.DUMMYFUNCTION("""COMPUTED_VALUE"""),"No")</f>
        <v>No</v>
      </c>
    </row>
    <row r="1342">
      <c r="A1342" s="5">
        <f>IFERROR(__xludf.DUMMYFUNCTION("""COMPUTED_VALUE"""),44857.0)</f>
        <v>44857</v>
      </c>
      <c r="B1342" s="6" t="str">
        <f>IFERROR(__xludf.DUMMYFUNCTION("""COMPUTED_VALUE"""),"dinner")</f>
        <v>dinner</v>
      </c>
      <c r="C1342" s="6" t="str">
        <f>IFERROR(__xludf.DUMMYFUNCTION("""COMPUTED_VALUE"""),"employee J")</f>
        <v>employee J</v>
      </c>
      <c r="D1342" s="7">
        <f>IFERROR(__xludf.DUMMYFUNCTION("""COMPUTED_VALUE"""),70.45)</f>
        <v>70.45</v>
      </c>
      <c r="E1342" s="6" t="str">
        <f>IFERROR(__xludf.DUMMYFUNCTION("""COMPUTED_VALUE"""),"No")</f>
        <v>No</v>
      </c>
      <c r="F1342" s="8" t="str">
        <f>IFERROR(__xludf.DUMMYFUNCTION("""COMPUTED_VALUE"""),"No")</f>
        <v>No</v>
      </c>
    </row>
    <row r="1343">
      <c r="A1343" s="5">
        <f>IFERROR(__xludf.DUMMYFUNCTION("""COMPUTED_VALUE"""),44857.0)</f>
        <v>44857</v>
      </c>
      <c r="B1343" s="6" t="str">
        <f>IFERROR(__xludf.DUMMYFUNCTION("""COMPUTED_VALUE"""),"dinner")</f>
        <v>dinner</v>
      </c>
      <c r="C1343" s="6" t="str">
        <f>IFERROR(__xludf.DUMMYFUNCTION("""COMPUTED_VALUE"""),"employee T")</f>
        <v>employee T</v>
      </c>
      <c r="D1343" s="7">
        <f>IFERROR(__xludf.DUMMYFUNCTION("""COMPUTED_VALUE"""),76.5)</f>
        <v>76.5</v>
      </c>
      <c r="E1343" s="6" t="str">
        <f>IFERROR(__xludf.DUMMYFUNCTION("""COMPUTED_VALUE"""),"No")</f>
        <v>No</v>
      </c>
      <c r="F1343" s="8" t="str">
        <f>IFERROR(__xludf.DUMMYFUNCTION("""COMPUTED_VALUE"""),"No")</f>
        <v>No</v>
      </c>
    </row>
    <row r="1344">
      <c r="A1344" s="5">
        <f>IFERROR(__xludf.DUMMYFUNCTION("""COMPUTED_VALUE"""),44857.0)</f>
        <v>44857</v>
      </c>
      <c r="B1344" s="6" t="str">
        <f>IFERROR(__xludf.DUMMYFUNCTION("""COMPUTED_VALUE"""),"dinner")</f>
        <v>dinner</v>
      </c>
      <c r="C1344" s="6" t="str">
        <f>IFERROR(__xludf.DUMMYFUNCTION("""COMPUTED_VALUE"""),"employee S")</f>
        <v>employee S</v>
      </c>
      <c r="D1344" s="7">
        <f>IFERROR(__xludf.DUMMYFUNCTION("""COMPUTED_VALUE"""),76.5)</f>
        <v>76.5</v>
      </c>
      <c r="E1344" s="6" t="str">
        <f>IFERROR(__xludf.DUMMYFUNCTION("""COMPUTED_VALUE"""),"No")</f>
        <v>No</v>
      </c>
      <c r="F1344" s="8" t="str">
        <f>IFERROR(__xludf.DUMMYFUNCTION("""COMPUTED_VALUE"""),"No")</f>
        <v>No</v>
      </c>
    </row>
    <row r="1345">
      <c r="A1345" s="5">
        <f>IFERROR(__xludf.DUMMYFUNCTION("""COMPUTED_VALUE"""),44858.0)</f>
        <v>44858</v>
      </c>
      <c r="B1345" s="6" t="str">
        <f>IFERROR(__xludf.DUMMYFUNCTION("""COMPUTED_VALUE"""),"lunch")</f>
        <v>lunch</v>
      </c>
      <c r="C1345" s="6" t="str">
        <f>IFERROR(__xludf.DUMMYFUNCTION("""COMPUTED_VALUE"""),"employee A")</f>
        <v>employee A</v>
      </c>
      <c r="D1345" s="7">
        <f>IFERROR(__xludf.DUMMYFUNCTION("""COMPUTED_VALUE"""),97.47)</f>
        <v>97.47</v>
      </c>
      <c r="E1345" s="6" t="str">
        <f>IFERROR(__xludf.DUMMYFUNCTION("""COMPUTED_VALUE"""),"No")</f>
        <v>No</v>
      </c>
      <c r="F1345" s="8" t="str">
        <f>IFERROR(__xludf.DUMMYFUNCTION("""COMPUTED_VALUE"""),"No")</f>
        <v>No</v>
      </c>
    </row>
    <row r="1346">
      <c r="A1346" s="5">
        <f>IFERROR(__xludf.DUMMYFUNCTION("""COMPUTED_VALUE"""),44858.0)</f>
        <v>44858</v>
      </c>
      <c r="B1346" s="6" t="str">
        <f>IFERROR(__xludf.DUMMYFUNCTION("""COMPUTED_VALUE"""),"dinner")</f>
        <v>dinner</v>
      </c>
      <c r="C1346" s="6" t="str">
        <f>IFERROR(__xludf.DUMMYFUNCTION("""COMPUTED_VALUE"""),"employee A")</f>
        <v>employee A</v>
      </c>
      <c r="D1346" s="7">
        <f>IFERROR(__xludf.DUMMYFUNCTION("""COMPUTED_VALUE"""),46.53)</f>
        <v>46.53</v>
      </c>
      <c r="E1346" s="6" t="str">
        <f>IFERROR(__xludf.DUMMYFUNCTION("""COMPUTED_VALUE"""),"No")</f>
        <v>No</v>
      </c>
      <c r="F1346" s="8" t="str">
        <f>IFERROR(__xludf.DUMMYFUNCTION("""COMPUTED_VALUE"""),"No")</f>
        <v>No</v>
      </c>
    </row>
    <row r="1347">
      <c r="A1347" s="5">
        <f>IFERROR(__xludf.DUMMYFUNCTION("""COMPUTED_VALUE"""),44858.0)</f>
        <v>44858</v>
      </c>
      <c r="B1347" s="6" t="str">
        <f>IFERROR(__xludf.DUMMYFUNCTION("""COMPUTED_VALUE"""),"dinner")</f>
        <v>dinner</v>
      </c>
      <c r="C1347" s="6" t="str">
        <f>IFERROR(__xludf.DUMMYFUNCTION("""COMPUTED_VALUE"""),"employee H")</f>
        <v>employee H</v>
      </c>
      <c r="D1347" s="7">
        <f>IFERROR(__xludf.DUMMYFUNCTION("""COMPUTED_VALUE"""),46.53)</f>
        <v>46.53</v>
      </c>
      <c r="E1347" s="6" t="str">
        <f>IFERROR(__xludf.DUMMYFUNCTION("""COMPUTED_VALUE"""),"No")</f>
        <v>No</v>
      </c>
      <c r="F1347" s="8" t="str">
        <f>IFERROR(__xludf.DUMMYFUNCTION("""COMPUTED_VALUE"""),"No")</f>
        <v>No</v>
      </c>
    </row>
    <row r="1348">
      <c r="A1348" s="5">
        <f>IFERROR(__xludf.DUMMYFUNCTION("""COMPUTED_VALUE"""),44858.0)</f>
        <v>44858</v>
      </c>
      <c r="B1348" s="6" t="str">
        <f>IFERROR(__xludf.DUMMYFUNCTION("""COMPUTED_VALUE"""),"dinner")</f>
        <v>dinner</v>
      </c>
      <c r="C1348" s="6" t="str">
        <f>IFERROR(__xludf.DUMMYFUNCTION("""COMPUTED_VALUE"""),"employee G")</f>
        <v>employee G</v>
      </c>
      <c r="D1348" s="7">
        <f>IFERROR(__xludf.DUMMYFUNCTION("""COMPUTED_VALUE"""),20.68)</f>
        <v>20.68</v>
      </c>
      <c r="E1348" s="6" t="str">
        <f>IFERROR(__xludf.DUMMYFUNCTION("""COMPUTED_VALUE"""),"No")</f>
        <v>No</v>
      </c>
      <c r="F1348" s="8" t="str">
        <f>IFERROR(__xludf.DUMMYFUNCTION("""COMPUTED_VALUE"""),"No")</f>
        <v>No</v>
      </c>
    </row>
    <row r="1349">
      <c r="A1349" s="5">
        <f>IFERROR(__xludf.DUMMYFUNCTION("""COMPUTED_VALUE"""),44859.0)</f>
        <v>44859</v>
      </c>
      <c r="B1349" s="6" t="str">
        <f>IFERROR(__xludf.DUMMYFUNCTION("""COMPUTED_VALUE"""),"lunch")</f>
        <v>lunch</v>
      </c>
      <c r="C1349" s="6" t="str">
        <f>IFERROR(__xludf.DUMMYFUNCTION("""COMPUTED_VALUE"""),"employee A")</f>
        <v>employee A</v>
      </c>
      <c r="D1349" s="7">
        <f>IFERROR(__xludf.DUMMYFUNCTION("""COMPUTED_VALUE"""),105.23)</f>
        <v>105.23</v>
      </c>
      <c r="E1349" s="6" t="str">
        <f>IFERROR(__xludf.DUMMYFUNCTION("""COMPUTED_VALUE"""),"No")</f>
        <v>No</v>
      </c>
      <c r="F1349" s="8" t="str">
        <f>IFERROR(__xludf.DUMMYFUNCTION("""COMPUTED_VALUE"""),"No")</f>
        <v>No</v>
      </c>
    </row>
    <row r="1350">
      <c r="A1350" s="5">
        <f>IFERROR(__xludf.DUMMYFUNCTION("""COMPUTED_VALUE"""),44859.0)</f>
        <v>44859</v>
      </c>
      <c r="B1350" s="6" t="str">
        <f>IFERROR(__xludf.DUMMYFUNCTION("""COMPUTED_VALUE"""),"dinner")</f>
        <v>dinner</v>
      </c>
      <c r="C1350" s="6" t="str">
        <f>IFERROR(__xludf.DUMMYFUNCTION("""COMPUTED_VALUE"""),"employee A")</f>
        <v>employee A</v>
      </c>
      <c r="D1350" s="7">
        <f>IFERROR(__xludf.DUMMYFUNCTION("""COMPUTED_VALUE"""),78.57)</f>
        <v>78.57</v>
      </c>
      <c r="E1350" s="6" t="str">
        <f>IFERROR(__xludf.DUMMYFUNCTION("""COMPUTED_VALUE"""),"No")</f>
        <v>No</v>
      </c>
      <c r="F1350" s="8" t="str">
        <f>IFERROR(__xludf.DUMMYFUNCTION("""COMPUTED_VALUE"""),"No")</f>
        <v>No</v>
      </c>
    </row>
    <row r="1351">
      <c r="A1351" s="5">
        <f>IFERROR(__xludf.DUMMYFUNCTION("""COMPUTED_VALUE"""),44859.0)</f>
        <v>44859</v>
      </c>
      <c r="B1351" s="6" t="str">
        <f>IFERROR(__xludf.DUMMYFUNCTION("""COMPUTED_VALUE"""),"dinner")</f>
        <v>dinner</v>
      </c>
      <c r="C1351" s="6" t="str">
        <f>IFERROR(__xludf.DUMMYFUNCTION("""COMPUTED_VALUE"""),"employee R")</f>
        <v>employee R</v>
      </c>
      <c r="D1351" s="7">
        <f>IFERROR(__xludf.DUMMYFUNCTION("""COMPUTED_VALUE"""),74.2)</f>
        <v>74.2</v>
      </c>
      <c r="E1351" s="6" t="str">
        <f>IFERROR(__xludf.DUMMYFUNCTION("""COMPUTED_VALUE"""),"No")</f>
        <v>No</v>
      </c>
      <c r="F1351" s="8" t="str">
        <f>IFERROR(__xludf.DUMMYFUNCTION("""COMPUTED_VALUE"""),"No")</f>
        <v>No</v>
      </c>
    </row>
    <row r="1352">
      <c r="A1352" s="5">
        <f>IFERROR(__xludf.DUMMYFUNCTION("""COMPUTED_VALUE"""),44859.0)</f>
        <v>44859</v>
      </c>
      <c r="B1352" s="6" t="str">
        <f>IFERROR(__xludf.DUMMYFUNCTION("""COMPUTED_VALUE"""),"dinner")</f>
        <v>dinner</v>
      </c>
      <c r="C1352" s="6" t="str">
        <f>IFERROR(__xludf.DUMMYFUNCTION("""COMPUTED_VALUE"""),"employee G")</f>
        <v>employee G</v>
      </c>
      <c r="D1352" s="7">
        <f>IFERROR(__xludf.DUMMYFUNCTION("""COMPUTED_VALUE"""),61.11)</f>
        <v>61.11</v>
      </c>
      <c r="E1352" s="6" t="str">
        <f>IFERROR(__xludf.DUMMYFUNCTION("""COMPUTED_VALUE"""),"No")</f>
        <v>No</v>
      </c>
      <c r="F1352" s="8" t="str">
        <f>IFERROR(__xludf.DUMMYFUNCTION("""COMPUTED_VALUE"""),"No")</f>
        <v>No</v>
      </c>
    </row>
    <row r="1353">
      <c r="A1353" s="5">
        <f>IFERROR(__xludf.DUMMYFUNCTION("""COMPUTED_VALUE"""),44860.0)</f>
        <v>44860</v>
      </c>
      <c r="B1353" s="6" t="str">
        <f>IFERROR(__xludf.DUMMYFUNCTION("""COMPUTED_VALUE"""),"lunch")</f>
        <v>lunch</v>
      </c>
      <c r="C1353" s="6" t="str">
        <f>IFERROR(__xludf.DUMMYFUNCTION("""COMPUTED_VALUE"""),"employee H")</f>
        <v>employee H</v>
      </c>
      <c r="D1353" s="7">
        <f>IFERROR(__xludf.DUMMYFUNCTION("""COMPUTED_VALUE"""),52.87)</f>
        <v>52.87</v>
      </c>
      <c r="E1353" s="6" t="str">
        <f>IFERROR(__xludf.DUMMYFUNCTION("""COMPUTED_VALUE"""),"No")</f>
        <v>No</v>
      </c>
      <c r="F1353" s="8" t="str">
        <f>IFERROR(__xludf.DUMMYFUNCTION("""COMPUTED_VALUE"""),"No")</f>
        <v>No</v>
      </c>
    </row>
    <row r="1354">
      <c r="A1354" s="5">
        <f>IFERROR(__xludf.DUMMYFUNCTION("""COMPUTED_VALUE"""),44860.0)</f>
        <v>44860</v>
      </c>
      <c r="B1354" s="6" t="str">
        <f>IFERROR(__xludf.DUMMYFUNCTION("""COMPUTED_VALUE"""),"dinner")</f>
        <v>dinner</v>
      </c>
      <c r="C1354" s="6" t="str">
        <f>IFERROR(__xludf.DUMMYFUNCTION("""COMPUTED_VALUE"""),"employee H")</f>
        <v>employee H</v>
      </c>
      <c r="D1354" s="7">
        <f>IFERROR(__xludf.DUMMYFUNCTION("""COMPUTED_VALUE"""),56.59)</f>
        <v>56.59</v>
      </c>
      <c r="E1354" s="6" t="str">
        <f>IFERROR(__xludf.DUMMYFUNCTION("""COMPUTED_VALUE"""),"No")</f>
        <v>No</v>
      </c>
      <c r="F1354" s="8" t="str">
        <f>IFERROR(__xludf.DUMMYFUNCTION("""COMPUTED_VALUE"""),"No")</f>
        <v>No</v>
      </c>
    </row>
    <row r="1355">
      <c r="A1355" s="5">
        <f>IFERROR(__xludf.DUMMYFUNCTION("""COMPUTED_VALUE"""),44860.0)</f>
        <v>44860</v>
      </c>
      <c r="B1355" s="6" t="str">
        <f>IFERROR(__xludf.DUMMYFUNCTION("""COMPUTED_VALUE"""),"dinner")</f>
        <v>dinner</v>
      </c>
      <c r="C1355" s="6" t="str">
        <f>IFERROR(__xludf.DUMMYFUNCTION("""COMPUTED_VALUE"""),"employee J")</f>
        <v>employee J</v>
      </c>
      <c r="D1355" s="7">
        <f>IFERROR(__xludf.DUMMYFUNCTION("""COMPUTED_VALUE"""),56.59)</f>
        <v>56.59</v>
      </c>
      <c r="E1355" s="6" t="str">
        <f>IFERROR(__xludf.DUMMYFUNCTION("""COMPUTED_VALUE"""),"No")</f>
        <v>No</v>
      </c>
      <c r="F1355" s="8" t="str">
        <f>IFERROR(__xludf.DUMMYFUNCTION("""COMPUTED_VALUE"""),"No")</f>
        <v>No</v>
      </c>
    </row>
    <row r="1356">
      <c r="A1356" s="5">
        <f>IFERROR(__xludf.DUMMYFUNCTION("""COMPUTED_VALUE"""),44860.0)</f>
        <v>44860</v>
      </c>
      <c r="B1356" s="6" t="str">
        <f>IFERROR(__xludf.DUMMYFUNCTION("""COMPUTED_VALUE"""),"dinner")</f>
        <v>dinner</v>
      </c>
      <c r="C1356" s="6" t="str">
        <f>IFERROR(__xludf.DUMMYFUNCTION("""COMPUTED_VALUE"""),"employee S")</f>
        <v>employee S</v>
      </c>
      <c r="D1356" s="7">
        <f>IFERROR(__xludf.DUMMYFUNCTION("""COMPUTED_VALUE"""),44.01)</f>
        <v>44.01</v>
      </c>
      <c r="E1356" s="6" t="str">
        <f>IFERROR(__xludf.DUMMYFUNCTION("""COMPUTED_VALUE"""),"No")</f>
        <v>No</v>
      </c>
      <c r="F1356" s="8" t="str">
        <f>IFERROR(__xludf.DUMMYFUNCTION("""COMPUTED_VALUE"""),"No")</f>
        <v>No</v>
      </c>
    </row>
    <row r="1357">
      <c r="A1357" s="5">
        <f>IFERROR(__xludf.DUMMYFUNCTION("""COMPUTED_VALUE"""),44861.0)</f>
        <v>44861</v>
      </c>
      <c r="B1357" s="6" t="str">
        <f>IFERROR(__xludf.DUMMYFUNCTION("""COMPUTED_VALUE"""),"lunch")</f>
        <v>lunch</v>
      </c>
      <c r="C1357" s="6" t="str">
        <f>IFERROR(__xludf.DUMMYFUNCTION("""COMPUTED_VALUE"""),"employee L")</f>
        <v>employee L</v>
      </c>
      <c r="D1357" s="7">
        <f>IFERROR(__xludf.DUMMYFUNCTION("""COMPUTED_VALUE"""),99.82)</f>
        <v>99.82</v>
      </c>
      <c r="E1357" s="6" t="str">
        <f>IFERROR(__xludf.DUMMYFUNCTION("""COMPUTED_VALUE"""),"No")</f>
        <v>No</v>
      </c>
      <c r="F1357" s="8" t="str">
        <f>IFERROR(__xludf.DUMMYFUNCTION("""COMPUTED_VALUE"""),"No")</f>
        <v>No</v>
      </c>
    </row>
    <row r="1358">
      <c r="A1358" s="5">
        <f>IFERROR(__xludf.DUMMYFUNCTION("""COMPUTED_VALUE"""),44861.0)</f>
        <v>44861</v>
      </c>
      <c r="B1358" s="6" t="str">
        <f>IFERROR(__xludf.DUMMYFUNCTION("""COMPUTED_VALUE"""),"dinner")</f>
        <v>dinner</v>
      </c>
      <c r="C1358" s="6" t="str">
        <f>IFERROR(__xludf.DUMMYFUNCTION("""COMPUTED_VALUE"""),"employee T")</f>
        <v>employee T</v>
      </c>
      <c r="D1358" s="7">
        <f>IFERROR(__xludf.DUMMYFUNCTION("""COMPUTED_VALUE"""),49.94)</f>
        <v>49.94</v>
      </c>
      <c r="E1358" s="6" t="str">
        <f>IFERROR(__xludf.DUMMYFUNCTION("""COMPUTED_VALUE"""),"No")</f>
        <v>No</v>
      </c>
      <c r="F1358" s="8" t="str">
        <f>IFERROR(__xludf.DUMMYFUNCTION("""COMPUTED_VALUE"""),"No")</f>
        <v>No</v>
      </c>
    </row>
    <row r="1359">
      <c r="A1359" s="5">
        <f>IFERROR(__xludf.DUMMYFUNCTION("""COMPUTED_VALUE"""),44861.0)</f>
        <v>44861</v>
      </c>
      <c r="B1359" s="6" t="str">
        <f>IFERROR(__xludf.DUMMYFUNCTION("""COMPUTED_VALUE"""),"dinner")</f>
        <v>dinner</v>
      </c>
      <c r="C1359" s="6" t="str">
        <f>IFERROR(__xludf.DUMMYFUNCTION("""COMPUTED_VALUE"""),"employee R")</f>
        <v>employee R</v>
      </c>
      <c r="D1359" s="7">
        <f>IFERROR(__xludf.DUMMYFUNCTION("""COMPUTED_VALUE"""),49.94)</f>
        <v>49.94</v>
      </c>
      <c r="E1359" s="6" t="str">
        <f>IFERROR(__xludf.DUMMYFUNCTION("""COMPUTED_VALUE"""),"No")</f>
        <v>No</v>
      </c>
      <c r="F1359" s="8" t="str">
        <f>IFERROR(__xludf.DUMMYFUNCTION("""COMPUTED_VALUE"""),"No")</f>
        <v>No</v>
      </c>
    </row>
    <row r="1360">
      <c r="A1360" s="5">
        <f>IFERROR(__xludf.DUMMYFUNCTION("""COMPUTED_VALUE"""),44861.0)</f>
        <v>44861</v>
      </c>
      <c r="B1360" s="6" t="str">
        <f>IFERROR(__xludf.DUMMYFUNCTION("""COMPUTED_VALUE"""),"dinner")</f>
        <v>dinner</v>
      </c>
      <c r="C1360" s="6" t="str">
        <f>IFERROR(__xludf.DUMMYFUNCTION("""COMPUTED_VALUE"""),"employee G")</f>
        <v>employee G</v>
      </c>
      <c r="D1360" s="7">
        <f>IFERROR(__xludf.DUMMYFUNCTION("""COMPUTED_VALUE"""),33.33)</f>
        <v>33.33</v>
      </c>
      <c r="E1360" s="6" t="str">
        <f>IFERROR(__xludf.DUMMYFUNCTION("""COMPUTED_VALUE"""),"No")</f>
        <v>No</v>
      </c>
      <c r="F1360" s="8" t="str">
        <f>IFERROR(__xludf.DUMMYFUNCTION("""COMPUTED_VALUE"""),"No")</f>
        <v>No</v>
      </c>
    </row>
    <row r="1361">
      <c r="A1361" s="5">
        <f>IFERROR(__xludf.DUMMYFUNCTION("""COMPUTED_VALUE"""),44862.0)</f>
        <v>44862</v>
      </c>
      <c r="B1361" s="6" t="str">
        <f>IFERROR(__xludf.DUMMYFUNCTION("""COMPUTED_VALUE"""),"lunch")</f>
        <v>lunch</v>
      </c>
      <c r="C1361" s="6" t="str">
        <f>IFERROR(__xludf.DUMMYFUNCTION("""COMPUTED_VALUE"""),"employee L")</f>
        <v>employee L</v>
      </c>
      <c r="D1361" s="7">
        <f>IFERROR(__xludf.DUMMYFUNCTION("""COMPUTED_VALUE"""),93.98)</f>
        <v>93.98</v>
      </c>
      <c r="E1361" s="6" t="str">
        <f>IFERROR(__xludf.DUMMYFUNCTION("""COMPUTED_VALUE"""),"No")</f>
        <v>No</v>
      </c>
      <c r="F1361" s="8" t="str">
        <f>IFERROR(__xludf.DUMMYFUNCTION("""COMPUTED_VALUE"""),"No")</f>
        <v>No</v>
      </c>
    </row>
    <row r="1362">
      <c r="A1362" s="5">
        <f>IFERROR(__xludf.DUMMYFUNCTION("""COMPUTED_VALUE"""),44862.0)</f>
        <v>44862</v>
      </c>
      <c r="B1362" s="6" t="str">
        <f>IFERROR(__xludf.DUMMYFUNCTION("""COMPUTED_VALUE"""),"dinner")</f>
        <v>dinner</v>
      </c>
      <c r="C1362" s="6" t="str">
        <f>IFERROR(__xludf.DUMMYFUNCTION("""COMPUTED_VALUE"""),"employee L")</f>
        <v>employee L</v>
      </c>
      <c r="D1362" s="7">
        <f>IFERROR(__xludf.DUMMYFUNCTION("""COMPUTED_VALUE"""),53.45)</f>
        <v>53.45</v>
      </c>
      <c r="E1362" s="6" t="str">
        <f>IFERROR(__xludf.DUMMYFUNCTION("""COMPUTED_VALUE"""),"No")</f>
        <v>No</v>
      </c>
      <c r="F1362" s="8" t="str">
        <f>IFERROR(__xludf.DUMMYFUNCTION("""COMPUTED_VALUE"""),"No")</f>
        <v>No</v>
      </c>
    </row>
    <row r="1363">
      <c r="A1363" s="5">
        <f>IFERROR(__xludf.DUMMYFUNCTION("""COMPUTED_VALUE"""),44862.0)</f>
        <v>44862</v>
      </c>
      <c r="B1363" s="6" t="str">
        <f>IFERROR(__xludf.DUMMYFUNCTION("""COMPUTED_VALUE"""),"dinner")</f>
        <v>dinner</v>
      </c>
      <c r="C1363" s="6" t="str">
        <f>IFERROR(__xludf.DUMMYFUNCTION("""COMPUTED_VALUE"""),"employee T")</f>
        <v>employee T</v>
      </c>
      <c r="D1363" s="7">
        <f>IFERROR(__xludf.DUMMYFUNCTION("""COMPUTED_VALUE"""),35.62)</f>
        <v>35.62</v>
      </c>
      <c r="E1363" s="6" t="str">
        <f>IFERROR(__xludf.DUMMYFUNCTION("""COMPUTED_VALUE"""),"No")</f>
        <v>No</v>
      </c>
      <c r="F1363" s="8" t="str">
        <f>IFERROR(__xludf.DUMMYFUNCTION("""COMPUTED_VALUE"""),"No")</f>
        <v>No</v>
      </c>
    </row>
    <row r="1364">
      <c r="A1364" s="5">
        <f>IFERROR(__xludf.DUMMYFUNCTION("""COMPUTED_VALUE"""),44862.0)</f>
        <v>44862</v>
      </c>
      <c r="B1364" s="6" t="str">
        <f>IFERROR(__xludf.DUMMYFUNCTION("""COMPUTED_VALUE"""),"dinner")</f>
        <v>dinner</v>
      </c>
      <c r="C1364" s="6" t="str">
        <f>IFERROR(__xludf.DUMMYFUNCTION("""COMPUTED_VALUE"""),"employee H")</f>
        <v>employee H</v>
      </c>
      <c r="D1364" s="7">
        <f>IFERROR(__xludf.DUMMYFUNCTION("""COMPUTED_VALUE"""),41.56)</f>
        <v>41.56</v>
      </c>
      <c r="E1364" s="6" t="str">
        <f>IFERROR(__xludf.DUMMYFUNCTION("""COMPUTED_VALUE"""),"No")</f>
        <v>No</v>
      </c>
      <c r="F1364" s="8" t="str">
        <f>IFERROR(__xludf.DUMMYFUNCTION("""COMPUTED_VALUE"""),"No")</f>
        <v>No</v>
      </c>
    </row>
    <row r="1365">
      <c r="A1365" s="5">
        <f>IFERROR(__xludf.DUMMYFUNCTION("""COMPUTED_VALUE"""),44863.0)</f>
        <v>44863</v>
      </c>
      <c r="B1365" s="6" t="str">
        <f>IFERROR(__xludf.DUMMYFUNCTION("""COMPUTED_VALUE"""),"lunch")</f>
        <v>lunch</v>
      </c>
      <c r="C1365" s="6" t="str">
        <f>IFERROR(__xludf.DUMMYFUNCTION("""COMPUTED_VALUE"""),"employee L")</f>
        <v>employee L</v>
      </c>
      <c r="D1365" s="7">
        <f>IFERROR(__xludf.DUMMYFUNCTION("""COMPUTED_VALUE"""),85.69)</f>
        <v>85.69</v>
      </c>
      <c r="E1365" s="6" t="str">
        <f>IFERROR(__xludf.DUMMYFUNCTION("""COMPUTED_VALUE"""),"No")</f>
        <v>No</v>
      </c>
      <c r="F1365" s="8" t="str">
        <f>IFERROR(__xludf.DUMMYFUNCTION("""COMPUTED_VALUE"""),"No")</f>
        <v>No</v>
      </c>
    </row>
    <row r="1366">
      <c r="A1366" s="5">
        <f>IFERROR(__xludf.DUMMYFUNCTION("""COMPUTED_VALUE"""),44863.0)</f>
        <v>44863</v>
      </c>
      <c r="B1366" s="6" t="str">
        <f>IFERROR(__xludf.DUMMYFUNCTION("""COMPUTED_VALUE"""),"lunch")</f>
        <v>lunch</v>
      </c>
      <c r="C1366" s="6" t="str">
        <f>IFERROR(__xludf.DUMMYFUNCTION("""COMPUTED_VALUE"""),"employee S")</f>
        <v>employee S</v>
      </c>
      <c r="D1366" s="7">
        <f>IFERROR(__xludf.DUMMYFUNCTION("""COMPUTED_VALUE"""),48.96)</f>
        <v>48.96</v>
      </c>
      <c r="E1366" s="6" t="str">
        <f>IFERROR(__xludf.DUMMYFUNCTION("""COMPUTED_VALUE"""),"No")</f>
        <v>No</v>
      </c>
      <c r="F1366" s="8" t="str">
        <f>IFERROR(__xludf.DUMMYFUNCTION("""COMPUTED_VALUE"""),"No")</f>
        <v>No</v>
      </c>
    </row>
    <row r="1367">
      <c r="A1367" s="5">
        <f>IFERROR(__xludf.DUMMYFUNCTION("""COMPUTED_VALUE"""),44863.0)</f>
        <v>44863</v>
      </c>
      <c r="B1367" s="6" t="str">
        <f>IFERROR(__xludf.DUMMYFUNCTION("""COMPUTED_VALUE"""),"lunch")</f>
        <v>lunch</v>
      </c>
      <c r="C1367" s="6" t="str">
        <f>IFERROR(__xludf.DUMMYFUNCTION("""COMPUTED_VALUE"""),"employee H")</f>
        <v>employee H</v>
      </c>
      <c r="D1367" s="7">
        <f>IFERROR(__xludf.DUMMYFUNCTION("""COMPUTED_VALUE"""),30.6)</f>
        <v>30.6</v>
      </c>
      <c r="E1367" s="6" t="str">
        <f>IFERROR(__xludf.DUMMYFUNCTION("""COMPUTED_VALUE"""),"No")</f>
        <v>No</v>
      </c>
      <c r="F1367" s="8" t="str">
        <f>IFERROR(__xludf.DUMMYFUNCTION("""COMPUTED_VALUE"""),"No")</f>
        <v>No</v>
      </c>
    </row>
    <row r="1368">
      <c r="A1368" s="5">
        <f>IFERROR(__xludf.DUMMYFUNCTION("""COMPUTED_VALUE"""),44863.0)</f>
        <v>44863</v>
      </c>
      <c r="B1368" s="6" t="str">
        <f>IFERROR(__xludf.DUMMYFUNCTION("""COMPUTED_VALUE"""),"dinner")</f>
        <v>dinner</v>
      </c>
      <c r="C1368" s="6" t="str">
        <f>IFERROR(__xludf.DUMMYFUNCTION("""COMPUTED_VALUE"""),"employee L")</f>
        <v>employee L</v>
      </c>
      <c r="D1368" s="7">
        <f>IFERROR(__xludf.DUMMYFUNCTION("""COMPUTED_VALUE"""),80.41)</f>
        <v>80.41</v>
      </c>
      <c r="E1368" s="6" t="str">
        <f>IFERROR(__xludf.DUMMYFUNCTION("""COMPUTED_VALUE"""),"No")</f>
        <v>No</v>
      </c>
      <c r="F1368" s="8" t="str">
        <f>IFERROR(__xludf.DUMMYFUNCTION("""COMPUTED_VALUE"""),"No")</f>
        <v>No</v>
      </c>
    </row>
    <row r="1369">
      <c r="A1369" s="5">
        <f>IFERROR(__xludf.DUMMYFUNCTION("""COMPUTED_VALUE"""),44863.0)</f>
        <v>44863</v>
      </c>
      <c r="B1369" s="6" t="str">
        <f>IFERROR(__xludf.DUMMYFUNCTION("""COMPUTED_VALUE"""),"dinner")</f>
        <v>dinner</v>
      </c>
      <c r="C1369" s="6" t="str">
        <f>IFERROR(__xludf.DUMMYFUNCTION("""COMPUTED_VALUE"""),"employee T")</f>
        <v>employee T</v>
      </c>
      <c r="D1369" s="7">
        <f>IFERROR(__xludf.DUMMYFUNCTION("""COMPUTED_VALUE"""),80.41)</f>
        <v>80.41</v>
      </c>
      <c r="E1369" s="6" t="str">
        <f>IFERROR(__xludf.DUMMYFUNCTION("""COMPUTED_VALUE"""),"No")</f>
        <v>No</v>
      </c>
      <c r="F1369" s="8" t="str">
        <f>IFERROR(__xludf.DUMMYFUNCTION("""COMPUTED_VALUE"""),"No")</f>
        <v>No</v>
      </c>
    </row>
    <row r="1370">
      <c r="A1370" s="5">
        <f>IFERROR(__xludf.DUMMYFUNCTION("""COMPUTED_VALUE"""),44863.0)</f>
        <v>44863</v>
      </c>
      <c r="B1370" s="6" t="str">
        <f>IFERROR(__xludf.DUMMYFUNCTION("""COMPUTED_VALUE"""),"dinner")</f>
        <v>dinner</v>
      </c>
      <c r="C1370" s="6" t="str">
        <f>IFERROR(__xludf.DUMMYFUNCTION("""COMPUTED_VALUE"""),"employee H")</f>
        <v>employee H</v>
      </c>
      <c r="D1370" s="7">
        <f>IFERROR(__xludf.DUMMYFUNCTION("""COMPUTED_VALUE"""),62.55)</f>
        <v>62.55</v>
      </c>
      <c r="E1370" s="6" t="str">
        <f>IFERROR(__xludf.DUMMYFUNCTION("""COMPUTED_VALUE"""),"No")</f>
        <v>No</v>
      </c>
      <c r="F1370" s="8" t="str">
        <f>IFERROR(__xludf.DUMMYFUNCTION("""COMPUTED_VALUE"""),"No")</f>
        <v>No</v>
      </c>
    </row>
    <row r="1371">
      <c r="A1371" s="5">
        <f>IFERROR(__xludf.DUMMYFUNCTION("""COMPUTED_VALUE"""),44864.0)</f>
        <v>44864</v>
      </c>
      <c r="B1371" s="6" t="str">
        <f>IFERROR(__xludf.DUMMYFUNCTION("""COMPUTED_VALUE"""),"lunch")</f>
        <v>lunch</v>
      </c>
      <c r="C1371" s="6" t="str">
        <f>IFERROR(__xludf.DUMMYFUNCTION("""COMPUTED_VALUE"""),"employee L")</f>
        <v>employee L</v>
      </c>
      <c r="D1371" s="7">
        <f>IFERROR(__xludf.DUMMYFUNCTION("""COMPUTED_VALUE"""),96.25)</f>
        <v>96.25</v>
      </c>
      <c r="E1371" s="6" t="str">
        <f>IFERROR(__xludf.DUMMYFUNCTION("""COMPUTED_VALUE"""),"No")</f>
        <v>No</v>
      </c>
      <c r="F1371" s="8" t="str">
        <f>IFERROR(__xludf.DUMMYFUNCTION("""COMPUTED_VALUE"""),"No")</f>
        <v>No</v>
      </c>
    </row>
    <row r="1372">
      <c r="A1372" s="5">
        <f>IFERROR(__xludf.DUMMYFUNCTION("""COMPUTED_VALUE"""),44864.0)</f>
        <v>44864</v>
      </c>
      <c r="B1372" s="6" t="str">
        <f>IFERROR(__xludf.DUMMYFUNCTION("""COMPUTED_VALUE"""),"lunch")</f>
        <v>lunch</v>
      </c>
      <c r="C1372" s="6" t="str">
        <f>IFERROR(__xludf.DUMMYFUNCTION("""COMPUTED_VALUE"""),"employee R")</f>
        <v>employee R</v>
      </c>
      <c r="D1372" s="7">
        <f>IFERROR(__xludf.DUMMYFUNCTION("""COMPUTED_VALUE"""),68.75)</f>
        <v>68.75</v>
      </c>
      <c r="E1372" s="6" t="str">
        <f>IFERROR(__xludf.DUMMYFUNCTION("""COMPUTED_VALUE"""),"No")</f>
        <v>No</v>
      </c>
      <c r="F1372" s="8" t="str">
        <f>IFERROR(__xludf.DUMMYFUNCTION("""COMPUTED_VALUE"""),"No")</f>
        <v>No</v>
      </c>
    </row>
    <row r="1373">
      <c r="A1373" s="5">
        <f>IFERROR(__xludf.DUMMYFUNCTION("""COMPUTED_VALUE"""),44864.0)</f>
        <v>44864</v>
      </c>
      <c r="B1373" s="6" t="str">
        <f>IFERROR(__xludf.DUMMYFUNCTION("""COMPUTED_VALUE"""),"lunch")</f>
        <v>lunch</v>
      </c>
      <c r="C1373" s="6" t="str">
        <f>IFERROR(__xludf.DUMMYFUNCTION("""COMPUTED_VALUE"""),"employee T")</f>
        <v>employee T</v>
      </c>
      <c r="D1373" s="7">
        <f>IFERROR(__xludf.DUMMYFUNCTION("""COMPUTED_VALUE"""),48.14)</f>
        <v>48.14</v>
      </c>
      <c r="E1373" s="6" t="str">
        <f>IFERROR(__xludf.DUMMYFUNCTION("""COMPUTED_VALUE"""),"No")</f>
        <v>No</v>
      </c>
      <c r="F1373" s="8" t="str">
        <f>IFERROR(__xludf.DUMMYFUNCTION("""COMPUTED_VALUE"""),"No")</f>
        <v>No</v>
      </c>
    </row>
    <row r="1374">
      <c r="A1374" s="5">
        <f>IFERROR(__xludf.DUMMYFUNCTION("""COMPUTED_VALUE"""),44864.0)</f>
        <v>44864</v>
      </c>
      <c r="B1374" s="6" t="str">
        <f>IFERROR(__xludf.DUMMYFUNCTION("""COMPUTED_VALUE"""),"dinner")</f>
        <v>dinner</v>
      </c>
      <c r="C1374" s="6" t="str">
        <f>IFERROR(__xludf.DUMMYFUNCTION("""COMPUTED_VALUE"""),"employee L")</f>
        <v>employee L</v>
      </c>
      <c r="D1374" s="7">
        <f>IFERROR(__xludf.DUMMYFUNCTION("""COMPUTED_VALUE"""),46.04)</f>
        <v>46.04</v>
      </c>
      <c r="E1374" s="6" t="str">
        <f>IFERROR(__xludf.DUMMYFUNCTION("""COMPUTED_VALUE"""),"No")</f>
        <v>No</v>
      </c>
      <c r="F1374" s="8" t="str">
        <f>IFERROR(__xludf.DUMMYFUNCTION("""COMPUTED_VALUE"""),"No")</f>
        <v>No</v>
      </c>
    </row>
    <row r="1375">
      <c r="A1375" s="5">
        <f>IFERROR(__xludf.DUMMYFUNCTION("""COMPUTED_VALUE"""),44864.0)</f>
        <v>44864</v>
      </c>
      <c r="B1375" s="6" t="str">
        <f>IFERROR(__xludf.DUMMYFUNCTION("""COMPUTED_VALUE"""),"dinner")</f>
        <v>dinner</v>
      </c>
      <c r="C1375" s="6" t="str">
        <f>IFERROR(__xludf.DUMMYFUNCTION("""COMPUTED_VALUE"""),"employee R")</f>
        <v>employee R</v>
      </c>
      <c r="D1375" s="7">
        <f>IFERROR(__xludf.DUMMYFUNCTION("""COMPUTED_VALUE"""),38.36)</f>
        <v>38.36</v>
      </c>
      <c r="E1375" s="6" t="str">
        <f>IFERROR(__xludf.DUMMYFUNCTION("""COMPUTED_VALUE"""),"No")</f>
        <v>No</v>
      </c>
      <c r="F1375" s="8" t="str">
        <f>IFERROR(__xludf.DUMMYFUNCTION("""COMPUTED_VALUE"""),"No")</f>
        <v>No</v>
      </c>
    </row>
    <row r="1376">
      <c r="A1376" s="5">
        <f>IFERROR(__xludf.DUMMYFUNCTION("""COMPUTED_VALUE"""),44864.0)</f>
        <v>44864</v>
      </c>
      <c r="B1376" s="6" t="str">
        <f>IFERROR(__xludf.DUMMYFUNCTION("""COMPUTED_VALUE"""),"dinner")</f>
        <v>dinner</v>
      </c>
      <c r="C1376" s="6" t="str">
        <f>IFERROR(__xludf.DUMMYFUNCTION("""COMPUTED_VALUE"""),"employee S")</f>
        <v>employee S</v>
      </c>
      <c r="D1376" s="7">
        <f>IFERROR(__xludf.DUMMYFUNCTION("""COMPUTED_VALUE"""),38.36)</f>
        <v>38.36</v>
      </c>
      <c r="E1376" s="6" t="str">
        <f>IFERROR(__xludf.DUMMYFUNCTION("""COMPUTED_VALUE"""),"No")</f>
        <v>No</v>
      </c>
      <c r="F1376" s="8" t="str">
        <f>IFERROR(__xludf.DUMMYFUNCTION("""COMPUTED_VALUE"""),"No")</f>
        <v>No</v>
      </c>
    </row>
    <row r="1377">
      <c r="A1377" s="5">
        <f>IFERROR(__xludf.DUMMYFUNCTION("""COMPUTED_VALUE"""),44865.0)</f>
        <v>44865</v>
      </c>
      <c r="B1377" s="6" t="str">
        <f>IFERROR(__xludf.DUMMYFUNCTION("""COMPUTED_VALUE"""),"lunch")</f>
        <v>lunch</v>
      </c>
      <c r="C1377" s="6" t="str">
        <f>IFERROR(__xludf.DUMMYFUNCTION("""COMPUTED_VALUE"""),"employee A")</f>
        <v>employee A</v>
      </c>
      <c r="D1377" s="7">
        <f>IFERROR(__xludf.DUMMYFUNCTION("""COMPUTED_VALUE"""),103.15)</f>
        <v>103.15</v>
      </c>
      <c r="E1377" s="6" t="str">
        <f>IFERROR(__xludf.DUMMYFUNCTION("""COMPUTED_VALUE"""),"No")</f>
        <v>No</v>
      </c>
      <c r="F1377" s="8" t="str">
        <f>IFERROR(__xludf.DUMMYFUNCTION("""COMPUTED_VALUE"""),"No")</f>
        <v>No</v>
      </c>
    </row>
    <row r="1378">
      <c r="A1378" s="5">
        <f>IFERROR(__xludf.DUMMYFUNCTION("""COMPUTED_VALUE"""),44865.0)</f>
        <v>44865</v>
      </c>
      <c r="B1378" s="6" t="str">
        <f>IFERROR(__xludf.DUMMYFUNCTION("""COMPUTED_VALUE"""),"dinner")</f>
        <v>dinner</v>
      </c>
      <c r="C1378" s="6" t="str">
        <f>IFERROR(__xludf.DUMMYFUNCTION("""COMPUTED_VALUE"""),"employee A")</f>
        <v>employee A</v>
      </c>
      <c r="D1378" s="7">
        <f>IFERROR(__xludf.DUMMYFUNCTION("""COMPUTED_VALUE"""),42.18)</f>
        <v>42.18</v>
      </c>
      <c r="E1378" s="6" t="str">
        <f>IFERROR(__xludf.DUMMYFUNCTION("""COMPUTED_VALUE"""),"No")</f>
        <v>No</v>
      </c>
      <c r="F1378" s="8" t="str">
        <f>IFERROR(__xludf.DUMMYFUNCTION("""COMPUTED_VALUE"""),"No")</f>
        <v>No</v>
      </c>
    </row>
    <row r="1379">
      <c r="A1379" s="5">
        <f>IFERROR(__xludf.DUMMYFUNCTION("""COMPUTED_VALUE"""),44865.0)</f>
        <v>44865</v>
      </c>
      <c r="B1379" s="6" t="str">
        <f>IFERROR(__xludf.DUMMYFUNCTION("""COMPUTED_VALUE"""),"dinner")</f>
        <v>dinner</v>
      </c>
      <c r="C1379" s="6" t="str">
        <f>IFERROR(__xludf.DUMMYFUNCTION("""COMPUTED_VALUE"""),"employee J")</f>
        <v>employee J</v>
      </c>
      <c r="D1379" s="7">
        <f>IFERROR(__xludf.DUMMYFUNCTION("""COMPUTED_VALUE"""),42.19)</f>
        <v>42.19</v>
      </c>
      <c r="E1379" s="6" t="str">
        <f>IFERROR(__xludf.DUMMYFUNCTION("""COMPUTED_VALUE"""),"No")</f>
        <v>No</v>
      </c>
      <c r="F1379" s="8" t="str">
        <f>IFERROR(__xludf.DUMMYFUNCTION("""COMPUTED_VALUE"""),"No")</f>
        <v>No</v>
      </c>
    </row>
    <row r="1380">
      <c r="A1380" s="5">
        <f>IFERROR(__xludf.DUMMYFUNCTION("""COMPUTED_VALUE"""),44866.0)</f>
        <v>44866</v>
      </c>
      <c r="B1380" s="6" t="str">
        <f>IFERROR(__xludf.DUMMYFUNCTION("""COMPUTED_VALUE"""),"lunch")</f>
        <v>lunch</v>
      </c>
      <c r="C1380" s="6" t="str">
        <f>IFERROR(__xludf.DUMMYFUNCTION("""COMPUTED_VALUE"""),"employee A")</f>
        <v>employee A</v>
      </c>
      <c r="D1380" s="7">
        <f>IFERROR(__xludf.DUMMYFUNCTION("""COMPUTED_VALUE"""),89.33)</f>
        <v>89.33</v>
      </c>
      <c r="E1380" s="6" t="str">
        <f>IFERROR(__xludf.DUMMYFUNCTION("""COMPUTED_VALUE"""),"No")</f>
        <v>No</v>
      </c>
      <c r="F1380" s="8" t="str">
        <f>IFERROR(__xludf.DUMMYFUNCTION("""COMPUTED_VALUE"""),"No")</f>
        <v>No</v>
      </c>
    </row>
    <row r="1381">
      <c r="A1381" s="5">
        <f>IFERROR(__xludf.DUMMYFUNCTION("""COMPUTED_VALUE"""),44866.0)</f>
        <v>44866</v>
      </c>
      <c r="B1381" s="6" t="str">
        <f>IFERROR(__xludf.DUMMYFUNCTION("""COMPUTED_VALUE"""),"dinner")</f>
        <v>dinner</v>
      </c>
      <c r="C1381" s="6" t="str">
        <f>IFERROR(__xludf.DUMMYFUNCTION("""COMPUTED_VALUE"""),"employee A")</f>
        <v>employee A</v>
      </c>
      <c r="D1381" s="7">
        <f>IFERROR(__xludf.DUMMYFUNCTION("""COMPUTED_VALUE"""),83.83)</f>
        <v>83.83</v>
      </c>
      <c r="E1381" s="6" t="str">
        <f>IFERROR(__xludf.DUMMYFUNCTION("""COMPUTED_VALUE"""),"No")</f>
        <v>No</v>
      </c>
      <c r="F1381" s="8" t="str">
        <f>IFERROR(__xludf.DUMMYFUNCTION("""COMPUTED_VALUE"""),"No")</f>
        <v>No</v>
      </c>
    </row>
    <row r="1382">
      <c r="A1382" s="5">
        <f>IFERROR(__xludf.DUMMYFUNCTION("""COMPUTED_VALUE"""),44866.0)</f>
        <v>44866</v>
      </c>
      <c r="B1382" s="6" t="str">
        <f>IFERROR(__xludf.DUMMYFUNCTION("""COMPUTED_VALUE"""),"dinner")</f>
        <v>dinner</v>
      </c>
      <c r="C1382" s="6" t="str">
        <f>IFERROR(__xludf.DUMMYFUNCTION("""COMPUTED_VALUE"""),"employee J")</f>
        <v>employee J</v>
      </c>
      <c r="D1382" s="7">
        <f>IFERROR(__xludf.DUMMYFUNCTION("""COMPUTED_VALUE"""),27.95)</f>
        <v>27.95</v>
      </c>
      <c r="E1382" s="6" t="str">
        <f>IFERROR(__xludf.DUMMYFUNCTION("""COMPUTED_VALUE"""),"No")</f>
        <v>No</v>
      </c>
      <c r="F1382" s="8" t="str">
        <f>IFERROR(__xludf.DUMMYFUNCTION("""COMPUTED_VALUE"""),"No")</f>
        <v>No</v>
      </c>
    </row>
    <row r="1383">
      <c r="A1383" s="5">
        <f>IFERROR(__xludf.DUMMYFUNCTION("""COMPUTED_VALUE"""),44866.0)</f>
        <v>44866</v>
      </c>
      <c r="B1383" s="6" t="str">
        <f>IFERROR(__xludf.DUMMYFUNCTION("""COMPUTED_VALUE"""),"dinner")</f>
        <v>dinner</v>
      </c>
      <c r="C1383" s="6" t="str">
        <f>IFERROR(__xludf.DUMMYFUNCTION("""COMPUTED_VALUE"""),"employee R")</f>
        <v>employee R</v>
      </c>
      <c r="D1383" s="7">
        <f>IFERROR(__xludf.DUMMYFUNCTION("""COMPUTED_VALUE"""),83.83)</f>
        <v>83.83</v>
      </c>
      <c r="E1383" s="6" t="str">
        <f>IFERROR(__xludf.DUMMYFUNCTION("""COMPUTED_VALUE"""),"No")</f>
        <v>No</v>
      </c>
      <c r="F1383" s="8" t="str">
        <f>IFERROR(__xludf.DUMMYFUNCTION("""COMPUTED_VALUE"""),"No")</f>
        <v>No</v>
      </c>
    </row>
    <row r="1384">
      <c r="A1384" s="5">
        <f>IFERROR(__xludf.DUMMYFUNCTION("""COMPUTED_VALUE"""),44867.0)</f>
        <v>44867</v>
      </c>
      <c r="B1384" s="6" t="str">
        <f>IFERROR(__xludf.DUMMYFUNCTION("""COMPUTED_VALUE"""),"lunch")</f>
        <v>lunch</v>
      </c>
      <c r="C1384" s="6" t="str">
        <f>IFERROR(__xludf.DUMMYFUNCTION("""COMPUTED_VALUE"""),"employee H")</f>
        <v>employee H</v>
      </c>
      <c r="D1384" s="7">
        <f>IFERROR(__xludf.DUMMYFUNCTION("""COMPUTED_VALUE"""),42.04)</f>
        <v>42.04</v>
      </c>
      <c r="E1384" s="6" t="str">
        <f>IFERROR(__xludf.DUMMYFUNCTION("""COMPUTED_VALUE"""),"No")</f>
        <v>No</v>
      </c>
      <c r="F1384" s="8" t="str">
        <f>IFERROR(__xludf.DUMMYFUNCTION("""COMPUTED_VALUE"""),"No")</f>
        <v>No</v>
      </c>
    </row>
    <row r="1385">
      <c r="A1385" s="5">
        <f>IFERROR(__xludf.DUMMYFUNCTION("""COMPUTED_VALUE"""),44867.0)</f>
        <v>44867</v>
      </c>
      <c r="B1385" s="6" t="str">
        <f>IFERROR(__xludf.DUMMYFUNCTION("""COMPUTED_VALUE"""),"dinner")</f>
        <v>dinner</v>
      </c>
      <c r="C1385" s="6" t="str">
        <f>IFERROR(__xludf.DUMMYFUNCTION("""COMPUTED_VALUE"""),"employee H")</f>
        <v>employee H</v>
      </c>
      <c r="D1385" s="7">
        <f>IFERROR(__xludf.DUMMYFUNCTION("""COMPUTED_VALUE"""),61.62)</f>
        <v>61.62</v>
      </c>
      <c r="E1385" s="6" t="str">
        <f>IFERROR(__xludf.DUMMYFUNCTION("""COMPUTED_VALUE"""),"No")</f>
        <v>No</v>
      </c>
      <c r="F1385" s="8" t="str">
        <f>IFERROR(__xludf.DUMMYFUNCTION("""COMPUTED_VALUE"""),"No")</f>
        <v>No</v>
      </c>
    </row>
    <row r="1386">
      <c r="A1386" s="5">
        <f>IFERROR(__xludf.DUMMYFUNCTION("""COMPUTED_VALUE"""),44867.0)</f>
        <v>44867</v>
      </c>
      <c r="B1386" s="6" t="str">
        <f>IFERROR(__xludf.DUMMYFUNCTION("""COMPUTED_VALUE"""),"dinner")</f>
        <v>dinner</v>
      </c>
      <c r="C1386" s="6" t="str">
        <f>IFERROR(__xludf.DUMMYFUNCTION("""COMPUTED_VALUE"""),"employee J")</f>
        <v>employee J</v>
      </c>
      <c r="D1386" s="7">
        <f>IFERROR(__xludf.DUMMYFUNCTION("""COMPUTED_VALUE"""),34.22)</f>
        <v>34.22</v>
      </c>
      <c r="E1386" s="6" t="str">
        <f>IFERROR(__xludf.DUMMYFUNCTION("""COMPUTED_VALUE"""),"No")</f>
        <v>No</v>
      </c>
      <c r="F1386" s="8" t="str">
        <f>IFERROR(__xludf.DUMMYFUNCTION("""COMPUTED_VALUE"""),"No")</f>
        <v>No</v>
      </c>
    </row>
    <row r="1387">
      <c r="A1387" s="5">
        <f>IFERROR(__xludf.DUMMYFUNCTION("""COMPUTED_VALUE"""),44867.0)</f>
        <v>44867</v>
      </c>
      <c r="B1387" s="6" t="str">
        <f>IFERROR(__xludf.DUMMYFUNCTION("""COMPUTED_VALUE"""),"dinner")</f>
        <v>dinner</v>
      </c>
      <c r="C1387" s="6" t="str">
        <f>IFERROR(__xludf.DUMMYFUNCTION("""COMPUTED_VALUE"""),"employee A")</f>
        <v>employee A</v>
      </c>
      <c r="D1387" s="7">
        <f>IFERROR(__xludf.DUMMYFUNCTION("""COMPUTED_VALUE"""),27.38)</f>
        <v>27.38</v>
      </c>
      <c r="E1387" s="6" t="str">
        <f>IFERROR(__xludf.DUMMYFUNCTION("""COMPUTED_VALUE"""),"No")</f>
        <v>No</v>
      </c>
      <c r="F1387" s="8" t="str">
        <f>IFERROR(__xludf.DUMMYFUNCTION("""COMPUTED_VALUE"""),"No")</f>
        <v>No</v>
      </c>
    </row>
    <row r="1388">
      <c r="A1388" s="5">
        <f>IFERROR(__xludf.DUMMYFUNCTION("""COMPUTED_VALUE"""),44868.0)</f>
        <v>44868</v>
      </c>
      <c r="B1388" s="6" t="str">
        <f>IFERROR(__xludf.DUMMYFUNCTION("""COMPUTED_VALUE"""),"lunch")</f>
        <v>lunch</v>
      </c>
      <c r="C1388" s="6" t="str">
        <f>IFERROR(__xludf.DUMMYFUNCTION("""COMPUTED_VALUE"""),"employee J")</f>
        <v>employee J</v>
      </c>
      <c r="D1388" s="7">
        <f>IFERROR(__xludf.DUMMYFUNCTION("""COMPUTED_VALUE"""),109.99)</f>
        <v>109.99</v>
      </c>
      <c r="E1388" s="6" t="str">
        <f>IFERROR(__xludf.DUMMYFUNCTION("""COMPUTED_VALUE"""),"No")</f>
        <v>No</v>
      </c>
      <c r="F1388" s="8" t="str">
        <f>IFERROR(__xludf.DUMMYFUNCTION("""COMPUTED_VALUE"""),"No")</f>
        <v>No</v>
      </c>
    </row>
    <row r="1389">
      <c r="A1389" s="5">
        <f>IFERROR(__xludf.DUMMYFUNCTION("""COMPUTED_VALUE"""),44868.0)</f>
        <v>44868</v>
      </c>
      <c r="B1389" s="6" t="str">
        <f>IFERROR(__xludf.DUMMYFUNCTION("""COMPUTED_VALUE"""),"dinner")</f>
        <v>dinner</v>
      </c>
      <c r="C1389" s="6" t="str">
        <f>IFERROR(__xludf.DUMMYFUNCTION("""COMPUTED_VALUE"""),"employee J")</f>
        <v>employee J</v>
      </c>
      <c r="D1389" s="7">
        <f>IFERROR(__xludf.DUMMYFUNCTION("""COMPUTED_VALUE"""),76.0)</f>
        <v>76</v>
      </c>
      <c r="E1389" s="6" t="str">
        <f>IFERROR(__xludf.DUMMYFUNCTION("""COMPUTED_VALUE"""),"No")</f>
        <v>No</v>
      </c>
      <c r="F1389" s="8" t="str">
        <f>IFERROR(__xludf.DUMMYFUNCTION("""COMPUTED_VALUE"""),"No")</f>
        <v>No</v>
      </c>
    </row>
    <row r="1390">
      <c r="A1390" s="5">
        <f>IFERROR(__xludf.DUMMYFUNCTION("""COMPUTED_VALUE"""),44868.0)</f>
        <v>44868</v>
      </c>
      <c r="B1390" s="6" t="str">
        <f>IFERROR(__xludf.DUMMYFUNCTION("""COMPUTED_VALUE"""),"dinner")</f>
        <v>dinner</v>
      </c>
      <c r="C1390" s="6" t="str">
        <f>IFERROR(__xludf.DUMMYFUNCTION("""COMPUTED_VALUE"""),"employee R")</f>
        <v>employee R</v>
      </c>
      <c r="D1390" s="7">
        <f>IFERROR(__xludf.DUMMYFUNCTION("""COMPUTED_VALUE"""),76.0)</f>
        <v>76</v>
      </c>
      <c r="E1390" s="6" t="str">
        <f>IFERROR(__xludf.DUMMYFUNCTION("""COMPUTED_VALUE"""),"No")</f>
        <v>No</v>
      </c>
      <c r="F1390" s="8" t="str">
        <f>IFERROR(__xludf.DUMMYFUNCTION("""COMPUTED_VALUE"""),"No")</f>
        <v>No</v>
      </c>
    </row>
    <row r="1391">
      <c r="A1391" s="5">
        <f>IFERROR(__xludf.DUMMYFUNCTION("""COMPUTED_VALUE"""),44868.0)</f>
        <v>44868</v>
      </c>
      <c r="B1391" s="6" t="str">
        <f>IFERROR(__xludf.DUMMYFUNCTION("""COMPUTED_VALUE"""),"dinner")</f>
        <v>dinner</v>
      </c>
      <c r="C1391" s="6" t="str">
        <f>IFERROR(__xludf.DUMMYFUNCTION("""COMPUTED_VALUE"""),"employee S")</f>
        <v>employee S</v>
      </c>
      <c r="D1391" s="7">
        <f>IFERROR(__xludf.DUMMYFUNCTION("""COMPUTED_VALUE"""),24.49)</f>
        <v>24.49</v>
      </c>
      <c r="E1391" s="6" t="str">
        <f>IFERROR(__xludf.DUMMYFUNCTION("""COMPUTED_VALUE"""),"No")</f>
        <v>No</v>
      </c>
      <c r="F1391" s="8" t="str">
        <f>IFERROR(__xludf.DUMMYFUNCTION("""COMPUTED_VALUE"""),"No")</f>
        <v>No</v>
      </c>
    </row>
    <row r="1392">
      <c r="A1392" s="5">
        <f>IFERROR(__xludf.DUMMYFUNCTION("""COMPUTED_VALUE"""),44869.0)</f>
        <v>44869</v>
      </c>
      <c r="B1392" s="6" t="str">
        <f>IFERROR(__xludf.DUMMYFUNCTION("""COMPUTED_VALUE"""),"lunch")</f>
        <v>lunch</v>
      </c>
      <c r="C1392" s="6" t="str">
        <f>IFERROR(__xludf.DUMMYFUNCTION("""COMPUTED_VALUE"""),"employee J")</f>
        <v>employee J</v>
      </c>
      <c r="D1392" s="7">
        <f>IFERROR(__xludf.DUMMYFUNCTION("""COMPUTED_VALUE"""),71.58)</f>
        <v>71.58</v>
      </c>
      <c r="E1392" s="6" t="str">
        <f>IFERROR(__xludf.DUMMYFUNCTION("""COMPUTED_VALUE"""),"No")</f>
        <v>No</v>
      </c>
      <c r="F1392" s="8" t="str">
        <f>IFERROR(__xludf.DUMMYFUNCTION("""COMPUTED_VALUE"""),"No")</f>
        <v>No</v>
      </c>
    </row>
    <row r="1393">
      <c r="A1393" s="5">
        <f>IFERROR(__xludf.DUMMYFUNCTION("""COMPUTED_VALUE"""),44869.0)</f>
        <v>44869</v>
      </c>
      <c r="B1393" s="6" t="str">
        <f>IFERROR(__xludf.DUMMYFUNCTION("""COMPUTED_VALUE"""),"dinner")</f>
        <v>dinner</v>
      </c>
      <c r="C1393" s="6" t="str">
        <f>IFERROR(__xludf.DUMMYFUNCTION("""COMPUTED_VALUE"""),"employee J")</f>
        <v>employee J</v>
      </c>
      <c r="D1393" s="7">
        <f>IFERROR(__xludf.DUMMYFUNCTION("""COMPUTED_VALUE"""),100.92)</f>
        <v>100.92</v>
      </c>
      <c r="E1393" s="6" t="str">
        <f>IFERROR(__xludf.DUMMYFUNCTION("""COMPUTED_VALUE"""),"No")</f>
        <v>No</v>
      </c>
      <c r="F1393" s="8" t="str">
        <f>IFERROR(__xludf.DUMMYFUNCTION("""COMPUTED_VALUE"""),"No")</f>
        <v>No</v>
      </c>
    </row>
    <row r="1394">
      <c r="A1394" s="5">
        <f>IFERROR(__xludf.DUMMYFUNCTION("""COMPUTED_VALUE"""),44869.0)</f>
        <v>44869</v>
      </c>
      <c r="B1394" s="6" t="str">
        <f>IFERROR(__xludf.DUMMYFUNCTION("""COMPUTED_VALUE"""),"dinner")</f>
        <v>dinner</v>
      </c>
      <c r="C1394" s="6" t="str">
        <f>IFERROR(__xludf.DUMMYFUNCTION("""COMPUTED_VALUE"""),"employee H")</f>
        <v>employee H</v>
      </c>
      <c r="D1394" s="7">
        <f>IFERROR(__xludf.DUMMYFUNCTION("""COMPUTED_VALUE"""),100.92)</f>
        <v>100.92</v>
      </c>
      <c r="E1394" s="6" t="str">
        <f>IFERROR(__xludf.DUMMYFUNCTION("""COMPUTED_VALUE"""),"No")</f>
        <v>No</v>
      </c>
      <c r="F1394" s="8" t="str">
        <f>IFERROR(__xludf.DUMMYFUNCTION("""COMPUTED_VALUE"""),"No")</f>
        <v>No</v>
      </c>
    </row>
    <row r="1395">
      <c r="A1395" s="5">
        <f>IFERROR(__xludf.DUMMYFUNCTION("""COMPUTED_VALUE"""),44869.0)</f>
        <v>44869</v>
      </c>
      <c r="B1395" s="6" t="str">
        <f>IFERROR(__xludf.DUMMYFUNCTION("""COMPUTED_VALUE"""),"dinner")</f>
        <v>dinner</v>
      </c>
      <c r="C1395" s="6" t="str">
        <f>IFERROR(__xludf.DUMMYFUNCTION("""COMPUTED_VALUE"""),"employee S")</f>
        <v>employee S</v>
      </c>
      <c r="D1395" s="7">
        <f>IFERROR(__xludf.DUMMYFUNCTION("""COMPUTED_VALUE"""),67.28)</f>
        <v>67.28</v>
      </c>
      <c r="E1395" s="6" t="str">
        <f>IFERROR(__xludf.DUMMYFUNCTION("""COMPUTED_VALUE"""),"No")</f>
        <v>No</v>
      </c>
      <c r="F1395" s="8" t="str">
        <f>IFERROR(__xludf.DUMMYFUNCTION("""COMPUTED_VALUE"""),"No")</f>
        <v>No</v>
      </c>
    </row>
    <row r="1396">
      <c r="A1396" s="5">
        <f>IFERROR(__xludf.DUMMYFUNCTION("""COMPUTED_VALUE"""),44870.0)</f>
        <v>44870</v>
      </c>
      <c r="B1396" s="6" t="str">
        <f>IFERROR(__xludf.DUMMYFUNCTION("""COMPUTED_VALUE"""),"lunch")</f>
        <v>lunch</v>
      </c>
      <c r="C1396" s="6" t="str">
        <f>IFERROR(__xludf.DUMMYFUNCTION("""COMPUTED_VALUE"""),"employee J")</f>
        <v>employee J</v>
      </c>
      <c r="D1396" s="7">
        <f>IFERROR(__xludf.DUMMYFUNCTION("""COMPUTED_VALUE"""),144.62)</f>
        <v>144.62</v>
      </c>
      <c r="E1396" s="6" t="str">
        <f>IFERROR(__xludf.DUMMYFUNCTION("""COMPUTED_VALUE"""),"No")</f>
        <v>No</v>
      </c>
      <c r="F1396" s="8" t="str">
        <f>IFERROR(__xludf.DUMMYFUNCTION("""COMPUTED_VALUE"""),"No")</f>
        <v>No</v>
      </c>
    </row>
    <row r="1397">
      <c r="A1397" s="5">
        <f>IFERROR(__xludf.DUMMYFUNCTION("""COMPUTED_VALUE"""),44870.0)</f>
        <v>44870</v>
      </c>
      <c r="B1397" s="6" t="str">
        <f>IFERROR(__xludf.DUMMYFUNCTION("""COMPUTED_VALUE"""),"lunch")</f>
        <v>lunch</v>
      </c>
      <c r="C1397" s="6" t="str">
        <f>IFERROR(__xludf.DUMMYFUNCTION("""COMPUTED_VALUE"""),"employee H")</f>
        <v>employee H</v>
      </c>
      <c r="D1397" s="7">
        <f>IFERROR(__xludf.DUMMYFUNCTION("""COMPUTED_VALUE"""),103.32)</f>
        <v>103.32</v>
      </c>
      <c r="E1397" s="6" t="str">
        <f>IFERROR(__xludf.DUMMYFUNCTION("""COMPUTED_VALUE"""),"No")</f>
        <v>No</v>
      </c>
      <c r="F1397" s="8" t="str">
        <f>IFERROR(__xludf.DUMMYFUNCTION("""COMPUTED_VALUE"""),"No")</f>
        <v>No</v>
      </c>
    </row>
    <row r="1398">
      <c r="A1398" s="5">
        <f>IFERROR(__xludf.DUMMYFUNCTION("""COMPUTED_VALUE"""),44870.0)</f>
        <v>44870</v>
      </c>
      <c r="B1398" s="6" t="str">
        <f>IFERROR(__xludf.DUMMYFUNCTION("""COMPUTED_VALUE"""),"lunch")</f>
        <v>lunch</v>
      </c>
      <c r="C1398" s="6" t="str">
        <f>IFERROR(__xludf.DUMMYFUNCTION("""COMPUTED_VALUE"""),"employee U")</f>
        <v>employee U</v>
      </c>
      <c r="D1398" s="7">
        <f>IFERROR(__xludf.DUMMYFUNCTION("""COMPUTED_VALUE"""),0.0)</f>
        <v>0</v>
      </c>
      <c r="E1398" s="6" t="str">
        <f>IFERROR(__xludf.DUMMYFUNCTION("""COMPUTED_VALUE"""),"Yes")</f>
        <v>Yes</v>
      </c>
      <c r="F1398" s="8" t="str">
        <f>IFERROR(__xludf.DUMMYFUNCTION("""COMPUTED_VALUE"""),"No")</f>
        <v>No</v>
      </c>
    </row>
    <row r="1399">
      <c r="A1399" s="5">
        <f>IFERROR(__xludf.DUMMYFUNCTION("""COMPUTED_VALUE"""),44870.0)</f>
        <v>44870</v>
      </c>
      <c r="B1399" s="6" t="str">
        <f>IFERROR(__xludf.DUMMYFUNCTION("""COMPUTED_VALUE"""),"dinner")</f>
        <v>dinner</v>
      </c>
      <c r="C1399" s="6" t="str">
        <f>IFERROR(__xludf.DUMMYFUNCTION("""COMPUTED_VALUE"""),"employee J")</f>
        <v>employee J</v>
      </c>
      <c r="D1399" s="7">
        <f>IFERROR(__xludf.DUMMYFUNCTION("""COMPUTED_VALUE"""),54.09)</f>
        <v>54.09</v>
      </c>
      <c r="E1399" s="6" t="str">
        <f>IFERROR(__xludf.DUMMYFUNCTION("""COMPUTED_VALUE"""),"No")</f>
        <v>No</v>
      </c>
      <c r="F1399" s="8" t="str">
        <f>IFERROR(__xludf.DUMMYFUNCTION("""COMPUTED_VALUE"""),"No")</f>
        <v>No</v>
      </c>
    </row>
    <row r="1400">
      <c r="A1400" s="5">
        <f>IFERROR(__xludf.DUMMYFUNCTION("""COMPUTED_VALUE"""),44870.0)</f>
        <v>44870</v>
      </c>
      <c r="B1400" s="6" t="str">
        <f>IFERROR(__xludf.DUMMYFUNCTION("""COMPUTED_VALUE"""),"dinner")</f>
        <v>dinner</v>
      </c>
      <c r="C1400" s="6" t="str">
        <f>IFERROR(__xludf.DUMMYFUNCTION("""COMPUTED_VALUE"""),"employee H")</f>
        <v>employee H</v>
      </c>
      <c r="D1400" s="7">
        <f>IFERROR(__xludf.DUMMYFUNCTION("""COMPUTED_VALUE"""),108.19)</f>
        <v>108.19</v>
      </c>
      <c r="E1400" s="6" t="str">
        <f>IFERROR(__xludf.DUMMYFUNCTION("""COMPUTED_VALUE"""),"No")</f>
        <v>No</v>
      </c>
      <c r="F1400" s="8" t="str">
        <f>IFERROR(__xludf.DUMMYFUNCTION("""COMPUTED_VALUE"""),"No")</f>
        <v>No</v>
      </c>
    </row>
    <row r="1401">
      <c r="A1401" s="5">
        <f>IFERROR(__xludf.DUMMYFUNCTION("""COMPUTED_VALUE"""),44870.0)</f>
        <v>44870</v>
      </c>
      <c r="B1401" s="6" t="str">
        <f>IFERROR(__xludf.DUMMYFUNCTION("""COMPUTED_VALUE"""),"dinner")</f>
        <v>dinner</v>
      </c>
      <c r="C1401" s="6" t="str">
        <f>IFERROR(__xludf.DUMMYFUNCTION("""COMPUTED_VALUE"""),"employee R")</f>
        <v>employee R</v>
      </c>
      <c r="D1401" s="7">
        <f>IFERROR(__xludf.DUMMYFUNCTION("""COMPUTED_VALUE"""),108.19)</f>
        <v>108.19</v>
      </c>
      <c r="E1401" s="6" t="str">
        <f>IFERROR(__xludf.DUMMYFUNCTION("""COMPUTED_VALUE"""),"No")</f>
        <v>No</v>
      </c>
      <c r="F1401" s="8" t="str">
        <f>IFERROR(__xludf.DUMMYFUNCTION("""COMPUTED_VALUE"""),"No")</f>
        <v>No</v>
      </c>
    </row>
    <row r="1402">
      <c r="A1402" s="5">
        <f>IFERROR(__xludf.DUMMYFUNCTION("""COMPUTED_VALUE"""),44870.0)</f>
        <v>44870</v>
      </c>
      <c r="B1402" s="6" t="str">
        <f>IFERROR(__xludf.DUMMYFUNCTION("""COMPUTED_VALUE"""),"dinner")</f>
        <v>dinner</v>
      </c>
      <c r="C1402" s="6" t="str">
        <f>IFERROR(__xludf.DUMMYFUNCTION("""COMPUTED_VALUE"""),"employee U")</f>
        <v>employee U</v>
      </c>
      <c r="D1402" s="7">
        <f>IFERROR(__xludf.DUMMYFUNCTION("""COMPUTED_VALUE"""),0.0)</f>
        <v>0</v>
      </c>
      <c r="E1402" s="6" t="str">
        <f>IFERROR(__xludf.DUMMYFUNCTION("""COMPUTED_VALUE"""),"Yes")</f>
        <v>Yes</v>
      </c>
      <c r="F1402" s="8" t="str">
        <f>IFERROR(__xludf.DUMMYFUNCTION("""COMPUTED_VALUE"""),"No")</f>
        <v>No</v>
      </c>
    </row>
    <row r="1403">
      <c r="A1403" s="5">
        <f>IFERROR(__xludf.DUMMYFUNCTION("""COMPUTED_VALUE"""),44871.0)</f>
        <v>44871</v>
      </c>
      <c r="B1403" s="6" t="str">
        <f>IFERROR(__xludf.DUMMYFUNCTION("""COMPUTED_VALUE"""),"lunch")</f>
        <v>lunch</v>
      </c>
      <c r="C1403" s="6" t="str">
        <f>IFERROR(__xludf.DUMMYFUNCTION("""COMPUTED_VALUE"""),"employee A")</f>
        <v>employee A</v>
      </c>
      <c r="D1403" s="7">
        <f>IFERROR(__xludf.DUMMYFUNCTION("""COMPUTED_VALUE"""),95.33)</f>
        <v>95.33</v>
      </c>
      <c r="E1403" s="6" t="str">
        <f>IFERROR(__xludf.DUMMYFUNCTION("""COMPUTED_VALUE"""),"No")</f>
        <v>No</v>
      </c>
      <c r="F1403" s="8" t="str">
        <f>IFERROR(__xludf.DUMMYFUNCTION("""COMPUTED_VALUE"""),"No")</f>
        <v>No</v>
      </c>
    </row>
    <row r="1404">
      <c r="A1404" s="5">
        <f>IFERROR(__xludf.DUMMYFUNCTION("""COMPUTED_VALUE"""),44871.0)</f>
        <v>44871</v>
      </c>
      <c r="B1404" s="6" t="str">
        <f>IFERROR(__xludf.DUMMYFUNCTION("""COMPUTED_VALUE"""),"lunch")</f>
        <v>lunch</v>
      </c>
      <c r="C1404" s="6" t="str">
        <f>IFERROR(__xludf.DUMMYFUNCTION("""COMPUTED_VALUE"""),"employee R")</f>
        <v>employee R</v>
      </c>
      <c r="D1404" s="7">
        <f>IFERROR(__xludf.DUMMYFUNCTION("""COMPUTED_VALUE"""),68.05)</f>
        <v>68.05</v>
      </c>
      <c r="E1404" s="6" t="str">
        <f>IFERROR(__xludf.DUMMYFUNCTION("""COMPUTED_VALUE"""),"No")</f>
        <v>No</v>
      </c>
      <c r="F1404" s="8" t="str">
        <f>IFERROR(__xludf.DUMMYFUNCTION("""COMPUTED_VALUE"""),"No")</f>
        <v>No</v>
      </c>
    </row>
    <row r="1405">
      <c r="A1405" s="5">
        <f>IFERROR(__xludf.DUMMYFUNCTION("""COMPUTED_VALUE"""),44871.0)</f>
        <v>44871</v>
      </c>
      <c r="B1405" s="6" t="str">
        <f>IFERROR(__xludf.DUMMYFUNCTION("""COMPUTED_VALUE"""),"lunch")</f>
        <v>lunch</v>
      </c>
      <c r="C1405" s="6" t="str">
        <f>IFERROR(__xludf.DUMMYFUNCTION("""COMPUTED_VALUE"""),"employee H")</f>
        <v>employee H</v>
      </c>
      <c r="D1405" s="7">
        <f>IFERROR(__xludf.DUMMYFUNCTION("""COMPUTED_VALUE"""),54.44)</f>
        <v>54.44</v>
      </c>
      <c r="E1405" s="6" t="str">
        <f>IFERROR(__xludf.DUMMYFUNCTION("""COMPUTED_VALUE"""),"No")</f>
        <v>No</v>
      </c>
      <c r="F1405" s="8" t="str">
        <f>IFERROR(__xludf.DUMMYFUNCTION("""COMPUTED_VALUE"""),"No")</f>
        <v>No</v>
      </c>
    </row>
    <row r="1406">
      <c r="A1406" s="5">
        <f>IFERROR(__xludf.DUMMYFUNCTION("""COMPUTED_VALUE"""),44871.0)</f>
        <v>44871</v>
      </c>
      <c r="B1406" s="6" t="str">
        <f>IFERROR(__xludf.DUMMYFUNCTION("""COMPUTED_VALUE"""),"dinner")</f>
        <v>dinner</v>
      </c>
      <c r="C1406" s="6" t="str">
        <f>IFERROR(__xludf.DUMMYFUNCTION("""COMPUTED_VALUE"""),"employee J")</f>
        <v>employee J</v>
      </c>
      <c r="D1406" s="7">
        <f>IFERROR(__xludf.DUMMYFUNCTION("""COMPUTED_VALUE"""),77.71)</f>
        <v>77.71</v>
      </c>
      <c r="E1406" s="6" t="str">
        <f>IFERROR(__xludf.DUMMYFUNCTION("""COMPUTED_VALUE"""),"No")</f>
        <v>No</v>
      </c>
      <c r="F1406" s="8" t="str">
        <f>IFERROR(__xludf.DUMMYFUNCTION("""COMPUTED_VALUE"""),"No")</f>
        <v>No</v>
      </c>
    </row>
    <row r="1407">
      <c r="A1407" s="5">
        <f>IFERROR(__xludf.DUMMYFUNCTION("""COMPUTED_VALUE"""),44871.0)</f>
        <v>44871</v>
      </c>
      <c r="B1407" s="6" t="str">
        <f>IFERROR(__xludf.DUMMYFUNCTION("""COMPUTED_VALUE"""),"dinner")</f>
        <v>dinner</v>
      </c>
      <c r="C1407" s="6" t="str">
        <f>IFERROR(__xludf.DUMMYFUNCTION("""COMPUTED_VALUE"""),"employee S")</f>
        <v>employee S</v>
      </c>
      <c r="D1407" s="7">
        <f>IFERROR(__xludf.DUMMYFUNCTION("""COMPUTED_VALUE"""),77.71)</f>
        <v>77.71</v>
      </c>
      <c r="E1407" s="6" t="str">
        <f>IFERROR(__xludf.DUMMYFUNCTION("""COMPUTED_VALUE"""),"No")</f>
        <v>No</v>
      </c>
      <c r="F1407" s="8" t="str">
        <f>IFERROR(__xludf.DUMMYFUNCTION("""COMPUTED_VALUE"""),"No")</f>
        <v>No</v>
      </c>
    </row>
    <row r="1408">
      <c r="A1408" s="5">
        <f>IFERROR(__xludf.DUMMYFUNCTION("""COMPUTED_VALUE"""),44871.0)</f>
        <v>44871</v>
      </c>
      <c r="B1408" s="6" t="str">
        <f>IFERROR(__xludf.DUMMYFUNCTION("""COMPUTED_VALUE"""),"dinner")</f>
        <v>dinner</v>
      </c>
      <c r="C1408" s="6" t="str">
        <f>IFERROR(__xludf.DUMMYFUNCTION("""COMPUTED_VALUE"""),"employee U")</f>
        <v>employee U</v>
      </c>
      <c r="D1408" s="7">
        <f>IFERROR(__xludf.DUMMYFUNCTION("""COMPUTED_VALUE"""),0.0)</f>
        <v>0</v>
      </c>
      <c r="E1408" s="6" t="str">
        <f>IFERROR(__xludf.DUMMYFUNCTION("""COMPUTED_VALUE"""),"Yes")</f>
        <v>Yes</v>
      </c>
      <c r="F1408" s="8" t="str">
        <f>IFERROR(__xludf.DUMMYFUNCTION("""COMPUTED_VALUE"""),"No")</f>
        <v>No</v>
      </c>
    </row>
    <row r="1409">
      <c r="A1409" s="5">
        <f>IFERROR(__xludf.DUMMYFUNCTION("""COMPUTED_VALUE"""),44872.0)</f>
        <v>44872</v>
      </c>
      <c r="B1409" s="6" t="str">
        <f>IFERROR(__xludf.DUMMYFUNCTION("""COMPUTED_VALUE"""),"lunch")</f>
        <v>lunch</v>
      </c>
      <c r="C1409" s="6" t="str">
        <f>IFERROR(__xludf.DUMMYFUNCTION("""COMPUTED_VALUE"""),"employee A")</f>
        <v>employee A</v>
      </c>
      <c r="D1409" s="7">
        <f>IFERROR(__xludf.DUMMYFUNCTION("""COMPUTED_VALUE"""),108.83)</f>
        <v>108.83</v>
      </c>
      <c r="E1409" s="6" t="str">
        <f>IFERROR(__xludf.DUMMYFUNCTION("""COMPUTED_VALUE"""),"No")</f>
        <v>No</v>
      </c>
      <c r="F1409" s="8" t="str">
        <f>IFERROR(__xludf.DUMMYFUNCTION("""COMPUTED_VALUE"""),"No")</f>
        <v>No</v>
      </c>
    </row>
    <row r="1410">
      <c r="A1410" s="5">
        <f>IFERROR(__xludf.DUMMYFUNCTION("""COMPUTED_VALUE"""),44872.0)</f>
        <v>44872</v>
      </c>
      <c r="B1410" s="6" t="str">
        <f>IFERROR(__xludf.DUMMYFUNCTION("""COMPUTED_VALUE"""),"dinner")</f>
        <v>dinner</v>
      </c>
      <c r="C1410" s="6" t="str">
        <f>IFERROR(__xludf.DUMMYFUNCTION("""COMPUTED_VALUE"""),"employee A")</f>
        <v>employee A</v>
      </c>
      <c r="D1410" s="7">
        <f>IFERROR(__xludf.DUMMYFUNCTION("""COMPUTED_VALUE"""),51.55)</f>
        <v>51.55</v>
      </c>
      <c r="E1410" s="6" t="str">
        <f>IFERROR(__xludf.DUMMYFUNCTION("""COMPUTED_VALUE"""),"No")</f>
        <v>No</v>
      </c>
      <c r="F1410" s="8" t="str">
        <f>IFERROR(__xludf.DUMMYFUNCTION("""COMPUTED_VALUE"""),"No")</f>
        <v>No</v>
      </c>
    </row>
    <row r="1411">
      <c r="A1411" s="5">
        <f>IFERROR(__xludf.DUMMYFUNCTION("""COMPUTED_VALUE"""),44872.0)</f>
        <v>44872</v>
      </c>
      <c r="B1411" s="6" t="str">
        <f>IFERROR(__xludf.DUMMYFUNCTION("""COMPUTED_VALUE"""),"dinner")</f>
        <v>dinner</v>
      </c>
      <c r="C1411" s="6" t="str">
        <f>IFERROR(__xludf.DUMMYFUNCTION("""COMPUTED_VALUE"""),"employee R")</f>
        <v>employee R</v>
      </c>
      <c r="D1411" s="7">
        <f>IFERROR(__xludf.DUMMYFUNCTION("""COMPUTED_VALUE"""),51.56)</f>
        <v>51.56</v>
      </c>
      <c r="E1411" s="6" t="str">
        <f>IFERROR(__xludf.DUMMYFUNCTION("""COMPUTED_VALUE"""),"No")</f>
        <v>No</v>
      </c>
      <c r="F1411" s="8" t="str">
        <f>IFERROR(__xludf.DUMMYFUNCTION("""COMPUTED_VALUE"""),"No")</f>
        <v>No</v>
      </c>
    </row>
    <row r="1412">
      <c r="A1412" s="5">
        <f>IFERROR(__xludf.DUMMYFUNCTION("""COMPUTED_VALUE"""),44872.0)</f>
        <v>44872</v>
      </c>
      <c r="B1412" s="6" t="str">
        <f>IFERROR(__xludf.DUMMYFUNCTION("""COMPUTED_VALUE"""),"dinner")</f>
        <v>dinner</v>
      </c>
      <c r="C1412" s="6" t="str">
        <f>IFERROR(__xludf.DUMMYFUNCTION("""COMPUTED_VALUE"""),"employee H")</f>
        <v>employee H</v>
      </c>
      <c r="D1412" s="7">
        <f>IFERROR(__xludf.DUMMYFUNCTION("""COMPUTED_VALUE"""),51.56)</f>
        <v>51.56</v>
      </c>
      <c r="E1412" s="6" t="str">
        <f>IFERROR(__xludf.DUMMYFUNCTION("""COMPUTED_VALUE"""),"No")</f>
        <v>No</v>
      </c>
      <c r="F1412" s="8" t="str">
        <f>IFERROR(__xludf.DUMMYFUNCTION("""COMPUTED_VALUE"""),"No")</f>
        <v>No</v>
      </c>
    </row>
    <row r="1413">
      <c r="A1413" s="5">
        <f>IFERROR(__xludf.DUMMYFUNCTION("""COMPUTED_VALUE"""),373591.0)</f>
        <v>373591</v>
      </c>
      <c r="B1413" s="6" t="str">
        <f>IFERROR(__xludf.DUMMYFUNCTION("""COMPUTED_VALUE"""),"lunch")</f>
        <v>lunch</v>
      </c>
      <c r="C1413" s="6" t="str">
        <f>IFERROR(__xludf.DUMMYFUNCTION("""COMPUTED_VALUE"""),"employee A")</f>
        <v>employee A</v>
      </c>
      <c r="D1413" s="7">
        <f>IFERROR(__xludf.DUMMYFUNCTION("""COMPUTED_VALUE"""),112.38)</f>
        <v>112.38</v>
      </c>
      <c r="E1413" s="6" t="str">
        <f>IFERROR(__xludf.DUMMYFUNCTION("""COMPUTED_VALUE"""),"No")</f>
        <v>No</v>
      </c>
      <c r="F1413" s="8" t="str">
        <f>IFERROR(__xludf.DUMMYFUNCTION("""COMPUTED_VALUE"""),"No")</f>
        <v>No</v>
      </c>
    </row>
    <row r="1414">
      <c r="A1414" s="5">
        <f>IFERROR(__xludf.DUMMYFUNCTION("""COMPUTED_VALUE"""),44873.0)</f>
        <v>44873</v>
      </c>
      <c r="B1414" s="6" t="str">
        <f>IFERROR(__xludf.DUMMYFUNCTION("""COMPUTED_VALUE"""),"dinner")</f>
        <v>dinner</v>
      </c>
      <c r="C1414" s="6" t="str">
        <f>IFERROR(__xludf.DUMMYFUNCTION("""COMPUTED_VALUE"""),"employee A")</f>
        <v>employee A</v>
      </c>
      <c r="D1414" s="7">
        <f>IFERROR(__xludf.DUMMYFUNCTION("""COMPUTED_VALUE"""),66.41)</f>
        <v>66.41</v>
      </c>
      <c r="E1414" s="6" t="str">
        <f>IFERROR(__xludf.DUMMYFUNCTION("""COMPUTED_VALUE"""),"No")</f>
        <v>No</v>
      </c>
      <c r="F1414" s="8" t="str">
        <f>IFERROR(__xludf.DUMMYFUNCTION("""COMPUTED_VALUE"""),"No")</f>
        <v>No</v>
      </c>
    </row>
    <row r="1415">
      <c r="A1415" s="5">
        <f>IFERROR(__xludf.DUMMYFUNCTION("""COMPUTED_VALUE"""),44873.0)</f>
        <v>44873</v>
      </c>
      <c r="B1415" s="6" t="str">
        <f>IFERROR(__xludf.DUMMYFUNCTION("""COMPUTED_VALUE"""),"dinner")</f>
        <v>dinner</v>
      </c>
      <c r="C1415" s="6" t="str">
        <f>IFERROR(__xludf.DUMMYFUNCTION("""COMPUTED_VALUE"""),"employee J")</f>
        <v>employee J</v>
      </c>
      <c r="D1415" s="7">
        <f>IFERROR(__xludf.DUMMYFUNCTION("""COMPUTED_VALUE"""),66.41)</f>
        <v>66.41</v>
      </c>
      <c r="E1415" s="6" t="str">
        <f>IFERROR(__xludf.DUMMYFUNCTION("""COMPUTED_VALUE"""),"No")</f>
        <v>No</v>
      </c>
      <c r="F1415" s="8" t="str">
        <f>IFERROR(__xludf.DUMMYFUNCTION("""COMPUTED_VALUE"""),"No")</f>
        <v>No</v>
      </c>
    </row>
    <row r="1416">
      <c r="A1416" s="5">
        <f>IFERROR(__xludf.DUMMYFUNCTION("""COMPUTED_VALUE"""),44874.0)</f>
        <v>44874</v>
      </c>
      <c r="B1416" s="6" t="str">
        <f>IFERROR(__xludf.DUMMYFUNCTION("""COMPUTED_VALUE"""),"lunch")</f>
        <v>lunch</v>
      </c>
      <c r="C1416" s="6" t="str">
        <f>IFERROR(__xludf.DUMMYFUNCTION("""COMPUTED_VALUE"""),"employee A")</f>
        <v>employee A</v>
      </c>
      <c r="D1416" s="7">
        <f>IFERROR(__xludf.DUMMYFUNCTION("""COMPUTED_VALUE"""),103.88)</f>
        <v>103.88</v>
      </c>
      <c r="E1416" s="6" t="str">
        <f>IFERROR(__xludf.DUMMYFUNCTION("""COMPUTED_VALUE"""),"No")</f>
        <v>No</v>
      </c>
      <c r="F1416" s="8" t="str">
        <f>IFERROR(__xludf.DUMMYFUNCTION("""COMPUTED_VALUE"""),"No")</f>
        <v>No</v>
      </c>
    </row>
    <row r="1417">
      <c r="A1417" s="5">
        <f>IFERROR(__xludf.DUMMYFUNCTION("""COMPUTED_VALUE"""),44874.0)</f>
        <v>44874</v>
      </c>
      <c r="B1417" s="6" t="str">
        <f>IFERROR(__xludf.DUMMYFUNCTION("""COMPUTED_VALUE"""),"dinner")</f>
        <v>dinner</v>
      </c>
      <c r="C1417" s="6" t="str">
        <f>IFERROR(__xludf.DUMMYFUNCTION("""COMPUTED_VALUE"""),"employee R")</f>
        <v>employee R</v>
      </c>
      <c r="D1417" s="7">
        <f>IFERROR(__xludf.DUMMYFUNCTION("""COMPUTED_VALUE"""),58.68)</f>
        <v>58.68</v>
      </c>
      <c r="E1417" s="6" t="str">
        <f>IFERROR(__xludf.DUMMYFUNCTION("""COMPUTED_VALUE"""),"No")</f>
        <v>No</v>
      </c>
      <c r="F1417" s="8" t="str">
        <f>IFERROR(__xludf.DUMMYFUNCTION("""COMPUTED_VALUE"""),"No")</f>
        <v>No</v>
      </c>
    </row>
    <row r="1418">
      <c r="A1418" s="5">
        <f>IFERROR(__xludf.DUMMYFUNCTION("""COMPUTED_VALUE"""),44874.0)</f>
        <v>44874</v>
      </c>
      <c r="B1418" s="6" t="str">
        <f>IFERROR(__xludf.DUMMYFUNCTION("""COMPUTED_VALUE"""),"dinner")</f>
        <v>dinner</v>
      </c>
      <c r="C1418" s="6" t="str">
        <f>IFERROR(__xludf.DUMMYFUNCTION("""COMPUTED_VALUE"""),"employee J")</f>
        <v>employee J</v>
      </c>
      <c r="D1418" s="7">
        <f>IFERROR(__xludf.DUMMYFUNCTION("""COMPUTED_VALUE"""),32.6)</f>
        <v>32.6</v>
      </c>
      <c r="E1418" s="6" t="str">
        <f>IFERROR(__xludf.DUMMYFUNCTION("""COMPUTED_VALUE"""),"No")</f>
        <v>No</v>
      </c>
      <c r="F1418" s="8" t="str">
        <f>IFERROR(__xludf.DUMMYFUNCTION("""COMPUTED_VALUE"""),"No")</f>
        <v>No</v>
      </c>
    </row>
    <row r="1419">
      <c r="A1419" s="5">
        <f>IFERROR(__xludf.DUMMYFUNCTION("""COMPUTED_VALUE"""),44874.0)</f>
        <v>44874</v>
      </c>
      <c r="B1419" s="6" t="str">
        <f>IFERROR(__xludf.DUMMYFUNCTION("""COMPUTED_VALUE"""),"dinner")</f>
        <v>dinner</v>
      </c>
      <c r="C1419" s="6" t="str">
        <f>IFERROR(__xludf.DUMMYFUNCTION("""COMPUTED_VALUE"""),"employee S")</f>
        <v>employee S</v>
      </c>
      <c r="D1419" s="7">
        <f>IFERROR(__xludf.DUMMYFUNCTION("""COMPUTED_VALUE"""),29.34)</f>
        <v>29.34</v>
      </c>
      <c r="E1419" s="6" t="str">
        <f>IFERROR(__xludf.DUMMYFUNCTION("""COMPUTED_VALUE"""),"No")</f>
        <v>No</v>
      </c>
      <c r="F1419" s="8" t="str">
        <f>IFERROR(__xludf.DUMMYFUNCTION("""COMPUTED_VALUE"""),"No")</f>
        <v>No</v>
      </c>
    </row>
    <row r="1420">
      <c r="A1420" s="5">
        <f>IFERROR(__xludf.DUMMYFUNCTION("""COMPUTED_VALUE"""),44875.0)</f>
        <v>44875</v>
      </c>
      <c r="B1420" s="6" t="str">
        <f>IFERROR(__xludf.DUMMYFUNCTION("""COMPUTED_VALUE"""),"lunch")</f>
        <v>lunch</v>
      </c>
      <c r="C1420" s="6" t="str">
        <f>IFERROR(__xludf.DUMMYFUNCTION("""COMPUTED_VALUE"""),"employee L")</f>
        <v>employee L</v>
      </c>
      <c r="D1420" s="7">
        <f>IFERROR(__xludf.DUMMYFUNCTION("""COMPUTED_VALUE"""),74.27)</f>
        <v>74.27</v>
      </c>
      <c r="E1420" s="6" t="str">
        <f>IFERROR(__xludf.DUMMYFUNCTION("""COMPUTED_VALUE"""),"No")</f>
        <v>No</v>
      </c>
      <c r="F1420" s="8" t="str">
        <f>IFERROR(__xludf.DUMMYFUNCTION("""COMPUTED_VALUE"""),"No")</f>
        <v>No</v>
      </c>
    </row>
    <row r="1421">
      <c r="A1421" s="5">
        <f>IFERROR(__xludf.DUMMYFUNCTION("""COMPUTED_VALUE"""),44875.0)</f>
        <v>44875</v>
      </c>
      <c r="B1421" s="6" t="str">
        <f>IFERROR(__xludf.DUMMYFUNCTION("""COMPUTED_VALUE"""),"dinner")</f>
        <v>dinner</v>
      </c>
      <c r="C1421" s="6" t="str">
        <f>IFERROR(__xludf.DUMMYFUNCTION("""COMPUTED_VALUE"""),"employee A")</f>
        <v>employee A</v>
      </c>
      <c r="D1421" s="7">
        <f>IFERROR(__xludf.DUMMYFUNCTION("""COMPUTED_VALUE"""),86.62)</f>
        <v>86.62</v>
      </c>
      <c r="E1421" s="6" t="str">
        <f>IFERROR(__xludf.DUMMYFUNCTION("""COMPUTED_VALUE"""),"No")</f>
        <v>No</v>
      </c>
      <c r="F1421" s="8" t="str">
        <f>IFERROR(__xludf.DUMMYFUNCTION("""COMPUTED_VALUE"""),"No")</f>
        <v>No</v>
      </c>
    </row>
    <row r="1422">
      <c r="A1422" s="5">
        <f>IFERROR(__xludf.DUMMYFUNCTION("""COMPUTED_VALUE"""),44875.0)</f>
        <v>44875</v>
      </c>
      <c r="B1422" s="6" t="str">
        <f>IFERROR(__xludf.DUMMYFUNCTION("""COMPUTED_VALUE"""),"dinner")</f>
        <v>dinner</v>
      </c>
      <c r="C1422" s="6" t="str">
        <f>IFERROR(__xludf.DUMMYFUNCTION("""COMPUTED_VALUE"""),"employee J")</f>
        <v>employee J</v>
      </c>
      <c r="D1422" s="7">
        <f>IFERROR(__xludf.DUMMYFUNCTION("""COMPUTED_VALUE"""),86.62)</f>
        <v>86.62</v>
      </c>
      <c r="E1422" s="6" t="str">
        <f>IFERROR(__xludf.DUMMYFUNCTION("""COMPUTED_VALUE"""),"No")</f>
        <v>No</v>
      </c>
      <c r="F1422" s="8" t="str">
        <f>IFERROR(__xludf.DUMMYFUNCTION("""COMPUTED_VALUE"""),"No")</f>
        <v>No</v>
      </c>
    </row>
    <row r="1423">
      <c r="A1423" s="5">
        <f>IFERROR(__xludf.DUMMYFUNCTION("""COMPUTED_VALUE"""),44875.0)</f>
        <v>44875</v>
      </c>
      <c r="B1423" s="6" t="str">
        <f>IFERROR(__xludf.DUMMYFUNCTION("""COMPUTED_VALUE"""),"dinner")</f>
        <v>dinner</v>
      </c>
      <c r="C1423" s="6" t="str">
        <f>IFERROR(__xludf.DUMMYFUNCTION("""COMPUTED_VALUE"""),"employee U")</f>
        <v>employee U</v>
      </c>
      <c r="D1423" s="7">
        <f>IFERROR(__xludf.DUMMYFUNCTION("""COMPUTED_VALUE"""),0.0)</f>
        <v>0</v>
      </c>
      <c r="E1423" s="6" t="str">
        <f>IFERROR(__xludf.DUMMYFUNCTION("""COMPUTED_VALUE"""),"Yes")</f>
        <v>Yes</v>
      </c>
      <c r="F1423" s="8" t="str">
        <f>IFERROR(__xludf.DUMMYFUNCTION("""COMPUTED_VALUE"""),"No")</f>
        <v>No</v>
      </c>
    </row>
    <row r="1424">
      <c r="A1424" s="5">
        <f>IFERROR(__xludf.DUMMYFUNCTION("""COMPUTED_VALUE"""),44876.0)</f>
        <v>44876</v>
      </c>
      <c r="B1424" s="6" t="str">
        <f>IFERROR(__xludf.DUMMYFUNCTION("""COMPUTED_VALUE"""),"lunch")</f>
        <v>lunch</v>
      </c>
      <c r="C1424" s="6" t="str">
        <f>IFERROR(__xludf.DUMMYFUNCTION("""COMPUTED_VALUE"""),"employee L")</f>
        <v>employee L</v>
      </c>
      <c r="D1424" s="7">
        <f>IFERROR(__xludf.DUMMYFUNCTION("""COMPUTED_VALUE"""),127.75)</f>
        <v>127.75</v>
      </c>
      <c r="E1424" s="6" t="str">
        <f>IFERROR(__xludf.DUMMYFUNCTION("""COMPUTED_VALUE"""),"No")</f>
        <v>No</v>
      </c>
      <c r="F1424" s="8" t="str">
        <f>IFERROR(__xludf.DUMMYFUNCTION("""COMPUTED_VALUE"""),"No")</f>
        <v>No</v>
      </c>
    </row>
    <row r="1425">
      <c r="A1425" s="5">
        <f>IFERROR(__xludf.DUMMYFUNCTION("""COMPUTED_VALUE"""),44876.0)</f>
        <v>44876</v>
      </c>
      <c r="B1425" s="6" t="str">
        <f>IFERROR(__xludf.DUMMYFUNCTION("""COMPUTED_VALUE"""),"dinner")</f>
        <v>dinner</v>
      </c>
      <c r="C1425" s="6" t="str">
        <f>IFERROR(__xludf.DUMMYFUNCTION("""COMPUTED_VALUE"""),"employee L")</f>
        <v>employee L</v>
      </c>
      <c r="D1425" s="7">
        <f>IFERROR(__xludf.DUMMYFUNCTION("""COMPUTED_VALUE"""),56.28)</f>
        <v>56.28</v>
      </c>
      <c r="E1425" s="6" t="str">
        <f>IFERROR(__xludf.DUMMYFUNCTION("""COMPUTED_VALUE"""),"No")</f>
        <v>No</v>
      </c>
      <c r="F1425" s="8" t="str">
        <f>IFERROR(__xludf.DUMMYFUNCTION("""COMPUTED_VALUE"""),"No")</f>
        <v>No</v>
      </c>
    </row>
    <row r="1426">
      <c r="A1426" s="5">
        <f>IFERROR(__xludf.DUMMYFUNCTION("""COMPUTED_VALUE"""),44876.0)</f>
        <v>44876</v>
      </c>
      <c r="B1426" s="6" t="str">
        <f>IFERROR(__xludf.DUMMYFUNCTION("""COMPUTED_VALUE"""),"dinner")</f>
        <v>dinner</v>
      </c>
      <c r="C1426" s="6" t="str">
        <f>IFERROR(__xludf.DUMMYFUNCTION("""COMPUTED_VALUE"""),"employee J")</f>
        <v>employee J</v>
      </c>
      <c r="D1426" s="7">
        <f>IFERROR(__xludf.DUMMYFUNCTION("""COMPUTED_VALUE"""),72.36)</f>
        <v>72.36</v>
      </c>
      <c r="E1426" s="6" t="str">
        <f>IFERROR(__xludf.DUMMYFUNCTION("""COMPUTED_VALUE"""),"No")</f>
        <v>No</v>
      </c>
      <c r="F1426" s="8" t="str">
        <f>IFERROR(__xludf.DUMMYFUNCTION("""COMPUTED_VALUE"""),"No")</f>
        <v>No</v>
      </c>
    </row>
    <row r="1427">
      <c r="A1427" s="5">
        <f>IFERROR(__xludf.DUMMYFUNCTION("""COMPUTED_VALUE"""),44877.0)</f>
        <v>44877</v>
      </c>
      <c r="B1427" s="6" t="str">
        <f>IFERROR(__xludf.DUMMYFUNCTION("""COMPUTED_VALUE"""),"lunch")</f>
        <v>lunch</v>
      </c>
      <c r="C1427" s="6" t="str">
        <f>IFERROR(__xludf.DUMMYFUNCTION("""COMPUTED_VALUE"""),"employee L")</f>
        <v>employee L</v>
      </c>
      <c r="D1427" s="7">
        <f>IFERROR(__xludf.DUMMYFUNCTION("""COMPUTED_VALUE"""),86.63)</f>
        <v>86.63</v>
      </c>
      <c r="E1427" s="6" t="str">
        <f>IFERROR(__xludf.DUMMYFUNCTION("""COMPUTED_VALUE"""),"No")</f>
        <v>No</v>
      </c>
      <c r="F1427" s="8" t="str">
        <f>IFERROR(__xludf.DUMMYFUNCTION("""COMPUTED_VALUE"""),"No")</f>
        <v>No</v>
      </c>
    </row>
    <row r="1428">
      <c r="A1428" s="5">
        <f>IFERROR(__xludf.DUMMYFUNCTION("""COMPUTED_VALUE"""),44877.0)</f>
        <v>44877</v>
      </c>
      <c r="B1428" s="6" t="str">
        <f>IFERROR(__xludf.DUMMYFUNCTION("""COMPUTED_VALUE"""),"lunch")</f>
        <v>lunch</v>
      </c>
      <c r="C1428" s="6" t="str">
        <f>IFERROR(__xludf.DUMMYFUNCTION("""COMPUTED_VALUE"""),"employee U")</f>
        <v>employee U</v>
      </c>
      <c r="D1428" s="7">
        <f>IFERROR(__xludf.DUMMYFUNCTION("""COMPUTED_VALUE"""),43.31)</f>
        <v>43.31</v>
      </c>
      <c r="E1428" s="6" t="str">
        <f>IFERROR(__xludf.DUMMYFUNCTION("""COMPUTED_VALUE"""),"No")</f>
        <v>No</v>
      </c>
      <c r="F1428" s="8" t="str">
        <f>IFERROR(__xludf.DUMMYFUNCTION("""COMPUTED_VALUE"""),"No")</f>
        <v>No</v>
      </c>
    </row>
    <row r="1429">
      <c r="A1429" s="5">
        <f>IFERROR(__xludf.DUMMYFUNCTION("""COMPUTED_VALUE"""),44877.0)</f>
        <v>44877</v>
      </c>
      <c r="B1429" s="6" t="str">
        <f>IFERROR(__xludf.DUMMYFUNCTION("""COMPUTED_VALUE"""),"lunch")</f>
        <v>lunch</v>
      </c>
      <c r="C1429" s="6" t="str">
        <f>IFERROR(__xludf.DUMMYFUNCTION("""COMPUTED_VALUE"""),"employee S")</f>
        <v>employee S</v>
      </c>
      <c r="D1429" s="7">
        <f>IFERROR(__xludf.DUMMYFUNCTION("""COMPUTED_VALUE"""),24.75)</f>
        <v>24.75</v>
      </c>
      <c r="E1429" s="6" t="str">
        <f>IFERROR(__xludf.DUMMYFUNCTION("""COMPUTED_VALUE"""),"No")</f>
        <v>No</v>
      </c>
      <c r="F1429" s="8" t="str">
        <f>IFERROR(__xludf.DUMMYFUNCTION("""COMPUTED_VALUE"""),"No")</f>
        <v>No</v>
      </c>
    </row>
    <row r="1430">
      <c r="A1430" s="5">
        <f>IFERROR(__xludf.DUMMYFUNCTION("""COMPUTED_VALUE"""),44877.0)</f>
        <v>44877</v>
      </c>
      <c r="B1430" s="6" t="str">
        <f>IFERROR(__xludf.DUMMYFUNCTION("""COMPUTED_VALUE"""),"dinner")</f>
        <v>dinner</v>
      </c>
      <c r="C1430" s="6" t="str">
        <f>IFERROR(__xludf.DUMMYFUNCTION("""COMPUTED_VALUE"""),"employee L")</f>
        <v>employee L</v>
      </c>
      <c r="D1430" s="7">
        <f>IFERROR(__xludf.DUMMYFUNCTION("""COMPUTED_VALUE"""),52.96)</f>
        <v>52.96</v>
      </c>
      <c r="E1430" s="6" t="str">
        <f>IFERROR(__xludf.DUMMYFUNCTION("""COMPUTED_VALUE"""),"No")</f>
        <v>No</v>
      </c>
      <c r="F1430" s="8" t="str">
        <f>IFERROR(__xludf.DUMMYFUNCTION("""COMPUTED_VALUE"""),"No")</f>
        <v>No</v>
      </c>
    </row>
    <row r="1431">
      <c r="A1431" s="5">
        <f>IFERROR(__xludf.DUMMYFUNCTION("""COMPUTED_VALUE"""),44877.0)</f>
        <v>44877</v>
      </c>
      <c r="B1431" s="6" t="str">
        <f>IFERROR(__xludf.DUMMYFUNCTION("""COMPUTED_VALUE"""),"dinner")</f>
        <v>dinner</v>
      </c>
      <c r="C1431" s="6" t="str">
        <f>IFERROR(__xludf.DUMMYFUNCTION("""COMPUTED_VALUE"""),"employee J")</f>
        <v>employee J</v>
      </c>
      <c r="D1431" s="7">
        <f>IFERROR(__xludf.DUMMYFUNCTION("""COMPUTED_VALUE"""),63.5)</f>
        <v>63.5</v>
      </c>
      <c r="E1431" s="6" t="str">
        <f>IFERROR(__xludf.DUMMYFUNCTION("""COMPUTED_VALUE"""),"No")</f>
        <v>No</v>
      </c>
      <c r="F1431" s="8" t="str">
        <f>IFERROR(__xludf.DUMMYFUNCTION("""COMPUTED_VALUE"""),"No")</f>
        <v>No</v>
      </c>
    </row>
    <row r="1432">
      <c r="A1432" s="5">
        <f>IFERROR(__xludf.DUMMYFUNCTION("""COMPUTED_VALUE"""),44877.0)</f>
        <v>44877</v>
      </c>
      <c r="B1432" s="6" t="str">
        <f>IFERROR(__xludf.DUMMYFUNCTION("""COMPUTED_VALUE"""),"dinner")</f>
        <v>dinner</v>
      </c>
      <c r="C1432" s="6" t="str">
        <f>IFERROR(__xludf.DUMMYFUNCTION("""COMPUTED_VALUE"""),"employee U")</f>
        <v>employee U</v>
      </c>
      <c r="D1432" s="7">
        <f>IFERROR(__xludf.DUMMYFUNCTION("""COMPUTED_VALUE"""),63.55)</f>
        <v>63.55</v>
      </c>
      <c r="E1432" s="6" t="str">
        <f>IFERROR(__xludf.DUMMYFUNCTION("""COMPUTED_VALUE"""),"No")</f>
        <v>No</v>
      </c>
      <c r="F1432" s="8" t="str">
        <f>IFERROR(__xludf.DUMMYFUNCTION("""COMPUTED_VALUE"""),"No")</f>
        <v>No</v>
      </c>
    </row>
    <row r="1433">
      <c r="A1433" s="5">
        <f>IFERROR(__xludf.DUMMYFUNCTION("""COMPUTED_VALUE"""),44878.0)</f>
        <v>44878</v>
      </c>
      <c r="B1433" s="6" t="str">
        <f>IFERROR(__xludf.DUMMYFUNCTION("""COMPUTED_VALUE"""),"lunch")</f>
        <v>lunch</v>
      </c>
      <c r="C1433" s="6" t="str">
        <f>IFERROR(__xludf.DUMMYFUNCTION("""COMPUTED_VALUE"""),"employee L")</f>
        <v>employee L</v>
      </c>
      <c r="D1433" s="7">
        <f>IFERROR(__xludf.DUMMYFUNCTION("""COMPUTED_VALUE"""),111.88)</f>
        <v>111.88</v>
      </c>
      <c r="E1433" s="6" t="str">
        <f>IFERROR(__xludf.DUMMYFUNCTION("""COMPUTED_VALUE"""),"No")</f>
        <v>No</v>
      </c>
      <c r="F1433" s="8" t="str">
        <f>IFERROR(__xludf.DUMMYFUNCTION("""COMPUTED_VALUE"""),"No")</f>
        <v>No</v>
      </c>
    </row>
    <row r="1434">
      <c r="A1434" s="5">
        <f>IFERROR(__xludf.DUMMYFUNCTION("""COMPUTED_VALUE"""),44878.0)</f>
        <v>44878</v>
      </c>
      <c r="B1434" s="6" t="str">
        <f>IFERROR(__xludf.DUMMYFUNCTION("""COMPUTED_VALUE"""),"lunch")</f>
        <v>lunch</v>
      </c>
      <c r="C1434" s="6" t="str">
        <f>IFERROR(__xludf.DUMMYFUNCTION("""COMPUTED_VALUE"""),"employee U")</f>
        <v>employee U</v>
      </c>
      <c r="D1434" s="7">
        <f>IFERROR(__xludf.DUMMYFUNCTION("""COMPUTED_VALUE"""),59.94)</f>
        <v>59.94</v>
      </c>
      <c r="E1434" s="6" t="str">
        <f>IFERROR(__xludf.DUMMYFUNCTION("""COMPUTED_VALUE"""),"No")</f>
        <v>No</v>
      </c>
      <c r="F1434" s="8" t="str">
        <f>IFERROR(__xludf.DUMMYFUNCTION("""COMPUTED_VALUE"""),"No")</f>
        <v>No</v>
      </c>
    </row>
    <row r="1435">
      <c r="A1435" s="5">
        <f>IFERROR(__xludf.DUMMYFUNCTION("""COMPUTED_VALUE"""),44878.0)</f>
        <v>44878</v>
      </c>
      <c r="B1435" s="6" t="str">
        <f>IFERROR(__xludf.DUMMYFUNCTION("""COMPUTED_VALUE"""),"lunch")</f>
        <v>lunch</v>
      </c>
      <c r="C1435" s="6" t="str">
        <f>IFERROR(__xludf.DUMMYFUNCTION("""COMPUTED_VALUE"""),"employee J")</f>
        <v>employee J</v>
      </c>
      <c r="D1435" s="7">
        <f>IFERROR(__xludf.DUMMYFUNCTION("""COMPUTED_VALUE"""),47.95)</f>
        <v>47.95</v>
      </c>
      <c r="E1435" s="6" t="str">
        <f>IFERROR(__xludf.DUMMYFUNCTION("""COMPUTED_VALUE"""),"No")</f>
        <v>No</v>
      </c>
      <c r="F1435" s="8" t="str">
        <f>IFERROR(__xludf.DUMMYFUNCTION("""COMPUTED_VALUE"""),"No")</f>
        <v>No</v>
      </c>
    </row>
    <row r="1436">
      <c r="A1436" s="5">
        <f>IFERROR(__xludf.DUMMYFUNCTION("""COMPUTED_VALUE"""),44878.0)</f>
        <v>44878</v>
      </c>
      <c r="B1436" s="6" t="str">
        <f>IFERROR(__xludf.DUMMYFUNCTION("""COMPUTED_VALUE"""),"dinner")</f>
        <v>dinner</v>
      </c>
      <c r="C1436" s="6" t="str">
        <f>IFERROR(__xludf.DUMMYFUNCTION("""COMPUTED_VALUE"""),"employee L")</f>
        <v>employee L</v>
      </c>
      <c r="D1436" s="7">
        <f>IFERROR(__xludf.DUMMYFUNCTION("""COMPUTED_VALUE"""),14.26)</f>
        <v>14.26</v>
      </c>
      <c r="E1436" s="6" t="str">
        <f>IFERROR(__xludf.DUMMYFUNCTION("""COMPUTED_VALUE"""),"No")</f>
        <v>No</v>
      </c>
      <c r="F1436" s="8" t="str">
        <f>IFERROR(__xludf.DUMMYFUNCTION("""COMPUTED_VALUE"""),"No")</f>
        <v>No</v>
      </c>
    </row>
    <row r="1437">
      <c r="A1437" s="5">
        <f>IFERROR(__xludf.DUMMYFUNCTION("""COMPUTED_VALUE"""),44878.0)</f>
        <v>44878</v>
      </c>
      <c r="B1437" s="6" t="str">
        <f>IFERROR(__xludf.DUMMYFUNCTION("""COMPUTED_VALUE"""),"dinner")</f>
        <v>dinner</v>
      </c>
      <c r="C1437" s="6" t="str">
        <f>IFERROR(__xludf.DUMMYFUNCTION("""COMPUTED_VALUE"""),"employee J")</f>
        <v>employee J</v>
      </c>
      <c r="D1437" s="7">
        <f>IFERROR(__xludf.DUMMYFUNCTION("""COMPUTED_VALUE"""),64.19)</f>
        <v>64.19</v>
      </c>
      <c r="E1437" s="6" t="str">
        <f>IFERROR(__xludf.DUMMYFUNCTION("""COMPUTED_VALUE"""),"No")</f>
        <v>No</v>
      </c>
      <c r="F1437" s="8" t="str">
        <f>IFERROR(__xludf.DUMMYFUNCTION("""COMPUTED_VALUE"""),"No")</f>
        <v>No</v>
      </c>
    </row>
    <row r="1438">
      <c r="A1438" s="5">
        <f>IFERROR(__xludf.DUMMYFUNCTION("""COMPUTED_VALUE"""),44878.0)</f>
        <v>44878</v>
      </c>
      <c r="B1438" s="6" t="str">
        <f>IFERROR(__xludf.DUMMYFUNCTION("""COMPUTED_VALUE"""),"dinner")</f>
        <v>dinner</v>
      </c>
      <c r="C1438" s="6" t="str">
        <f>IFERROR(__xludf.DUMMYFUNCTION("""COMPUTED_VALUE"""),"employee S")</f>
        <v>employee S</v>
      </c>
      <c r="D1438" s="7">
        <f>IFERROR(__xludf.DUMMYFUNCTION("""COMPUTED_VALUE"""),64.19)</f>
        <v>64.19</v>
      </c>
      <c r="E1438" s="6" t="str">
        <f>IFERROR(__xludf.DUMMYFUNCTION("""COMPUTED_VALUE"""),"No")</f>
        <v>No</v>
      </c>
      <c r="F1438" s="8" t="str">
        <f>IFERROR(__xludf.DUMMYFUNCTION("""COMPUTED_VALUE"""),"No")</f>
        <v>No</v>
      </c>
    </row>
    <row r="1439">
      <c r="A1439" s="5">
        <f>IFERROR(__xludf.DUMMYFUNCTION("""COMPUTED_VALUE"""),44879.0)</f>
        <v>44879</v>
      </c>
      <c r="B1439" s="6" t="str">
        <f>IFERROR(__xludf.DUMMYFUNCTION("""COMPUTED_VALUE"""),"lunch")</f>
        <v>lunch</v>
      </c>
      <c r="C1439" s="6" t="str">
        <f>IFERROR(__xludf.DUMMYFUNCTION("""COMPUTED_VALUE"""),"employee A")</f>
        <v>employee A</v>
      </c>
      <c r="D1439" s="7">
        <f>IFERROR(__xludf.DUMMYFUNCTION("""COMPUTED_VALUE"""),75.73)</f>
        <v>75.73</v>
      </c>
      <c r="E1439" s="6" t="str">
        <f>IFERROR(__xludf.DUMMYFUNCTION("""COMPUTED_VALUE"""),"No")</f>
        <v>No</v>
      </c>
      <c r="F1439" s="8" t="str">
        <f>IFERROR(__xludf.DUMMYFUNCTION("""COMPUTED_VALUE"""),"No")</f>
        <v>No</v>
      </c>
    </row>
    <row r="1440">
      <c r="A1440" s="5">
        <f>IFERROR(__xludf.DUMMYFUNCTION("""COMPUTED_VALUE"""),44879.0)</f>
        <v>44879</v>
      </c>
      <c r="B1440" s="6" t="str">
        <f>IFERROR(__xludf.DUMMYFUNCTION("""COMPUTED_VALUE"""),"dinner")</f>
        <v>dinner</v>
      </c>
      <c r="C1440" s="6" t="str">
        <f>IFERROR(__xludf.DUMMYFUNCTION("""COMPUTED_VALUE"""),"employee A")</f>
        <v>employee A</v>
      </c>
      <c r="D1440" s="7">
        <f>IFERROR(__xludf.DUMMYFUNCTION("""COMPUTED_VALUE"""),43.84)</f>
        <v>43.84</v>
      </c>
      <c r="E1440" s="6" t="str">
        <f>IFERROR(__xludf.DUMMYFUNCTION("""COMPUTED_VALUE"""),"No")</f>
        <v>No</v>
      </c>
      <c r="F1440" s="8" t="str">
        <f>IFERROR(__xludf.DUMMYFUNCTION("""COMPUTED_VALUE"""),"No")</f>
        <v>No</v>
      </c>
    </row>
    <row r="1441">
      <c r="A1441" s="5">
        <f>IFERROR(__xludf.DUMMYFUNCTION("""COMPUTED_VALUE"""),44879.0)</f>
        <v>44879</v>
      </c>
      <c r="B1441" s="6" t="str">
        <f>IFERROR(__xludf.DUMMYFUNCTION("""COMPUTED_VALUE"""),"dinner")</f>
        <v>dinner</v>
      </c>
      <c r="C1441" s="6" t="str">
        <f>IFERROR(__xludf.DUMMYFUNCTION("""COMPUTED_VALUE"""),"employee R")</f>
        <v>employee R</v>
      </c>
      <c r="D1441" s="7">
        <f>IFERROR(__xludf.DUMMYFUNCTION("""COMPUTED_VALUE"""),56.35)</f>
        <v>56.35</v>
      </c>
      <c r="E1441" s="6" t="str">
        <f>IFERROR(__xludf.DUMMYFUNCTION("""COMPUTED_VALUE"""),"No")</f>
        <v>No</v>
      </c>
      <c r="F1441" s="8" t="str">
        <f>IFERROR(__xludf.DUMMYFUNCTION("""COMPUTED_VALUE"""),"No")</f>
        <v>No</v>
      </c>
    </row>
    <row r="1442">
      <c r="A1442" s="5">
        <f>IFERROR(__xludf.DUMMYFUNCTION("""COMPUTED_VALUE"""),44879.0)</f>
        <v>44879</v>
      </c>
      <c r="B1442" s="6" t="str">
        <f>IFERROR(__xludf.DUMMYFUNCTION("""COMPUTED_VALUE"""),"dinner")</f>
        <v>dinner</v>
      </c>
      <c r="C1442" s="6" t="str">
        <f>IFERROR(__xludf.DUMMYFUNCTION("""COMPUTED_VALUE"""),"employee H")</f>
        <v>employee H</v>
      </c>
      <c r="D1442" s="7">
        <f>IFERROR(__xludf.DUMMYFUNCTION("""COMPUTED_VALUE"""),56.35)</f>
        <v>56.35</v>
      </c>
      <c r="E1442" s="6" t="str">
        <f>IFERROR(__xludf.DUMMYFUNCTION("""COMPUTED_VALUE"""),"No")</f>
        <v>No</v>
      </c>
      <c r="F1442" s="8" t="str">
        <f>IFERROR(__xludf.DUMMYFUNCTION("""COMPUTED_VALUE"""),"No")</f>
        <v>No</v>
      </c>
    </row>
    <row r="1443">
      <c r="A1443" s="5">
        <f>IFERROR(__xludf.DUMMYFUNCTION("""COMPUTED_VALUE"""),44880.0)</f>
        <v>44880</v>
      </c>
      <c r="B1443" s="6" t="str">
        <f>IFERROR(__xludf.DUMMYFUNCTION("""COMPUTED_VALUE"""),"lunch")</f>
        <v>lunch</v>
      </c>
      <c r="C1443" s="6" t="str">
        <f>IFERROR(__xludf.DUMMYFUNCTION("""COMPUTED_VALUE"""),"employee J")</f>
        <v>employee J</v>
      </c>
      <c r="D1443" s="7">
        <f>IFERROR(__xludf.DUMMYFUNCTION("""COMPUTED_VALUE"""),77.62)</f>
        <v>77.62</v>
      </c>
      <c r="E1443" s="6" t="str">
        <f>IFERROR(__xludf.DUMMYFUNCTION("""COMPUTED_VALUE"""),"No")</f>
        <v>No</v>
      </c>
      <c r="F1443" s="8" t="str">
        <f>IFERROR(__xludf.DUMMYFUNCTION("""COMPUTED_VALUE"""),"No")</f>
        <v>No</v>
      </c>
    </row>
    <row r="1444">
      <c r="A1444" s="5">
        <f>IFERROR(__xludf.DUMMYFUNCTION("""COMPUTED_VALUE"""),44880.0)</f>
        <v>44880</v>
      </c>
      <c r="B1444" s="6" t="str">
        <f>IFERROR(__xludf.DUMMYFUNCTION("""COMPUTED_VALUE"""),"dinner")</f>
        <v>dinner</v>
      </c>
      <c r="C1444" s="6" t="str">
        <f>IFERROR(__xludf.DUMMYFUNCTION("""COMPUTED_VALUE"""),"employee G")</f>
        <v>employee G</v>
      </c>
      <c r="D1444" s="7">
        <f>IFERROR(__xludf.DUMMYFUNCTION("""COMPUTED_VALUE"""),119.66)</f>
        <v>119.66</v>
      </c>
      <c r="E1444" s="6" t="str">
        <f>IFERROR(__xludf.DUMMYFUNCTION("""COMPUTED_VALUE"""),"No")</f>
        <v>No</v>
      </c>
      <c r="F1444" s="8" t="str">
        <f>IFERROR(__xludf.DUMMYFUNCTION("""COMPUTED_VALUE"""),"No")</f>
        <v>No</v>
      </c>
    </row>
    <row r="1445">
      <c r="A1445" s="5">
        <f>IFERROR(__xludf.DUMMYFUNCTION("""COMPUTED_VALUE"""),44881.0)</f>
        <v>44881</v>
      </c>
      <c r="B1445" s="6" t="str">
        <f>IFERROR(__xludf.DUMMYFUNCTION("""COMPUTED_VALUE"""),"lunch")</f>
        <v>lunch</v>
      </c>
      <c r="C1445" s="6" t="str">
        <f>IFERROR(__xludf.DUMMYFUNCTION("""COMPUTED_VALUE"""),"employee H")</f>
        <v>employee H</v>
      </c>
      <c r="D1445" s="7">
        <f>IFERROR(__xludf.DUMMYFUNCTION("""COMPUTED_VALUE"""),87.47)</f>
        <v>87.47</v>
      </c>
      <c r="E1445" s="6" t="str">
        <f>IFERROR(__xludf.DUMMYFUNCTION("""COMPUTED_VALUE"""),"No")</f>
        <v>No</v>
      </c>
      <c r="F1445" s="8" t="str">
        <f>IFERROR(__xludf.DUMMYFUNCTION("""COMPUTED_VALUE"""),"No")</f>
        <v>No</v>
      </c>
    </row>
    <row r="1446">
      <c r="A1446" s="5">
        <f>IFERROR(__xludf.DUMMYFUNCTION("""COMPUTED_VALUE"""),44881.0)</f>
        <v>44881</v>
      </c>
      <c r="B1446" s="6" t="str">
        <f>IFERROR(__xludf.DUMMYFUNCTION("""COMPUTED_VALUE"""),"dinner")</f>
        <v>dinner</v>
      </c>
      <c r="C1446" s="6" t="str">
        <f>IFERROR(__xludf.DUMMYFUNCTION("""COMPUTED_VALUE"""),"employee H")</f>
        <v>employee H</v>
      </c>
      <c r="D1446" s="7">
        <f>IFERROR(__xludf.DUMMYFUNCTION("""COMPUTED_VALUE"""),62.24)</f>
        <v>62.24</v>
      </c>
      <c r="E1446" s="6" t="str">
        <f>IFERROR(__xludf.DUMMYFUNCTION("""COMPUTED_VALUE"""),"No")</f>
        <v>No</v>
      </c>
      <c r="F1446" s="8" t="str">
        <f>IFERROR(__xludf.DUMMYFUNCTION("""COMPUTED_VALUE"""),"No")</f>
        <v>No</v>
      </c>
    </row>
    <row r="1447">
      <c r="A1447" s="5">
        <f>IFERROR(__xludf.DUMMYFUNCTION("""COMPUTED_VALUE"""),44881.0)</f>
        <v>44881</v>
      </c>
      <c r="B1447" s="6" t="str">
        <f>IFERROR(__xludf.DUMMYFUNCTION("""COMPUTED_VALUE"""),"dinner")</f>
        <v>dinner</v>
      </c>
      <c r="C1447" s="6" t="str">
        <f>IFERROR(__xludf.DUMMYFUNCTION("""COMPUTED_VALUE"""),"employee R")</f>
        <v>employee R</v>
      </c>
      <c r="D1447" s="7">
        <f>IFERROR(__xludf.DUMMYFUNCTION("""COMPUTED_VALUE"""),62.24)</f>
        <v>62.24</v>
      </c>
      <c r="E1447" s="6" t="str">
        <f>IFERROR(__xludf.DUMMYFUNCTION("""COMPUTED_VALUE"""),"No")</f>
        <v>No</v>
      </c>
      <c r="F1447" s="8" t="str">
        <f>IFERROR(__xludf.DUMMYFUNCTION("""COMPUTED_VALUE"""),"No")</f>
        <v>No</v>
      </c>
    </row>
    <row r="1448">
      <c r="A1448" s="5">
        <f>IFERROR(__xludf.DUMMYFUNCTION("""COMPUTED_VALUE"""),44882.0)</f>
        <v>44882</v>
      </c>
      <c r="B1448" s="6" t="str">
        <f>IFERROR(__xludf.DUMMYFUNCTION("""COMPUTED_VALUE"""),"lunch")</f>
        <v>lunch</v>
      </c>
      <c r="C1448" s="6" t="str">
        <f>IFERROR(__xludf.DUMMYFUNCTION("""COMPUTED_VALUE"""),"employee L")</f>
        <v>employee L</v>
      </c>
      <c r="D1448" s="7">
        <f>IFERROR(__xludf.DUMMYFUNCTION("""COMPUTED_VALUE"""),19.93)</f>
        <v>19.93</v>
      </c>
      <c r="E1448" s="6" t="str">
        <f>IFERROR(__xludf.DUMMYFUNCTION("""COMPUTED_VALUE"""),"No")</f>
        <v>No</v>
      </c>
      <c r="F1448" s="8" t="str">
        <f>IFERROR(__xludf.DUMMYFUNCTION("""COMPUTED_VALUE"""),"No")</f>
        <v>No</v>
      </c>
    </row>
    <row r="1449">
      <c r="A1449" s="5">
        <f>IFERROR(__xludf.DUMMYFUNCTION("""COMPUTED_VALUE"""),44882.0)</f>
        <v>44882</v>
      </c>
      <c r="B1449" s="6" t="str">
        <f>IFERROR(__xludf.DUMMYFUNCTION("""COMPUTED_VALUE"""),"dinner")</f>
        <v>dinner</v>
      </c>
      <c r="C1449" s="6" t="str">
        <f>IFERROR(__xludf.DUMMYFUNCTION("""COMPUTED_VALUE"""),"employee J")</f>
        <v>employee J</v>
      </c>
      <c r="D1449" s="7">
        <f>IFERROR(__xludf.DUMMYFUNCTION("""COMPUTED_VALUE"""),88.58)</f>
        <v>88.58</v>
      </c>
      <c r="E1449" s="6" t="str">
        <f>IFERROR(__xludf.DUMMYFUNCTION("""COMPUTED_VALUE"""),"No")</f>
        <v>No</v>
      </c>
      <c r="F1449" s="8" t="str">
        <f>IFERROR(__xludf.DUMMYFUNCTION("""COMPUTED_VALUE"""),"No")</f>
        <v>No</v>
      </c>
    </row>
    <row r="1450">
      <c r="A1450" s="5">
        <f>IFERROR(__xludf.DUMMYFUNCTION("""COMPUTED_VALUE"""),44882.0)</f>
        <v>44882</v>
      </c>
      <c r="B1450" s="6" t="str">
        <f>IFERROR(__xludf.DUMMYFUNCTION("""COMPUTED_VALUE"""),"dinner")</f>
        <v>dinner</v>
      </c>
      <c r="C1450" s="6" t="str">
        <f>IFERROR(__xludf.DUMMYFUNCTION("""COMPUTED_VALUE"""),"employee G")</f>
        <v>employee G</v>
      </c>
      <c r="D1450" s="7">
        <f>IFERROR(__xludf.DUMMYFUNCTION("""COMPUTED_VALUE"""),68.9)</f>
        <v>68.9</v>
      </c>
      <c r="E1450" s="6" t="str">
        <f>IFERROR(__xludf.DUMMYFUNCTION("""COMPUTED_VALUE"""),"No")</f>
        <v>No</v>
      </c>
      <c r="F1450" s="8" t="str">
        <f>IFERROR(__xludf.DUMMYFUNCTION("""COMPUTED_VALUE"""),"No")</f>
        <v>No</v>
      </c>
    </row>
    <row r="1451">
      <c r="A1451" s="5">
        <f>IFERROR(__xludf.DUMMYFUNCTION("""COMPUTED_VALUE"""),44882.0)</f>
        <v>44882</v>
      </c>
      <c r="B1451" s="6" t="str">
        <f>IFERROR(__xludf.DUMMYFUNCTION("""COMPUTED_VALUE"""),"dinner")</f>
        <v>dinner</v>
      </c>
      <c r="C1451" s="6" t="str">
        <f>IFERROR(__xludf.DUMMYFUNCTION("""COMPUTED_VALUE"""),"employee V")</f>
        <v>employee V</v>
      </c>
      <c r="D1451" s="7">
        <f>IFERROR(__xludf.DUMMYFUNCTION("""COMPUTED_VALUE"""),0.0)</f>
        <v>0</v>
      </c>
      <c r="E1451" s="6" t="str">
        <f>IFERROR(__xludf.DUMMYFUNCTION("""COMPUTED_VALUE"""),"Yes")</f>
        <v>Yes</v>
      </c>
      <c r="F1451" s="8" t="str">
        <f>IFERROR(__xludf.DUMMYFUNCTION("""COMPUTED_VALUE"""),"No")</f>
        <v>No</v>
      </c>
    </row>
    <row r="1452">
      <c r="A1452" s="5">
        <f>IFERROR(__xludf.DUMMYFUNCTION("""COMPUTED_VALUE"""),44883.0)</f>
        <v>44883</v>
      </c>
      <c r="B1452" s="6" t="str">
        <f>IFERROR(__xludf.DUMMYFUNCTION("""COMPUTED_VALUE"""),"lunch")</f>
        <v>lunch</v>
      </c>
      <c r="C1452" s="6" t="str">
        <f>IFERROR(__xludf.DUMMYFUNCTION("""COMPUTED_VALUE"""),"employee L")</f>
        <v>employee L</v>
      </c>
      <c r="D1452" s="7">
        <f>IFERROR(__xludf.DUMMYFUNCTION("""COMPUTED_VALUE"""),127.32)</f>
        <v>127.32</v>
      </c>
      <c r="E1452" s="6" t="str">
        <f>IFERROR(__xludf.DUMMYFUNCTION("""COMPUTED_VALUE"""),"No")</f>
        <v>No</v>
      </c>
      <c r="F1452" s="8" t="str">
        <f>IFERROR(__xludf.DUMMYFUNCTION("""COMPUTED_VALUE"""),"No")</f>
        <v>No</v>
      </c>
    </row>
    <row r="1453">
      <c r="A1453" s="5">
        <f>IFERROR(__xludf.DUMMYFUNCTION("""COMPUTED_VALUE"""),44883.0)</f>
        <v>44883</v>
      </c>
      <c r="B1453" s="6" t="str">
        <f>IFERROR(__xludf.DUMMYFUNCTION("""COMPUTED_VALUE"""),"lunch")</f>
        <v>lunch</v>
      </c>
      <c r="C1453" s="6" t="str">
        <f>IFERROR(__xludf.DUMMYFUNCTION("""COMPUTED_VALUE"""),"employee V")</f>
        <v>employee V</v>
      </c>
      <c r="D1453" s="7">
        <f>IFERROR(__xludf.DUMMYFUNCTION("""COMPUTED_VALUE"""),0.0)</f>
        <v>0</v>
      </c>
      <c r="E1453" s="6" t="str">
        <f>IFERROR(__xludf.DUMMYFUNCTION("""COMPUTED_VALUE"""),"Yes")</f>
        <v>Yes</v>
      </c>
      <c r="F1453" s="8" t="str">
        <f>IFERROR(__xludf.DUMMYFUNCTION("""COMPUTED_VALUE"""),"No")</f>
        <v>No</v>
      </c>
    </row>
    <row r="1454">
      <c r="A1454" s="5">
        <f>IFERROR(__xludf.DUMMYFUNCTION("""COMPUTED_VALUE"""),44883.0)</f>
        <v>44883</v>
      </c>
      <c r="B1454" s="6" t="str">
        <f>IFERROR(__xludf.DUMMYFUNCTION("""COMPUTED_VALUE"""),"dinner")</f>
        <v>dinner</v>
      </c>
      <c r="C1454" s="6" t="str">
        <f>IFERROR(__xludf.DUMMYFUNCTION("""COMPUTED_VALUE"""),"employee L")</f>
        <v>employee L</v>
      </c>
      <c r="D1454" s="7">
        <f>IFERROR(__xludf.DUMMYFUNCTION("""COMPUTED_VALUE"""),108.68)</f>
        <v>108.68</v>
      </c>
      <c r="E1454" s="6" t="str">
        <f>IFERROR(__xludf.DUMMYFUNCTION("""COMPUTED_VALUE"""),"No")</f>
        <v>No</v>
      </c>
      <c r="F1454" s="8" t="str">
        <f>IFERROR(__xludf.DUMMYFUNCTION("""COMPUTED_VALUE"""),"No")</f>
        <v>No</v>
      </c>
    </row>
    <row r="1455">
      <c r="A1455" s="5">
        <f>IFERROR(__xludf.DUMMYFUNCTION("""COMPUTED_VALUE"""),44883.0)</f>
        <v>44883</v>
      </c>
      <c r="B1455" s="6" t="str">
        <f>IFERROR(__xludf.DUMMYFUNCTION("""COMPUTED_VALUE"""),"dinner")</f>
        <v>dinner</v>
      </c>
      <c r="C1455" s="6" t="str">
        <f>IFERROR(__xludf.DUMMYFUNCTION("""COMPUTED_VALUE"""),"employee V")</f>
        <v>employee V</v>
      </c>
      <c r="D1455" s="7">
        <f>IFERROR(__xludf.DUMMYFUNCTION("""COMPUTED_VALUE"""),0.0)</f>
        <v>0</v>
      </c>
      <c r="E1455" s="6" t="str">
        <f>IFERROR(__xludf.DUMMYFUNCTION("""COMPUTED_VALUE"""),"Yes")</f>
        <v>Yes</v>
      </c>
      <c r="F1455" s="8" t="str">
        <f>IFERROR(__xludf.DUMMYFUNCTION("""COMPUTED_VALUE"""),"No")</f>
        <v>No</v>
      </c>
    </row>
    <row r="1456">
      <c r="A1456" s="5">
        <f>IFERROR(__xludf.DUMMYFUNCTION("""COMPUTED_VALUE"""),44883.0)</f>
        <v>44883</v>
      </c>
      <c r="B1456" s="6" t="str">
        <f>IFERROR(__xludf.DUMMYFUNCTION("""COMPUTED_VALUE"""),"dinner")</f>
        <v>dinner</v>
      </c>
      <c r="C1456" s="6" t="str">
        <f>IFERROR(__xludf.DUMMYFUNCTION("""COMPUTED_VALUE"""),"employee H")</f>
        <v>employee H</v>
      </c>
      <c r="D1456" s="7">
        <f>IFERROR(__xludf.DUMMYFUNCTION("""COMPUTED_VALUE"""),96.61)</f>
        <v>96.61</v>
      </c>
      <c r="E1456" s="6" t="str">
        <f>IFERROR(__xludf.DUMMYFUNCTION("""COMPUTED_VALUE"""),"No")</f>
        <v>No</v>
      </c>
      <c r="F1456" s="8" t="str">
        <f>IFERROR(__xludf.DUMMYFUNCTION("""COMPUTED_VALUE"""),"No")</f>
        <v>No</v>
      </c>
    </row>
    <row r="1457">
      <c r="A1457" s="5">
        <f>IFERROR(__xludf.DUMMYFUNCTION("""COMPUTED_VALUE"""),44884.0)</f>
        <v>44884</v>
      </c>
      <c r="B1457" s="6" t="str">
        <f>IFERROR(__xludf.DUMMYFUNCTION("""COMPUTED_VALUE"""),"lunch")</f>
        <v>lunch</v>
      </c>
      <c r="C1457" s="6" t="str">
        <f>IFERROR(__xludf.DUMMYFUNCTION("""COMPUTED_VALUE"""),"employee L")</f>
        <v>employee L</v>
      </c>
      <c r="D1457" s="7">
        <f>IFERROR(__xludf.DUMMYFUNCTION("""COMPUTED_VALUE"""),135.6)</f>
        <v>135.6</v>
      </c>
      <c r="E1457" s="6" t="str">
        <f>IFERROR(__xludf.DUMMYFUNCTION("""COMPUTED_VALUE"""),"No")</f>
        <v>No</v>
      </c>
      <c r="F1457" s="8" t="str">
        <f>IFERROR(__xludf.DUMMYFUNCTION("""COMPUTED_VALUE"""),"No")</f>
        <v>No</v>
      </c>
    </row>
    <row r="1458">
      <c r="A1458" s="5">
        <f>IFERROR(__xludf.DUMMYFUNCTION("""COMPUTED_VALUE"""),44884.0)</f>
        <v>44884</v>
      </c>
      <c r="B1458" s="6" t="str">
        <f>IFERROR(__xludf.DUMMYFUNCTION("""COMPUTED_VALUE"""),"lunch")</f>
        <v>lunch</v>
      </c>
      <c r="C1458" s="6" t="str">
        <f>IFERROR(__xludf.DUMMYFUNCTION("""COMPUTED_VALUE"""),"employee S")</f>
        <v>employee S</v>
      </c>
      <c r="D1458" s="7">
        <f>IFERROR(__xludf.DUMMYFUNCTION("""COMPUTED_VALUE"""),58.12)</f>
        <v>58.12</v>
      </c>
      <c r="E1458" s="6" t="str">
        <f>IFERROR(__xludf.DUMMYFUNCTION("""COMPUTED_VALUE"""),"No")</f>
        <v>No</v>
      </c>
      <c r="F1458" s="8" t="str">
        <f>IFERROR(__xludf.DUMMYFUNCTION("""COMPUTED_VALUE"""),"No")</f>
        <v>No</v>
      </c>
    </row>
    <row r="1459">
      <c r="A1459" s="5">
        <f>IFERROR(__xludf.DUMMYFUNCTION("""COMPUTED_VALUE"""),44884.0)</f>
        <v>44884</v>
      </c>
      <c r="B1459" s="6" t="str">
        <f>IFERROR(__xludf.DUMMYFUNCTION("""COMPUTED_VALUE"""),"dinner")</f>
        <v>dinner</v>
      </c>
      <c r="C1459" s="6" t="str">
        <f>IFERROR(__xludf.DUMMYFUNCTION("""COMPUTED_VALUE"""),"employee L")</f>
        <v>employee L</v>
      </c>
      <c r="D1459" s="7">
        <f>IFERROR(__xludf.DUMMYFUNCTION("""COMPUTED_VALUE"""),37.56)</f>
        <v>37.56</v>
      </c>
      <c r="E1459" s="6" t="str">
        <f>IFERROR(__xludf.DUMMYFUNCTION("""COMPUTED_VALUE"""),"No")</f>
        <v>No</v>
      </c>
      <c r="F1459" s="8" t="str">
        <f>IFERROR(__xludf.DUMMYFUNCTION("""COMPUTED_VALUE"""),"No")</f>
        <v>No</v>
      </c>
    </row>
    <row r="1460">
      <c r="A1460" s="5">
        <f>IFERROR(__xludf.DUMMYFUNCTION("""COMPUTED_VALUE"""),44884.0)</f>
        <v>44884</v>
      </c>
      <c r="B1460" s="6" t="str">
        <f>IFERROR(__xludf.DUMMYFUNCTION("""COMPUTED_VALUE"""),"dinner")</f>
        <v>dinner</v>
      </c>
      <c r="C1460" s="6" t="str">
        <f>IFERROR(__xludf.DUMMYFUNCTION("""COMPUTED_VALUE"""),"employee J")</f>
        <v>employee J</v>
      </c>
      <c r="D1460" s="7">
        <f>IFERROR(__xludf.DUMMYFUNCTION("""COMPUTED_VALUE"""),43.82)</f>
        <v>43.82</v>
      </c>
      <c r="E1460" s="6" t="str">
        <f>IFERROR(__xludf.DUMMYFUNCTION("""COMPUTED_VALUE"""),"No")</f>
        <v>No</v>
      </c>
      <c r="F1460" s="8" t="str">
        <f>IFERROR(__xludf.DUMMYFUNCTION("""COMPUTED_VALUE"""),"No")</f>
        <v>No</v>
      </c>
    </row>
    <row r="1461">
      <c r="A1461" s="5">
        <f>IFERROR(__xludf.DUMMYFUNCTION("""COMPUTED_VALUE"""),44884.0)</f>
        <v>44884</v>
      </c>
      <c r="B1461" s="6" t="str">
        <f>IFERROR(__xludf.DUMMYFUNCTION("""COMPUTED_VALUE"""),"dinner")</f>
        <v>dinner</v>
      </c>
      <c r="C1461" s="6" t="str">
        <f>IFERROR(__xludf.DUMMYFUNCTION("""COMPUTED_VALUE"""),"employee H")</f>
        <v>employee H</v>
      </c>
      <c r="D1461" s="7">
        <f>IFERROR(__xludf.DUMMYFUNCTION("""COMPUTED_VALUE"""),56.34)</f>
        <v>56.34</v>
      </c>
      <c r="E1461" s="6" t="str">
        <f>IFERROR(__xludf.DUMMYFUNCTION("""COMPUTED_VALUE"""),"No")</f>
        <v>No</v>
      </c>
      <c r="F1461" s="8" t="str">
        <f>IFERROR(__xludf.DUMMYFUNCTION("""COMPUTED_VALUE"""),"No")</f>
        <v>No</v>
      </c>
    </row>
    <row r="1462">
      <c r="A1462" s="5">
        <f>IFERROR(__xludf.DUMMYFUNCTION("""COMPUTED_VALUE"""),44885.0)</f>
        <v>44885</v>
      </c>
      <c r="B1462" s="6" t="str">
        <f>IFERROR(__xludf.DUMMYFUNCTION("""COMPUTED_VALUE"""),"lunch")</f>
        <v>lunch</v>
      </c>
      <c r="C1462" s="6" t="str">
        <f>IFERROR(__xludf.DUMMYFUNCTION("""COMPUTED_VALUE"""),"employee L")</f>
        <v>employee L</v>
      </c>
      <c r="D1462" s="7">
        <f>IFERROR(__xludf.DUMMYFUNCTION("""COMPUTED_VALUE"""),105.5)</f>
        <v>105.5</v>
      </c>
      <c r="E1462" s="6" t="str">
        <f>IFERROR(__xludf.DUMMYFUNCTION("""COMPUTED_VALUE"""),"No")</f>
        <v>No</v>
      </c>
      <c r="F1462" s="8" t="str">
        <f>IFERROR(__xludf.DUMMYFUNCTION("""COMPUTED_VALUE"""),"No")</f>
        <v>No</v>
      </c>
    </row>
    <row r="1463">
      <c r="A1463" s="5">
        <f>IFERROR(__xludf.DUMMYFUNCTION("""COMPUTED_VALUE"""),44885.0)</f>
        <v>44885</v>
      </c>
      <c r="B1463" s="6" t="str">
        <f>IFERROR(__xludf.DUMMYFUNCTION("""COMPUTED_VALUE"""),"lunch")</f>
        <v>lunch</v>
      </c>
      <c r="C1463" s="6" t="str">
        <f>IFERROR(__xludf.DUMMYFUNCTION("""COMPUTED_VALUE"""),"employee J")</f>
        <v>employee J</v>
      </c>
      <c r="D1463" s="7">
        <f>IFERROR(__xludf.DUMMYFUNCTION("""COMPUTED_VALUE"""),117.23)</f>
        <v>117.23</v>
      </c>
      <c r="E1463" s="6" t="str">
        <f>IFERROR(__xludf.DUMMYFUNCTION("""COMPUTED_VALUE"""),"No")</f>
        <v>No</v>
      </c>
      <c r="F1463" s="8" t="str">
        <f>IFERROR(__xludf.DUMMYFUNCTION("""COMPUTED_VALUE"""),"No")</f>
        <v>No</v>
      </c>
    </row>
    <row r="1464">
      <c r="A1464" s="5">
        <f>IFERROR(__xludf.DUMMYFUNCTION("""COMPUTED_VALUE"""),44885.0)</f>
        <v>44885</v>
      </c>
      <c r="B1464" s="6" t="str">
        <f>IFERROR(__xludf.DUMMYFUNCTION("""COMPUTED_VALUE"""),"lunch")</f>
        <v>lunch</v>
      </c>
      <c r="C1464" s="6" t="str">
        <f>IFERROR(__xludf.DUMMYFUNCTION("""COMPUTED_VALUE"""),"employee V")</f>
        <v>employee V</v>
      </c>
      <c r="D1464" s="7">
        <f>IFERROR(__xludf.DUMMYFUNCTION("""COMPUTED_VALUE"""),0.0)</f>
        <v>0</v>
      </c>
      <c r="E1464" s="6" t="str">
        <f>IFERROR(__xludf.DUMMYFUNCTION("""COMPUTED_VALUE"""),"Yes")</f>
        <v>Yes</v>
      </c>
      <c r="F1464" s="8" t="str">
        <f>IFERROR(__xludf.DUMMYFUNCTION("""COMPUTED_VALUE"""),"No")</f>
        <v>No</v>
      </c>
    </row>
    <row r="1465">
      <c r="A1465" s="5">
        <f>IFERROR(__xludf.DUMMYFUNCTION("""COMPUTED_VALUE"""),44885.0)</f>
        <v>44885</v>
      </c>
      <c r="B1465" s="6" t="str">
        <f>IFERROR(__xludf.DUMMYFUNCTION("""COMPUTED_VALUE"""),"dinner")</f>
        <v>dinner</v>
      </c>
      <c r="C1465" s="6" t="str">
        <f>IFERROR(__xludf.DUMMYFUNCTION("""COMPUTED_VALUE"""),"employee G")</f>
        <v>employee G</v>
      </c>
      <c r="D1465" s="7">
        <f>IFERROR(__xludf.DUMMYFUNCTION("""COMPUTED_VALUE"""),44.35)</f>
        <v>44.35</v>
      </c>
      <c r="E1465" s="6" t="str">
        <f>IFERROR(__xludf.DUMMYFUNCTION("""COMPUTED_VALUE"""),"No")</f>
        <v>No</v>
      </c>
      <c r="F1465" s="8" t="str">
        <f>IFERROR(__xludf.DUMMYFUNCTION("""COMPUTED_VALUE"""),"No")</f>
        <v>No</v>
      </c>
    </row>
    <row r="1466">
      <c r="A1466" s="5">
        <f>IFERROR(__xludf.DUMMYFUNCTION("""COMPUTED_VALUE"""),44885.0)</f>
        <v>44885</v>
      </c>
      <c r="B1466" s="6" t="str">
        <f>IFERROR(__xludf.DUMMYFUNCTION("""COMPUTED_VALUE"""),"dinner")</f>
        <v>dinner</v>
      </c>
      <c r="C1466" s="6" t="str">
        <f>IFERROR(__xludf.DUMMYFUNCTION("""COMPUTED_VALUE"""),"employee S")</f>
        <v>employee S</v>
      </c>
      <c r="D1466" s="7">
        <f>IFERROR(__xludf.DUMMYFUNCTION("""COMPUTED_VALUE"""),49.89)</f>
        <v>49.89</v>
      </c>
      <c r="E1466" s="6" t="str">
        <f>IFERROR(__xludf.DUMMYFUNCTION("""COMPUTED_VALUE"""),"No")</f>
        <v>No</v>
      </c>
      <c r="F1466" s="8" t="str">
        <f>IFERROR(__xludf.DUMMYFUNCTION("""COMPUTED_VALUE"""),"No")</f>
        <v>No</v>
      </c>
    </row>
    <row r="1467">
      <c r="A1467" s="5">
        <f>IFERROR(__xludf.DUMMYFUNCTION("""COMPUTED_VALUE"""),44885.0)</f>
        <v>44885</v>
      </c>
      <c r="B1467" s="6" t="str">
        <f>IFERROR(__xludf.DUMMYFUNCTION("""COMPUTED_VALUE"""),"dinner")</f>
        <v>dinner</v>
      </c>
      <c r="C1467" s="6" t="str">
        <f>IFERROR(__xludf.DUMMYFUNCTION("""COMPUTED_VALUE"""),"employee H")</f>
        <v>employee H</v>
      </c>
      <c r="D1467" s="7">
        <f>IFERROR(__xludf.DUMMYFUNCTION("""COMPUTED_VALUE"""),49.89)</f>
        <v>49.89</v>
      </c>
      <c r="E1467" s="6" t="str">
        <f>IFERROR(__xludf.DUMMYFUNCTION("""COMPUTED_VALUE"""),"No")</f>
        <v>No</v>
      </c>
      <c r="F1467" s="8" t="str">
        <f>IFERROR(__xludf.DUMMYFUNCTION("""COMPUTED_VALUE"""),"No")</f>
        <v>No</v>
      </c>
    </row>
    <row r="1468">
      <c r="A1468" s="5">
        <f>IFERROR(__xludf.DUMMYFUNCTION("""COMPUTED_VALUE"""),44886.0)</f>
        <v>44886</v>
      </c>
      <c r="B1468" s="6" t="str">
        <f>IFERROR(__xludf.DUMMYFUNCTION("""COMPUTED_VALUE"""),"lunch")</f>
        <v>lunch</v>
      </c>
      <c r="C1468" s="6" t="str">
        <f>IFERROR(__xludf.DUMMYFUNCTION("""COMPUTED_VALUE"""),"employee A")</f>
        <v>employee A</v>
      </c>
      <c r="D1468" s="7">
        <f>IFERROR(__xludf.DUMMYFUNCTION("""COMPUTED_VALUE"""),167.48)</f>
        <v>167.48</v>
      </c>
      <c r="E1468" s="6" t="str">
        <f>IFERROR(__xludf.DUMMYFUNCTION("""COMPUTED_VALUE"""),"No")</f>
        <v>No</v>
      </c>
      <c r="F1468" s="8" t="str">
        <f>IFERROR(__xludf.DUMMYFUNCTION("""COMPUTED_VALUE"""),"No")</f>
        <v>No</v>
      </c>
    </row>
    <row r="1469">
      <c r="A1469" s="5">
        <f>IFERROR(__xludf.DUMMYFUNCTION("""COMPUTED_VALUE"""),44886.0)</f>
        <v>44886</v>
      </c>
      <c r="B1469" s="6" t="str">
        <f>IFERROR(__xludf.DUMMYFUNCTION("""COMPUTED_VALUE"""),"dinner")</f>
        <v>dinner</v>
      </c>
      <c r="C1469" s="6" t="str">
        <f>IFERROR(__xludf.DUMMYFUNCTION("""COMPUTED_VALUE"""),"employee A")</f>
        <v>employee A</v>
      </c>
      <c r="D1469" s="7">
        <f>IFERROR(__xludf.DUMMYFUNCTION("""COMPUTED_VALUE"""),86.44)</f>
        <v>86.44</v>
      </c>
      <c r="E1469" s="6" t="str">
        <f>IFERROR(__xludf.DUMMYFUNCTION("""COMPUTED_VALUE"""),"No")</f>
        <v>No</v>
      </c>
      <c r="F1469" s="8" t="str">
        <f>IFERROR(__xludf.DUMMYFUNCTION("""COMPUTED_VALUE"""),"No")</f>
        <v>No</v>
      </c>
    </row>
    <row r="1470">
      <c r="A1470" s="5">
        <f>IFERROR(__xludf.DUMMYFUNCTION("""COMPUTED_VALUE"""),44886.0)</f>
        <v>44886</v>
      </c>
      <c r="B1470" s="6" t="str">
        <f>IFERROR(__xludf.DUMMYFUNCTION("""COMPUTED_VALUE"""),"dinner")</f>
        <v>dinner</v>
      </c>
      <c r="C1470" s="6" t="str">
        <f>IFERROR(__xludf.DUMMYFUNCTION("""COMPUTED_VALUE"""),"employee H")</f>
        <v>employee H</v>
      </c>
      <c r="D1470" s="7">
        <f>IFERROR(__xludf.DUMMYFUNCTION("""COMPUTED_VALUE"""),86.44)</f>
        <v>86.44</v>
      </c>
      <c r="E1470" s="6" t="str">
        <f>IFERROR(__xludf.DUMMYFUNCTION("""COMPUTED_VALUE"""),"No")</f>
        <v>No</v>
      </c>
      <c r="F1470" s="8" t="str">
        <f>IFERROR(__xludf.DUMMYFUNCTION("""COMPUTED_VALUE"""),"No")</f>
        <v>No</v>
      </c>
    </row>
    <row r="1471">
      <c r="A1471" s="5">
        <f>IFERROR(__xludf.DUMMYFUNCTION("""COMPUTED_VALUE"""),44887.0)</f>
        <v>44887</v>
      </c>
      <c r="B1471" s="6" t="str">
        <f>IFERROR(__xludf.DUMMYFUNCTION("""COMPUTED_VALUE"""),"lunch")</f>
        <v>lunch</v>
      </c>
      <c r="C1471" s="6" t="str">
        <f>IFERROR(__xludf.DUMMYFUNCTION("""COMPUTED_VALUE"""),"employee A")</f>
        <v>employee A</v>
      </c>
      <c r="D1471" s="7">
        <f>IFERROR(__xludf.DUMMYFUNCTION("""COMPUTED_VALUE"""),77.69)</f>
        <v>77.69</v>
      </c>
      <c r="E1471" s="6" t="str">
        <f>IFERROR(__xludf.DUMMYFUNCTION("""COMPUTED_VALUE"""),"No")</f>
        <v>No</v>
      </c>
      <c r="F1471" s="8" t="str">
        <f>IFERROR(__xludf.DUMMYFUNCTION("""COMPUTED_VALUE"""),"No")</f>
        <v>No</v>
      </c>
    </row>
    <row r="1472">
      <c r="A1472" s="5">
        <f>IFERROR(__xludf.DUMMYFUNCTION("""COMPUTED_VALUE"""),44887.0)</f>
        <v>44887</v>
      </c>
      <c r="B1472" s="6" t="str">
        <f>IFERROR(__xludf.DUMMYFUNCTION("""COMPUTED_VALUE"""),"dinner")</f>
        <v>dinner</v>
      </c>
      <c r="C1472" s="6" t="str">
        <f>IFERROR(__xludf.DUMMYFUNCTION("""COMPUTED_VALUE"""),"employee A")</f>
        <v>employee A</v>
      </c>
      <c r="D1472" s="7">
        <f>IFERROR(__xludf.DUMMYFUNCTION("""COMPUTED_VALUE"""),115.88)</f>
        <v>115.88</v>
      </c>
      <c r="E1472" s="6" t="str">
        <f>IFERROR(__xludf.DUMMYFUNCTION("""COMPUTED_VALUE"""),"No")</f>
        <v>No</v>
      </c>
      <c r="F1472" s="8" t="str">
        <f>IFERROR(__xludf.DUMMYFUNCTION("""COMPUTED_VALUE"""),"No")</f>
        <v>No</v>
      </c>
    </row>
    <row r="1473">
      <c r="A1473" s="5">
        <f>IFERROR(__xludf.DUMMYFUNCTION("""COMPUTED_VALUE"""),44887.0)</f>
        <v>44887</v>
      </c>
      <c r="B1473" s="6" t="str">
        <f>IFERROR(__xludf.DUMMYFUNCTION("""COMPUTED_VALUE"""),"dinner")</f>
        <v>dinner</v>
      </c>
      <c r="C1473" s="6" t="str">
        <f>IFERROR(__xludf.DUMMYFUNCTION("""COMPUTED_VALUE"""),"employee J")</f>
        <v>employee J</v>
      </c>
      <c r="D1473" s="7">
        <f>IFERROR(__xludf.DUMMYFUNCTION("""COMPUTED_VALUE"""),115.88)</f>
        <v>115.88</v>
      </c>
      <c r="E1473" s="6" t="str">
        <f>IFERROR(__xludf.DUMMYFUNCTION("""COMPUTED_VALUE"""),"No")</f>
        <v>No</v>
      </c>
      <c r="F1473" s="8" t="str">
        <f>IFERROR(__xludf.DUMMYFUNCTION("""COMPUTED_VALUE"""),"No")</f>
        <v>No</v>
      </c>
    </row>
    <row r="1474">
      <c r="A1474" s="5">
        <f>IFERROR(__xludf.DUMMYFUNCTION("""COMPUTED_VALUE"""),44888.0)</f>
        <v>44888</v>
      </c>
      <c r="B1474" s="6" t="str">
        <f>IFERROR(__xludf.DUMMYFUNCTION("""COMPUTED_VALUE"""),"lunch")</f>
        <v>lunch</v>
      </c>
      <c r="C1474" s="6" t="str">
        <f>IFERROR(__xludf.DUMMYFUNCTION("""COMPUTED_VALUE"""),"employee A")</f>
        <v>employee A</v>
      </c>
      <c r="D1474" s="7">
        <f>IFERROR(__xludf.DUMMYFUNCTION("""COMPUTED_VALUE"""),110.61)</f>
        <v>110.61</v>
      </c>
      <c r="E1474" s="6" t="str">
        <f>IFERROR(__xludf.DUMMYFUNCTION("""COMPUTED_VALUE"""),"No")</f>
        <v>No</v>
      </c>
      <c r="F1474" s="8" t="str">
        <f>IFERROR(__xludf.DUMMYFUNCTION("""COMPUTED_VALUE"""),"No")</f>
        <v>No</v>
      </c>
    </row>
    <row r="1475">
      <c r="A1475" s="5">
        <f>IFERROR(__xludf.DUMMYFUNCTION("""COMPUTED_VALUE"""),44888.0)</f>
        <v>44888</v>
      </c>
      <c r="B1475" s="6" t="str">
        <f>IFERROR(__xludf.DUMMYFUNCTION("""COMPUTED_VALUE"""),"dinner")</f>
        <v>dinner</v>
      </c>
      <c r="C1475" s="6" t="str">
        <f>IFERROR(__xludf.DUMMYFUNCTION("""COMPUTED_VALUE"""),"employee S")</f>
        <v>employee S</v>
      </c>
      <c r="D1475" s="7">
        <f>IFERROR(__xludf.DUMMYFUNCTION("""COMPUTED_VALUE"""),41.51)</f>
        <v>41.51</v>
      </c>
      <c r="E1475" s="6" t="str">
        <f>IFERROR(__xludf.DUMMYFUNCTION("""COMPUTED_VALUE"""),"No")</f>
        <v>No</v>
      </c>
      <c r="F1475" s="8" t="str">
        <f>IFERROR(__xludf.DUMMYFUNCTION("""COMPUTED_VALUE"""),"No")</f>
        <v>No</v>
      </c>
    </row>
    <row r="1476">
      <c r="A1476" s="5">
        <f>IFERROR(__xludf.DUMMYFUNCTION("""COMPUTED_VALUE"""),44888.0)</f>
        <v>44888</v>
      </c>
      <c r="B1476" s="6" t="str">
        <f>IFERROR(__xludf.DUMMYFUNCTION("""COMPUTED_VALUE"""),"dinner")</f>
        <v>dinner</v>
      </c>
      <c r="C1476" s="6" t="str">
        <f>IFERROR(__xludf.DUMMYFUNCTION("""COMPUTED_VALUE"""),"employee J")</f>
        <v>employee J</v>
      </c>
      <c r="D1476" s="7">
        <f>IFERROR(__xludf.DUMMYFUNCTION("""COMPUTED_VALUE"""),58.12)</f>
        <v>58.12</v>
      </c>
      <c r="E1476" s="6" t="str">
        <f>IFERROR(__xludf.DUMMYFUNCTION("""COMPUTED_VALUE"""),"No")</f>
        <v>No</v>
      </c>
      <c r="F1476" s="8" t="str">
        <f>IFERROR(__xludf.DUMMYFUNCTION("""COMPUTED_VALUE"""),"No")</f>
        <v>No</v>
      </c>
    </row>
    <row r="1477">
      <c r="A1477" s="5">
        <f>IFERROR(__xludf.DUMMYFUNCTION("""COMPUTED_VALUE"""),44890.0)</f>
        <v>44890</v>
      </c>
      <c r="B1477" s="6" t="str">
        <f>IFERROR(__xludf.DUMMYFUNCTION("""COMPUTED_VALUE"""),"lunch")</f>
        <v>lunch</v>
      </c>
      <c r="C1477" s="6" t="str">
        <f>IFERROR(__xludf.DUMMYFUNCTION("""COMPUTED_VALUE"""),"employee L")</f>
        <v>employee L</v>
      </c>
      <c r="D1477" s="7">
        <f>IFERROR(__xludf.DUMMYFUNCTION("""COMPUTED_VALUE"""),100.57)</f>
        <v>100.57</v>
      </c>
      <c r="E1477" s="6" t="str">
        <f>IFERROR(__xludf.DUMMYFUNCTION("""COMPUTED_VALUE"""),"No")</f>
        <v>No</v>
      </c>
      <c r="F1477" s="8" t="str">
        <f>IFERROR(__xludf.DUMMYFUNCTION("""COMPUTED_VALUE"""),"No")</f>
        <v>No</v>
      </c>
    </row>
    <row r="1478">
      <c r="A1478" s="5">
        <f>IFERROR(__xludf.DUMMYFUNCTION("""COMPUTED_VALUE"""),44890.0)</f>
        <v>44890</v>
      </c>
      <c r="B1478" s="6" t="str">
        <f>IFERROR(__xludf.DUMMYFUNCTION("""COMPUTED_VALUE"""),"dinner")</f>
        <v>dinner</v>
      </c>
      <c r="C1478" s="6" t="str">
        <f>IFERROR(__xludf.DUMMYFUNCTION("""COMPUTED_VALUE"""),"employee L")</f>
        <v>employee L</v>
      </c>
      <c r="D1478" s="7">
        <f>IFERROR(__xludf.DUMMYFUNCTION("""COMPUTED_VALUE"""),73.38)</f>
        <v>73.38</v>
      </c>
      <c r="E1478" s="6" t="str">
        <f>IFERROR(__xludf.DUMMYFUNCTION("""COMPUTED_VALUE"""),"No")</f>
        <v>No</v>
      </c>
      <c r="F1478" s="8" t="str">
        <f>IFERROR(__xludf.DUMMYFUNCTION("""COMPUTED_VALUE"""),"No")</f>
        <v>No</v>
      </c>
    </row>
    <row r="1479">
      <c r="A1479" s="5">
        <f>IFERROR(__xludf.DUMMYFUNCTION("""COMPUTED_VALUE"""),44890.0)</f>
        <v>44890</v>
      </c>
      <c r="B1479" s="6" t="str">
        <f>IFERROR(__xludf.DUMMYFUNCTION("""COMPUTED_VALUE"""),"dinner")</f>
        <v>dinner</v>
      </c>
      <c r="C1479" s="6" t="str">
        <f>IFERROR(__xludf.DUMMYFUNCTION("""COMPUTED_VALUE"""),"employee J")</f>
        <v>employee J</v>
      </c>
      <c r="D1479" s="7">
        <f>IFERROR(__xludf.DUMMYFUNCTION("""COMPUTED_VALUE"""),94.35)</f>
        <v>94.35</v>
      </c>
      <c r="E1479" s="6" t="str">
        <f>IFERROR(__xludf.DUMMYFUNCTION("""COMPUTED_VALUE"""),"No")</f>
        <v>No</v>
      </c>
      <c r="F1479" s="8" t="str">
        <f>IFERROR(__xludf.DUMMYFUNCTION("""COMPUTED_VALUE"""),"No")</f>
        <v>No</v>
      </c>
    </row>
    <row r="1480">
      <c r="A1480" s="5">
        <f>IFERROR(__xludf.DUMMYFUNCTION("""COMPUTED_VALUE"""),44890.0)</f>
        <v>44890</v>
      </c>
      <c r="B1480" s="6" t="str">
        <f>IFERROR(__xludf.DUMMYFUNCTION("""COMPUTED_VALUE"""),"dinner")</f>
        <v>dinner</v>
      </c>
      <c r="C1480" s="6" t="str">
        <f>IFERROR(__xludf.DUMMYFUNCTION("""COMPUTED_VALUE"""),"employee W")</f>
        <v>employee W</v>
      </c>
      <c r="D1480" s="7">
        <f>IFERROR(__xludf.DUMMYFUNCTION("""COMPUTED_VALUE"""),0.0)</f>
        <v>0</v>
      </c>
      <c r="E1480" s="6" t="str">
        <f>IFERROR(__xludf.DUMMYFUNCTION("""COMPUTED_VALUE"""),"Yes")</f>
        <v>Yes</v>
      </c>
      <c r="F1480" s="8" t="str">
        <f>IFERROR(__xludf.DUMMYFUNCTION("""COMPUTED_VALUE"""),"No")</f>
        <v>No</v>
      </c>
    </row>
    <row r="1481">
      <c r="A1481" s="5">
        <f>IFERROR(__xludf.DUMMYFUNCTION("""COMPUTED_VALUE"""),44891.0)</f>
        <v>44891</v>
      </c>
      <c r="B1481" s="6" t="str">
        <f>IFERROR(__xludf.DUMMYFUNCTION("""COMPUTED_VALUE"""),"lunch")</f>
        <v>lunch</v>
      </c>
      <c r="C1481" s="6" t="str">
        <f>IFERROR(__xludf.DUMMYFUNCTION("""COMPUTED_VALUE"""),"employee L")</f>
        <v>employee L</v>
      </c>
      <c r="D1481" s="7">
        <f>IFERROR(__xludf.DUMMYFUNCTION("""COMPUTED_VALUE"""),141.02)</f>
        <v>141.02</v>
      </c>
      <c r="E1481" s="6" t="str">
        <f>IFERROR(__xludf.DUMMYFUNCTION("""COMPUTED_VALUE"""),"No")</f>
        <v>No</v>
      </c>
      <c r="F1481" s="8" t="str">
        <f>IFERROR(__xludf.DUMMYFUNCTION("""COMPUTED_VALUE"""),"No")</f>
        <v>No</v>
      </c>
    </row>
    <row r="1482">
      <c r="A1482" s="5">
        <f>IFERROR(__xludf.DUMMYFUNCTION("""COMPUTED_VALUE"""),44891.0)</f>
        <v>44891</v>
      </c>
      <c r="B1482" s="6" t="str">
        <f>IFERROR(__xludf.DUMMYFUNCTION("""COMPUTED_VALUE"""),"lunch")</f>
        <v>lunch</v>
      </c>
      <c r="C1482" s="6" t="str">
        <f>IFERROR(__xludf.DUMMYFUNCTION("""COMPUTED_VALUE"""),"employee S")</f>
        <v>employee S</v>
      </c>
      <c r="D1482" s="7">
        <f>IFERROR(__xludf.DUMMYFUNCTION("""COMPUTED_VALUE"""),60.44)</f>
        <v>60.44</v>
      </c>
      <c r="E1482" s="6" t="str">
        <f>IFERROR(__xludf.DUMMYFUNCTION("""COMPUTED_VALUE"""),"No")</f>
        <v>No</v>
      </c>
      <c r="F1482" s="8" t="str">
        <f>IFERROR(__xludf.DUMMYFUNCTION("""COMPUTED_VALUE"""),"No")</f>
        <v>No</v>
      </c>
    </row>
    <row r="1483">
      <c r="A1483" s="5">
        <f>IFERROR(__xludf.DUMMYFUNCTION("""COMPUTED_VALUE"""),44891.0)</f>
        <v>44891</v>
      </c>
      <c r="B1483" s="6" t="str">
        <f>IFERROR(__xludf.DUMMYFUNCTION("""COMPUTED_VALUE"""),"dinner")</f>
        <v>dinner</v>
      </c>
      <c r="C1483" s="6" t="str">
        <f>IFERROR(__xludf.DUMMYFUNCTION("""COMPUTED_VALUE"""),"employee J")</f>
        <v>employee J</v>
      </c>
      <c r="D1483" s="7">
        <f>IFERROR(__xludf.DUMMYFUNCTION("""COMPUTED_VALUE"""),56.27)</f>
        <v>56.27</v>
      </c>
      <c r="E1483" s="6" t="str">
        <f>IFERROR(__xludf.DUMMYFUNCTION("""COMPUTED_VALUE"""),"No")</f>
        <v>No</v>
      </c>
      <c r="F1483" s="8" t="str">
        <f>IFERROR(__xludf.DUMMYFUNCTION("""COMPUTED_VALUE"""),"No")</f>
        <v>No</v>
      </c>
    </row>
    <row r="1484">
      <c r="A1484" s="5">
        <f>IFERROR(__xludf.DUMMYFUNCTION("""COMPUTED_VALUE"""),44891.0)</f>
        <v>44891</v>
      </c>
      <c r="B1484" s="6" t="str">
        <f>IFERROR(__xludf.DUMMYFUNCTION("""COMPUTED_VALUE"""),"dinner")</f>
        <v>dinner</v>
      </c>
      <c r="C1484" s="6" t="str">
        <f>IFERROR(__xludf.DUMMYFUNCTION("""COMPUTED_VALUE"""),"employee L")</f>
        <v>employee L</v>
      </c>
      <c r="D1484" s="7">
        <f>IFERROR(__xludf.DUMMYFUNCTION("""COMPUTED_VALUE"""),12.5)</f>
        <v>12.5</v>
      </c>
      <c r="E1484" s="6" t="str">
        <f>IFERROR(__xludf.DUMMYFUNCTION("""COMPUTED_VALUE"""),"No")</f>
        <v>No</v>
      </c>
      <c r="F1484" s="8" t="str">
        <f>IFERROR(__xludf.DUMMYFUNCTION("""COMPUTED_VALUE"""),"No")</f>
        <v>No</v>
      </c>
    </row>
    <row r="1485">
      <c r="A1485" s="5">
        <f>IFERROR(__xludf.DUMMYFUNCTION("""COMPUTED_VALUE"""),44891.0)</f>
        <v>44891</v>
      </c>
      <c r="B1485" s="6" t="str">
        <f>IFERROR(__xludf.DUMMYFUNCTION("""COMPUTED_VALUE"""),"dinner")</f>
        <v>dinner</v>
      </c>
      <c r="C1485" s="6" t="str">
        <f>IFERROR(__xludf.DUMMYFUNCTION("""COMPUTED_VALUE"""),"employee W")</f>
        <v>employee W</v>
      </c>
      <c r="D1485" s="7">
        <f>IFERROR(__xludf.DUMMYFUNCTION("""COMPUTED_VALUE"""),0.0)</f>
        <v>0</v>
      </c>
      <c r="E1485" s="6" t="str">
        <f>IFERROR(__xludf.DUMMYFUNCTION("""COMPUTED_VALUE"""),"Yes")</f>
        <v>Yes</v>
      </c>
      <c r="F1485" s="8" t="str">
        <f>IFERROR(__xludf.DUMMYFUNCTION("""COMPUTED_VALUE"""),"No")</f>
        <v>No</v>
      </c>
    </row>
    <row r="1486">
      <c r="A1486" s="5">
        <f>IFERROR(__xludf.DUMMYFUNCTION("""COMPUTED_VALUE"""),44892.0)</f>
        <v>44892</v>
      </c>
      <c r="B1486" s="6" t="str">
        <f>IFERROR(__xludf.DUMMYFUNCTION("""COMPUTED_VALUE"""),"lunch")</f>
        <v>lunch</v>
      </c>
      <c r="C1486" s="6" t="str">
        <f>IFERROR(__xludf.DUMMYFUNCTION("""COMPUTED_VALUE"""),"employee L")</f>
        <v>employee L</v>
      </c>
      <c r="D1486" s="7">
        <f>IFERROR(__xludf.DUMMYFUNCTION("""COMPUTED_VALUE"""),54.46)</f>
        <v>54.46</v>
      </c>
      <c r="E1486" s="6" t="str">
        <f>IFERROR(__xludf.DUMMYFUNCTION("""COMPUTED_VALUE"""),"No")</f>
        <v>No</v>
      </c>
      <c r="F1486" s="8" t="str">
        <f>IFERROR(__xludf.DUMMYFUNCTION("""COMPUTED_VALUE"""),"No")</f>
        <v>No</v>
      </c>
    </row>
    <row r="1487">
      <c r="A1487" s="5">
        <f>IFERROR(__xludf.DUMMYFUNCTION("""COMPUTED_VALUE"""),44892.0)</f>
        <v>44892</v>
      </c>
      <c r="B1487" s="6" t="str">
        <f>IFERROR(__xludf.DUMMYFUNCTION("""COMPUTED_VALUE"""),"lunch")</f>
        <v>lunch</v>
      </c>
      <c r="C1487" s="6" t="str">
        <f>IFERROR(__xludf.DUMMYFUNCTION("""COMPUTED_VALUE"""),"employee J")</f>
        <v>employee J</v>
      </c>
      <c r="D1487" s="7">
        <f>IFERROR(__xludf.DUMMYFUNCTION("""COMPUTED_VALUE"""),54.46)</f>
        <v>54.46</v>
      </c>
      <c r="E1487" s="6" t="str">
        <f>IFERROR(__xludf.DUMMYFUNCTION("""COMPUTED_VALUE"""),"No")</f>
        <v>No</v>
      </c>
      <c r="F1487" s="8" t="str">
        <f>IFERROR(__xludf.DUMMYFUNCTION("""COMPUTED_VALUE"""),"No")</f>
        <v>No</v>
      </c>
    </row>
    <row r="1488">
      <c r="A1488" s="5">
        <f>IFERROR(__xludf.DUMMYFUNCTION("""COMPUTED_VALUE"""),44892.0)</f>
        <v>44892</v>
      </c>
      <c r="B1488" s="6" t="str">
        <f>IFERROR(__xludf.DUMMYFUNCTION("""COMPUTED_VALUE"""),"lunch")</f>
        <v>lunch</v>
      </c>
      <c r="C1488" s="6" t="str">
        <f>IFERROR(__xludf.DUMMYFUNCTION("""COMPUTED_VALUE"""),"employee X")</f>
        <v>employee X</v>
      </c>
      <c r="D1488" s="7">
        <f>IFERROR(__xludf.DUMMYFUNCTION("""COMPUTED_VALUE"""),0.0)</f>
        <v>0</v>
      </c>
      <c r="E1488" s="6" t="str">
        <f>IFERROR(__xludf.DUMMYFUNCTION("""COMPUTED_VALUE"""),"Yes")</f>
        <v>Yes</v>
      </c>
      <c r="F1488" s="8" t="str">
        <f>IFERROR(__xludf.DUMMYFUNCTION("""COMPUTED_VALUE"""),"No")</f>
        <v>No</v>
      </c>
    </row>
    <row r="1489">
      <c r="A1489" s="5">
        <f>IFERROR(__xludf.DUMMYFUNCTION("""COMPUTED_VALUE"""),44892.0)</f>
        <v>44892</v>
      </c>
      <c r="B1489" s="6" t="str">
        <f>IFERROR(__xludf.DUMMYFUNCTION("""COMPUTED_VALUE"""),"dinner")</f>
        <v>dinner</v>
      </c>
      <c r="C1489" s="6" t="str">
        <f>IFERROR(__xludf.DUMMYFUNCTION("""COMPUTED_VALUE"""),"employee J")</f>
        <v>employee J</v>
      </c>
      <c r="D1489" s="7">
        <f>IFERROR(__xludf.DUMMYFUNCTION("""COMPUTED_VALUE"""),14.48)</f>
        <v>14.48</v>
      </c>
      <c r="E1489" s="6" t="str">
        <f>IFERROR(__xludf.DUMMYFUNCTION("""COMPUTED_VALUE"""),"No")</f>
        <v>No</v>
      </c>
      <c r="F1489" s="8" t="str">
        <f>IFERROR(__xludf.DUMMYFUNCTION("""COMPUTED_VALUE"""),"No")</f>
        <v>No</v>
      </c>
    </row>
    <row r="1490">
      <c r="A1490" s="5">
        <f>IFERROR(__xludf.DUMMYFUNCTION("""COMPUTED_VALUE"""),44892.0)</f>
        <v>44892</v>
      </c>
      <c r="B1490" s="6" t="str">
        <f>IFERROR(__xludf.DUMMYFUNCTION("""COMPUTED_VALUE"""),"dinner")</f>
        <v>dinner</v>
      </c>
      <c r="C1490" s="6" t="str">
        <f>IFERROR(__xludf.DUMMYFUNCTION("""COMPUTED_VALUE"""),"employee L")</f>
        <v>employee L</v>
      </c>
      <c r="D1490" s="7">
        <f>IFERROR(__xludf.DUMMYFUNCTION("""COMPUTED_VALUE"""),33.79)</f>
        <v>33.79</v>
      </c>
      <c r="E1490" s="6" t="str">
        <f>IFERROR(__xludf.DUMMYFUNCTION("""COMPUTED_VALUE"""),"No")</f>
        <v>No</v>
      </c>
      <c r="F1490" s="8" t="str">
        <f>IFERROR(__xludf.DUMMYFUNCTION("""COMPUTED_VALUE"""),"No")</f>
        <v>No</v>
      </c>
    </row>
    <row r="1491">
      <c r="A1491" s="5">
        <f>IFERROR(__xludf.DUMMYFUNCTION("""COMPUTED_VALUE"""),44892.0)</f>
        <v>44892</v>
      </c>
      <c r="B1491" s="6" t="str">
        <f>IFERROR(__xludf.DUMMYFUNCTION("""COMPUTED_VALUE"""),"dinner")</f>
        <v>dinner</v>
      </c>
      <c r="C1491" s="6" t="str">
        <f>IFERROR(__xludf.DUMMYFUNCTION("""COMPUTED_VALUE"""),"employee W")</f>
        <v>employee W</v>
      </c>
      <c r="D1491" s="7">
        <f>IFERROR(__xludf.DUMMYFUNCTION("""COMPUTED_VALUE"""),0.0)</f>
        <v>0</v>
      </c>
      <c r="E1491" s="6" t="str">
        <f>IFERROR(__xludf.DUMMYFUNCTION("""COMPUTED_VALUE"""),"Yes")</f>
        <v>Yes</v>
      </c>
      <c r="F1491" s="8" t="str">
        <f>IFERROR(__xludf.DUMMYFUNCTION("""COMPUTED_VALUE"""),"No")</f>
        <v>No</v>
      </c>
    </row>
    <row r="1492">
      <c r="A1492" s="5">
        <f>IFERROR(__xludf.DUMMYFUNCTION("""COMPUTED_VALUE"""),44893.0)</f>
        <v>44893</v>
      </c>
      <c r="B1492" s="6" t="str">
        <f>IFERROR(__xludf.DUMMYFUNCTION("""COMPUTED_VALUE"""),"lunch")</f>
        <v>lunch</v>
      </c>
      <c r="C1492" s="6" t="str">
        <f>IFERROR(__xludf.DUMMYFUNCTION("""COMPUTED_VALUE"""),"employee A")</f>
        <v>employee A</v>
      </c>
      <c r="D1492" s="7">
        <f>IFERROR(__xludf.DUMMYFUNCTION("""COMPUTED_VALUE"""),85.92)</f>
        <v>85.92</v>
      </c>
      <c r="E1492" s="6" t="str">
        <f>IFERROR(__xludf.DUMMYFUNCTION("""COMPUTED_VALUE"""),"No")</f>
        <v>No</v>
      </c>
      <c r="F1492" s="8" t="str">
        <f>IFERROR(__xludf.DUMMYFUNCTION("""COMPUTED_VALUE"""),"No")</f>
        <v>No</v>
      </c>
    </row>
    <row r="1493">
      <c r="A1493" s="5">
        <f>IFERROR(__xludf.DUMMYFUNCTION("""COMPUTED_VALUE"""),44893.0)</f>
        <v>44893</v>
      </c>
      <c r="B1493" s="6" t="str">
        <f>IFERROR(__xludf.DUMMYFUNCTION("""COMPUTED_VALUE"""),"dinner")</f>
        <v>dinner</v>
      </c>
      <c r="C1493" s="6" t="str">
        <f>IFERROR(__xludf.DUMMYFUNCTION("""COMPUTED_VALUE"""),"employee A")</f>
        <v>employee A</v>
      </c>
      <c r="D1493" s="7">
        <f>IFERROR(__xludf.DUMMYFUNCTION("""COMPUTED_VALUE"""),86.58)</f>
        <v>86.58</v>
      </c>
      <c r="E1493" s="6" t="str">
        <f>IFERROR(__xludf.DUMMYFUNCTION("""COMPUTED_VALUE"""),"No")</f>
        <v>No</v>
      </c>
      <c r="F1493" s="8" t="str">
        <f>IFERROR(__xludf.DUMMYFUNCTION("""COMPUTED_VALUE"""),"No")</f>
        <v>No</v>
      </c>
    </row>
    <row r="1494">
      <c r="A1494" s="5">
        <f>IFERROR(__xludf.DUMMYFUNCTION("""COMPUTED_VALUE"""),44893.0)</f>
        <v>44893</v>
      </c>
      <c r="B1494" s="6" t="str">
        <f>IFERROR(__xludf.DUMMYFUNCTION("""COMPUTED_VALUE"""),"dinner")</f>
        <v>dinner</v>
      </c>
      <c r="C1494" s="6" t="str">
        <f>IFERROR(__xludf.DUMMYFUNCTION("""COMPUTED_VALUE"""),"employee S")</f>
        <v>employee S</v>
      </c>
      <c r="D1494" s="7">
        <f>IFERROR(__xludf.DUMMYFUNCTION("""COMPUTED_VALUE"""),38.48)</f>
        <v>38.48</v>
      </c>
      <c r="E1494" s="6" t="str">
        <f>IFERROR(__xludf.DUMMYFUNCTION("""COMPUTED_VALUE"""),"No")</f>
        <v>No</v>
      </c>
      <c r="F1494" s="8" t="str">
        <f>IFERROR(__xludf.DUMMYFUNCTION("""COMPUTED_VALUE"""),"No")</f>
        <v>No</v>
      </c>
    </row>
    <row r="1495">
      <c r="A1495" s="5">
        <f>IFERROR(__xludf.DUMMYFUNCTION("""COMPUTED_VALUE"""),44893.0)</f>
        <v>44893</v>
      </c>
      <c r="B1495" s="6" t="str">
        <f>IFERROR(__xludf.DUMMYFUNCTION("""COMPUTED_VALUE"""),"dinner")</f>
        <v>dinner</v>
      </c>
      <c r="C1495" s="6" t="str">
        <f>IFERROR(__xludf.DUMMYFUNCTION("""COMPUTED_VALUE"""),"employee J")</f>
        <v>employee J</v>
      </c>
      <c r="D1495" s="7">
        <f>IFERROR(__xludf.DUMMYFUNCTION("""COMPUTED_VALUE"""),48.1)</f>
        <v>48.1</v>
      </c>
      <c r="E1495" s="6" t="str">
        <f>IFERROR(__xludf.DUMMYFUNCTION("""COMPUTED_VALUE"""),"No")</f>
        <v>No</v>
      </c>
      <c r="F1495" s="8" t="str">
        <f>IFERROR(__xludf.DUMMYFUNCTION("""COMPUTED_VALUE"""),"No")</f>
        <v>No</v>
      </c>
    </row>
    <row r="1496">
      <c r="A1496" s="5">
        <f>IFERROR(__xludf.DUMMYFUNCTION("""COMPUTED_VALUE"""),44894.0)</f>
        <v>44894</v>
      </c>
      <c r="B1496" s="6" t="str">
        <f>IFERROR(__xludf.DUMMYFUNCTION("""COMPUTED_VALUE"""),"lunch")</f>
        <v>lunch</v>
      </c>
      <c r="C1496" s="6" t="str">
        <f>IFERROR(__xludf.DUMMYFUNCTION("""COMPUTED_VALUE"""),"employee A")</f>
        <v>employee A</v>
      </c>
      <c r="D1496" s="7">
        <f>IFERROR(__xludf.DUMMYFUNCTION("""COMPUTED_VALUE"""),98.17)</f>
        <v>98.17</v>
      </c>
      <c r="E1496" s="6" t="str">
        <f>IFERROR(__xludf.DUMMYFUNCTION("""COMPUTED_VALUE"""),"No")</f>
        <v>No</v>
      </c>
      <c r="F1496" s="8" t="str">
        <f>IFERROR(__xludf.DUMMYFUNCTION("""COMPUTED_VALUE"""),"No")</f>
        <v>No</v>
      </c>
    </row>
    <row r="1497">
      <c r="A1497" s="5">
        <f>IFERROR(__xludf.DUMMYFUNCTION("""COMPUTED_VALUE"""),44894.0)</f>
        <v>44894</v>
      </c>
      <c r="B1497" s="6" t="str">
        <f>IFERROR(__xludf.DUMMYFUNCTION("""COMPUTED_VALUE"""),"dinner")</f>
        <v>dinner</v>
      </c>
      <c r="C1497" s="6" t="str">
        <f>IFERROR(__xludf.DUMMYFUNCTION("""COMPUTED_VALUE"""),"employee A")</f>
        <v>employee A</v>
      </c>
      <c r="D1497" s="7">
        <f>IFERROR(__xludf.DUMMYFUNCTION("""COMPUTED_VALUE"""),17.58)</f>
        <v>17.58</v>
      </c>
      <c r="E1497" s="6" t="str">
        <f>IFERROR(__xludf.DUMMYFUNCTION("""COMPUTED_VALUE"""),"No")</f>
        <v>No</v>
      </c>
      <c r="F1497" s="8" t="str">
        <f>IFERROR(__xludf.DUMMYFUNCTION("""COMPUTED_VALUE"""),"No")</f>
        <v>No</v>
      </c>
    </row>
    <row r="1498">
      <c r="A1498" s="5">
        <f>IFERROR(__xludf.DUMMYFUNCTION("""COMPUTED_VALUE"""),44894.0)</f>
        <v>44894</v>
      </c>
      <c r="B1498" s="6" t="str">
        <f>IFERROR(__xludf.DUMMYFUNCTION("""COMPUTED_VALUE"""),"dinner")</f>
        <v>dinner</v>
      </c>
      <c r="C1498" s="6" t="str">
        <f>IFERROR(__xludf.DUMMYFUNCTION("""COMPUTED_VALUE"""),"employee J")</f>
        <v>employee J</v>
      </c>
      <c r="D1498" s="7">
        <f>IFERROR(__xludf.DUMMYFUNCTION("""COMPUTED_VALUE"""),46.88)</f>
        <v>46.88</v>
      </c>
      <c r="E1498" s="6" t="str">
        <f>IFERROR(__xludf.DUMMYFUNCTION("""COMPUTED_VALUE"""),"No")</f>
        <v>No</v>
      </c>
      <c r="F1498" s="8" t="str">
        <f>IFERROR(__xludf.DUMMYFUNCTION("""COMPUTED_VALUE"""),"No")</f>
        <v>No</v>
      </c>
    </row>
    <row r="1499">
      <c r="A1499" s="5">
        <f>IFERROR(__xludf.DUMMYFUNCTION("""COMPUTED_VALUE"""),44894.0)</f>
        <v>44894</v>
      </c>
      <c r="B1499" s="6" t="str">
        <f>IFERROR(__xludf.DUMMYFUNCTION("""COMPUTED_VALUE"""),"dinner")</f>
        <v>dinner</v>
      </c>
      <c r="C1499" s="6" t="str">
        <f>IFERROR(__xludf.DUMMYFUNCTION("""COMPUTED_VALUE"""),"employee W")</f>
        <v>employee W</v>
      </c>
      <c r="D1499" s="7">
        <f>IFERROR(__xludf.DUMMYFUNCTION("""COMPUTED_VALUE"""),52.74)</f>
        <v>52.74</v>
      </c>
      <c r="E1499" s="6" t="str">
        <f>IFERROR(__xludf.DUMMYFUNCTION("""COMPUTED_VALUE"""),"No")</f>
        <v>No</v>
      </c>
      <c r="F1499" s="8" t="str">
        <f>IFERROR(__xludf.DUMMYFUNCTION("""COMPUTED_VALUE"""),"No")</f>
        <v>No</v>
      </c>
    </row>
    <row r="1500">
      <c r="A1500" s="5">
        <f>IFERROR(__xludf.DUMMYFUNCTION("""COMPUTED_VALUE"""),44895.0)</f>
        <v>44895</v>
      </c>
      <c r="B1500" s="6" t="str">
        <f>IFERROR(__xludf.DUMMYFUNCTION("""COMPUTED_VALUE"""),"lunch")</f>
        <v>lunch</v>
      </c>
      <c r="C1500" s="6" t="str">
        <f>IFERROR(__xludf.DUMMYFUNCTION("""COMPUTED_VALUE"""),"employee A")</f>
        <v>employee A</v>
      </c>
      <c r="D1500" s="7">
        <f>IFERROR(__xludf.DUMMYFUNCTION("""COMPUTED_VALUE"""),88.99)</f>
        <v>88.99</v>
      </c>
      <c r="E1500" s="6" t="str">
        <f>IFERROR(__xludf.DUMMYFUNCTION("""COMPUTED_VALUE"""),"No")</f>
        <v>No</v>
      </c>
      <c r="F1500" s="8" t="str">
        <f>IFERROR(__xludf.DUMMYFUNCTION("""COMPUTED_VALUE"""),"No")</f>
        <v>No</v>
      </c>
    </row>
    <row r="1501">
      <c r="A1501" s="5">
        <f>IFERROR(__xludf.DUMMYFUNCTION("""COMPUTED_VALUE"""),44895.0)</f>
        <v>44895</v>
      </c>
      <c r="B1501" s="6" t="str">
        <f>IFERROR(__xludf.DUMMYFUNCTION("""COMPUTED_VALUE"""),"dinner")</f>
        <v>dinner</v>
      </c>
      <c r="C1501" s="6" t="str">
        <f>IFERROR(__xludf.DUMMYFUNCTION("""COMPUTED_VALUE"""),"employee J")</f>
        <v>employee J</v>
      </c>
      <c r="D1501" s="7">
        <f>IFERROR(__xludf.DUMMYFUNCTION("""COMPUTED_VALUE"""),42.65)</f>
        <v>42.65</v>
      </c>
      <c r="E1501" s="6" t="str">
        <f>IFERROR(__xludf.DUMMYFUNCTION("""COMPUTED_VALUE"""),"No")</f>
        <v>No</v>
      </c>
      <c r="F1501" s="8" t="str">
        <f>IFERROR(__xludf.DUMMYFUNCTION("""COMPUTED_VALUE"""),"No")</f>
        <v>No</v>
      </c>
    </row>
    <row r="1502">
      <c r="A1502" s="5">
        <f>IFERROR(__xludf.DUMMYFUNCTION("""COMPUTED_VALUE"""),44895.0)</f>
        <v>44895</v>
      </c>
      <c r="B1502" s="6" t="str">
        <f>IFERROR(__xludf.DUMMYFUNCTION("""COMPUTED_VALUE"""),"dinner")</f>
        <v>dinner</v>
      </c>
      <c r="C1502" s="6" t="str">
        <f>IFERROR(__xludf.DUMMYFUNCTION("""COMPUTED_VALUE"""),"employee X")</f>
        <v>employee X</v>
      </c>
      <c r="D1502" s="7">
        <f>IFERROR(__xludf.DUMMYFUNCTION("""COMPUTED_VALUE"""),0.0)</f>
        <v>0</v>
      </c>
      <c r="E1502" s="6" t="str">
        <f>IFERROR(__xludf.DUMMYFUNCTION("""COMPUTED_VALUE"""),"Yes")</f>
        <v>Yes</v>
      </c>
      <c r="F1502" s="8" t="str">
        <f>IFERROR(__xludf.DUMMYFUNCTION("""COMPUTED_VALUE"""),"No")</f>
        <v>No</v>
      </c>
    </row>
    <row r="1503">
      <c r="A1503" s="5">
        <f>IFERROR(__xludf.DUMMYFUNCTION("""COMPUTED_VALUE"""),44895.0)</f>
        <v>44895</v>
      </c>
      <c r="B1503" s="6" t="str">
        <f>IFERROR(__xludf.DUMMYFUNCTION("""COMPUTED_VALUE"""),"dinner")</f>
        <v>dinner</v>
      </c>
      <c r="C1503" s="6" t="str">
        <f>IFERROR(__xludf.DUMMYFUNCTION("""COMPUTED_VALUE"""),"employee S")</f>
        <v>employee S</v>
      </c>
      <c r="D1503" s="7">
        <f>IFERROR(__xludf.DUMMYFUNCTION("""COMPUTED_VALUE"""),28.43)</f>
        <v>28.43</v>
      </c>
      <c r="E1503" s="6" t="str">
        <f>IFERROR(__xludf.DUMMYFUNCTION("""COMPUTED_VALUE"""),"No")</f>
        <v>No</v>
      </c>
      <c r="F1503" s="8" t="str">
        <f>IFERROR(__xludf.DUMMYFUNCTION("""COMPUTED_VALUE"""),"No")</f>
        <v>No</v>
      </c>
    </row>
    <row r="1504">
      <c r="A1504" s="5">
        <f>IFERROR(__xludf.DUMMYFUNCTION("""COMPUTED_VALUE"""),44896.0)</f>
        <v>44896</v>
      </c>
      <c r="B1504" s="6" t="str">
        <f>IFERROR(__xludf.DUMMYFUNCTION("""COMPUTED_VALUE"""),"lunch")</f>
        <v>lunch</v>
      </c>
      <c r="C1504" s="6" t="str">
        <f>IFERROR(__xludf.DUMMYFUNCTION("""COMPUTED_VALUE"""),"employee L")</f>
        <v>employee L</v>
      </c>
      <c r="D1504" s="7">
        <f>IFERROR(__xludf.DUMMYFUNCTION("""COMPUTED_VALUE"""),45.58)</f>
        <v>45.58</v>
      </c>
      <c r="E1504" s="6" t="str">
        <f>IFERROR(__xludf.DUMMYFUNCTION("""COMPUTED_VALUE"""),"No")</f>
        <v>No</v>
      </c>
      <c r="F1504" s="8" t="str">
        <f>IFERROR(__xludf.DUMMYFUNCTION("""COMPUTED_VALUE"""),"No")</f>
        <v>No</v>
      </c>
    </row>
    <row r="1505">
      <c r="A1505" s="5">
        <f>IFERROR(__xludf.DUMMYFUNCTION("""COMPUTED_VALUE"""),44896.0)</f>
        <v>44896</v>
      </c>
      <c r="B1505" s="6" t="str">
        <f>IFERROR(__xludf.DUMMYFUNCTION("""COMPUTED_VALUE"""),"dinner")</f>
        <v>dinner</v>
      </c>
      <c r="C1505" s="6" t="str">
        <f>IFERROR(__xludf.DUMMYFUNCTION("""COMPUTED_VALUE"""),"employee J")</f>
        <v>employee J</v>
      </c>
      <c r="D1505" s="7">
        <f>IFERROR(__xludf.DUMMYFUNCTION("""COMPUTED_VALUE"""),54.99)</f>
        <v>54.99</v>
      </c>
      <c r="E1505" s="6" t="str">
        <f>IFERROR(__xludf.DUMMYFUNCTION("""COMPUTED_VALUE"""),"No")</f>
        <v>No</v>
      </c>
      <c r="F1505" s="8" t="str">
        <f>IFERROR(__xludf.DUMMYFUNCTION("""COMPUTED_VALUE"""),"No")</f>
        <v>No</v>
      </c>
    </row>
    <row r="1506">
      <c r="A1506" s="5">
        <f>IFERROR(__xludf.DUMMYFUNCTION("""COMPUTED_VALUE"""),44896.0)</f>
        <v>44896</v>
      </c>
      <c r="B1506" s="6" t="str">
        <f>IFERROR(__xludf.DUMMYFUNCTION("""COMPUTED_VALUE"""),"dinner")</f>
        <v>dinner</v>
      </c>
      <c r="C1506" s="6" t="str">
        <f>IFERROR(__xludf.DUMMYFUNCTION("""COMPUTED_VALUE"""),"employee X")</f>
        <v>employee X</v>
      </c>
      <c r="D1506" s="7">
        <f>IFERROR(__xludf.DUMMYFUNCTION("""COMPUTED_VALUE"""),0.0)</f>
        <v>0</v>
      </c>
      <c r="E1506" s="6" t="str">
        <f>IFERROR(__xludf.DUMMYFUNCTION("""COMPUTED_VALUE"""),"Yes")</f>
        <v>Yes</v>
      </c>
      <c r="F1506" s="8" t="str">
        <f>IFERROR(__xludf.DUMMYFUNCTION("""COMPUTED_VALUE"""),"No")</f>
        <v>No</v>
      </c>
    </row>
    <row r="1507">
      <c r="A1507" s="5">
        <f>IFERROR(__xludf.DUMMYFUNCTION("""COMPUTED_VALUE"""),44896.0)</f>
        <v>44896</v>
      </c>
      <c r="B1507" s="6" t="str">
        <f>IFERROR(__xludf.DUMMYFUNCTION("""COMPUTED_VALUE"""),"dinner")</f>
        <v>dinner</v>
      </c>
      <c r="C1507" s="6" t="str">
        <f>IFERROR(__xludf.DUMMYFUNCTION("""COMPUTED_VALUE"""),"employee W")</f>
        <v>employee W</v>
      </c>
      <c r="D1507" s="7">
        <f>IFERROR(__xludf.DUMMYFUNCTION("""COMPUTED_VALUE"""),0.0)</f>
        <v>0</v>
      </c>
      <c r="E1507" s="6" t="str">
        <f>IFERROR(__xludf.DUMMYFUNCTION("""COMPUTED_VALUE"""),"No")</f>
        <v>No</v>
      </c>
      <c r="F1507" s="8" t="str">
        <f>IFERROR(__xludf.DUMMYFUNCTION("""COMPUTED_VALUE"""),"Yes")</f>
        <v>Yes</v>
      </c>
    </row>
    <row r="1508">
      <c r="A1508" s="5">
        <f>IFERROR(__xludf.DUMMYFUNCTION("""COMPUTED_VALUE"""),44897.0)</f>
        <v>44897</v>
      </c>
      <c r="B1508" s="6" t="str">
        <f>IFERROR(__xludf.DUMMYFUNCTION("""COMPUTED_VALUE"""),"lunch")</f>
        <v>lunch</v>
      </c>
      <c r="C1508" s="6" t="str">
        <f>IFERROR(__xludf.DUMMYFUNCTION("""COMPUTED_VALUE"""),"employee L")</f>
        <v>employee L</v>
      </c>
      <c r="D1508" s="7">
        <f>IFERROR(__xludf.DUMMYFUNCTION("""COMPUTED_VALUE"""),85.02)</f>
        <v>85.02</v>
      </c>
      <c r="E1508" s="6" t="str">
        <f>IFERROR(__xludf.DUMMYFUNCTION("""COMPUTED_VALUE"""),"No")</f>
        <v>No</v>
      </c>
      <c r="F1508" s="8" t="str">
        <f>IFERROR(__xludf.DUMMYFUNCTION("""COMPUTED_VALUE"""),"No")</f>
        <v>No</v>
      </c>
    </row>
    <row r="1509">
      <c r="A1509" s="5">
        <f>IFERROR(__xludf.DUMMYFUNCTION("""COMPUTED_VALUE"""),44897.0)</f>
        <v>44897</v>
      </c>
      <c r="B1509" s="6" t="str">
        <f>IFERROR(__xludf.DUMMYFUNCTION("""COMPUTED_VALUE"""),"lunch")</f>
        <v>lunch</v>
      </c>
      <c r="C1509" s="6" t="str">
        <f>IFERROR(__xludf.DUMMYFUNCTION("""COMPUTED_VALUE"""),"employee Y")</f>
        <v>employee Y</v>
      </c>
      <c r="D1509" s="7">
        <f>IFERROR(__xludf.DUMMYFUNCTION("""COMPUTED_VALUE"""),0.0)</f>
        <v>0</v>
      </c>
      <c r="E1509" s="6" t="str">
        <f>IFERROR(__xludf.DUMMYFUNCTION("""COMPUTED_VALUE"""),"Yes")</f>
        <v>Yes</v>
      </c>
      <c r="F1509" s="8" t="str">
        <f>IFERROR(__xludf.DUMMYFUNCTION("""COMPUTED_VALUE"""),"No")</f>
        <v>No</v>
      </c>
    </row>
    <row r="1510">
      <c r="A1510" s="5">
        <f>IFERROR(__xludf.DUMMYFUNCTION("""COMPUTED_VALUE"""),44897.0)</f>
        <v>44897</v>
      </c>
      <c r="B1510" s="6" t="str">
        <f>IFERROR(__xludf.DUMMYFUNCTION("""COMPUTED_VALUE"""),"dinner")</f>
        <v>dinner</v>
      </c>
      <c r="C1510" s="6" t="str">
        <f>IFERROR(__xludf.DUMMYFUNCTION("""COMPUTED_VALUE"""),"employee L")</f>
        <v>employee L</v>
      </c>
      <c r="D1510" s="7">
        <f>IFERROR(__xludf.DUMMYFUNCTION("""COMPUTED_VALUE"""),115.1)</f>
        <v>115.1</v>
      </c>
      <c r="E1510" s="6" t="str">
        <f>IFERROR(__xludf.DUMMYFUNCTION("""COMPUTED_VALUE"""),"No")</f>
        <v>No</v>
      </c>
      <c r="F1510" s="8" t="str">
        <f>IFERROR(__xludf.DUMMYFUNCTION("""COMPUTED_VALUE"""),"No")</f>
        <v>No</v>
      </c>
    </row>
    <row r="1511">
      <c r="A1511" s="5">
        <f>IFERROR(__xludf.DUMMYFUNCTION("""COMPUTED_VALUE"""),44897.0)</f>
        <v>44897</v>
      </c>
      <c r="B1511" s="6" t="str">
        <f>IFERROR(__xludf.DUMMYFUNCTION("""COMPUTED_VALUE"""),"dinner")</f>
        <v>dinner</v>
      </c>
      <c r="C1511" s="6" t="str">
        <f>IFERROR(__xludf.DUMMYFUNCTION("""COMPUTED_VALUE"""),"employee S")</f>
        <v>employee S</v>
      </c>
      <c r="D1511" s="7">
        <f>IFERROR(__xludf.DUMMYFUNCTION("""COMPUTED_VALUE"""),76.73)</f>
        <v>76.73</v>
      </c>
      <c r="E1511" s="6" t="str">
        <f>IFERROR(__xludf.DUMMYFUNCTION("""COMPUTED_VALUE"""),"No")</f>
        <v>No</v>
      </c>
      <c r="F1511" s="8" t="str">
        <f>IFERROR(__xludf.DUMMYFUNCTION("""COMPUTED_VALUE"""),"No")</f>
        <v>No</v>
      </c>
    </row>
    <row r="1512">
      <c r="A1512" s="5">
        <f>IFERROR(__xludf.DUMMYFUNCTION("""COMPUTED_VALUE"""),44898.0)</f>
        <v>44898</v>
      </c>
      <c r="B1512" s="6" t="str">
        <f>IFERROR(__xludf.DUMMYFUNCTION("""COMPUTED_VALUE"""),"lunch")</f>
        <v>lunch</v>
      </c>
      <c r="C1512" s="6" t="str">
        <f>IFERROR(__xludf.DUMMYFUNCTION("""COMPUTED_VALUE"""),"employee L")</f>
        <v>employee L</v>
      </c>
      <c r="D1512" s="7">
        <f>IFERROR(__xludf.DUMMYFUNCTION("""COMPUTED_VALUE"""),70.17)</f>
        <v>70.17</v>
      </c>
      <c r="E1512" s="6" t="str">
        <f>IFERROR(__xludf.DUMMYFUNCTION("""COMPUTED_VALUE"""),"No")</f>
        <v>No</v>
      </c>
      <c r="F1512" s="8" t="str">
        <f>IFERROR(__xludf.DUMMYFUNCTION("""COMPUTED_VALUE"""),"No")</f>
        <v>No</v>
      </c>
    </row>
    <row r="1513">
      <c r="A1513" s="5">
        <f>IFERROR(__xludf.DUMMYFUNCTION("""COMPUTED_VALUE"""),44898.0)</f>
        <v>44898</v>
      </c>
      <c r="B1513" s="6" t="str">
        <f>IFERROR(__xludf.DUMMYFUNCTION("""COMPUTED_VALUE"""),"lunch")</f>
        <v>lunch</v>
      </c>
      <c r="C1513" s="6" t="str">
        <f>IFERROR(__xludf.DUMMYFUNCTION("""COMPUTED_VALUE"""),"employee W")</f>
        <v>employee W</v>
      </c>
      <c r="D1513" s="7">
        <f>IFERROR(__xludf.DUMMYFUNCTION("""COMPUTED_VALUE"""),50.12)</f>
        <v>50.12</v>
      </c>
      <c r="E1513" s="6" t="str">
        <f>IFERROR(__xludf.DUMMYFUNCTION("""COMPUTED_VALUE"""),"No")</f>
        <v>No</v>
      </c>
      <c r="F1513" s="8" t="str">
        <f>IFERROR(__xludf.DUMMYFUNCTION("""COMPUTED_VALUE"""),"No")</f>
        <v>No</v>
      </c>
    </row>
    <row r="1514">
      <c r="A1514" s="5">
        <f>IFERROR(__xludf.DUMMYFUNCTION("""COMPUTED_VALUE"""),44898.0)</f>
        <v>44898</v>
      </c>
      <c r="B1514" s="6" t="str">
        <f>IFERROR(__xludf.DUMMYFUNCTION("""COMPUTED_VALUE"""),"lunch")</f>
        <v>lunch</v>
      </c>
      <c r="C1514" s="6" t="str">
        <f>IFERROR(__xludf.DUMMYFUNCTION("""COMPUTED_VALUE"""),"employee S")</f>
        <v>employee S</v>
      </c>
      <c r="D1514" s="7">
        <f>IFERROR(__xludf.DUMMYFUNCTION("""COMPUTED_VALUE"""),30.07)</f>
        <v>30.07</v>
      </c>
      <c r="E1514" s="6" t="str">
        <f>IFERROR(__xludf.DUMMYFUNCTION("""COMPUTED_VALUE"""),"No")</f>
        <v>No</v>
      </c>
      <c r="F1514" s="8" t="str">
        <f>IFERROR(__xludf.DUMMYFUNCTION("""COMPUTED_VALUE"""),"No")</f>
        <v>No</v>
      </c>
    </row>
    <row r="1515">
      <c r="A1515" s="5">
        <f>IFERROR(__xludf.DUMMYFUNCTION("""COMPUTED_VALUE"""),44898.0)</f>
        <v>44898</v>
      </c>
      <c r="B1515" s="6" t="str">
        <f>IFERROR(__xludf.DUMMYFUNCTION("""COMPUTED_VALUE"""),"dinner")</f>
        <v>dinner</v>
      </c>
      <c r="C1515" s="6" t="str">
        <f>IFERROR(__xludf.DUMMYFUNCTION("""COMPUTED_VALUE"""),"employee L")</f>
        <v>employee L</v>
      </c>
      <c r="D1515" s="7">
        <f>IFERROR(__xludf.DUMMYFUNCTION("""COMPUTED_VALUE"""),110.52)</f>
        <v>110.52</v>
      </c>
      <c r="E1515" s="6" t="str">
        <f>IFERROR(__xludf.DUMMYFUNCTION("""COMPUTED_VALUE"""),"No")</f>
        <v>No</v>
      </c>
      <c r="F1515" s="8" t="str">
        <f>IFERROR(__xludf.DUMMYFUNCTION("""COMPUTED_VALUE"""),"No")</f>
        <v>No</v>
      </c>
    </row>
    <row r="1516">
      <c r="A1516" s="5">
        <f>IFERROR(__xludf.DUMMYFUNCTION("""COMPUTED_VALUE"""),44898.0)</f>
        <v>44898</v>
      </c>
      <c r="B1516" s="6" t="str">
        <f>IFERROR(__xludf.DUMMYFUNCTION("""COMPUTED_VALUE"""),"dinner")</f>
        <v>dinner</v>
      </c>
      <c r="C1516" s="6" t="str">
        <f>IFERROR(__xludf.DUMMYFUNCTION("""COMPUTED_VALUE"""),"employee J")</f>
        <v>employee J</v>
      </c>
      <c r="D1516" s="7">
        <f>IFERROR(__xludf.DUMMYFUNCTION("""COMPUTED_VALUE"""),73.69)</f>
        <v>73.69</v>
      </c>
      <c r="E1516" s="6" t="str">
        <f>IFERROR(__xludf.DUMMYFUNCTION("""COMPUTED_VALUE"""),"No")</f>
        <v>No</v>
      </c>
      <c r="F1516" s="8" t="str">
        <f>IFERROR(__xludf.DUMMYFUNCTION("""COMPUTED_VALUE"""),"No")</f>
        <v>No</v>
      </c>
    </row>
    <row r="1517">
      <c r="A1517" s="5">
        <f>IFERROR(__xludf.DUMMYFUNCTION("""COMPUTED_VALUE"""),44898.0)</f>
        <v>44898</v>
      </c>
      <c r="B1517" s="6" t="str">
        <f>IFERROR(__xludf.DUMMYFUNCTION("""COMPUTED_VALUE"""),"dinner")</f>
        <v>dinner</v>
      </c>
      <c r="C1517" s="6" t="str">
        <f>IFERROR(__xludf.DUMMYFUNCTION("""COMPUTED_VALUE"""),"employee Y")</f>
        <v>employee Y</v>
      </c>
      <c r="D1517" s="7">
        <f>IFERROR(__xludf.DUMMYFUNCTION("""COMPUTED_VALUE"""),0.0)</f>
        <v>0</v>
      </c>
      <c r="E1517" s="6" t="str">
        <f>IFERROR(__xludf.DUMMYFUNCTION("""COMPUTED_VALUE"""),"Yes")</f>
        <v>Yes</v>
      </c>
      <c r="F1517" s="8" t="str">
        <f>IFERROR(__xludf.DUMMYFUNCTION("""COMPUTED_VALUE"""),"No")</f>
        <v>No</v>
      </c>
    </row>
    <row r="1518">
      <c r="A1518" s="5">
        <f>IFERROR(__xludf.DUMMYFUNCTION("""COMPUTED_VALUE"""),44899.0)</f>
        <v>44899</v>
      </c>
      <c r="B1518" s="6" t="str">
        <f>IFERROR(__xludf.DUMMYFUNCTION("""COMPUTED_VALUE"""),"lunch")</f>
        <v>lunch</v>
      </c>
      <c r="C1518" s="6" t="str">
        <f>IFERROR(__xludf.DUMMYFUNCTION("""COMPUTED_VALUE"""),"employee J")</f>
        <v>employee J</v>
      </c>
      <c r="D1518" s="7">
        <f>IFERROR(__xludf.DUMMYFUNCTION("""COMPUTED_VALUE"""),67.61)</f>
        <v>67.61</v>
      </c>
      <c r="E1518" s="6" t="str">
        <f>IFERROR(__xludf.DUMMYFUNCTION("""COMPUTED_VALUE"""),"No")</f>
        <v>No</v>
      </c>
      <c r="F1518" s="8" t="str">
        <f>IFERROR(__xludf.DUMMYFUNCTION("""COMPUTED_VALUE"""),"No")</f>
        <v>No</v>
      </c>
    </row>
    <row r="1519">
      <c r="A1519" s="5">
        <f>IFERROR(__xludf.DUMMYFUNCTION("""COMPUTED_VALUE"""),44899.0)</f>
        <v>44899</v>
      </c>
      <c r="B1519" s="6" t="str">
        <f>IFERROR(__xludf.DUMMYFUNCTION("""COMPUTED_VALUE"""),"lunch")</f>
        <v>lunch</v>
      </c>
      <c r="C1519" s="6" t="str">
        <f>IFERROR(__xludf.DUMMYFUNCTION("""COMPUTED_VALUE"""),"employee W")</f>
        <v>employee W</v>
      </c>
      <c r="D1519" s="7">
        <f>IFERROR(__xludf.DUMMYFUNCTION("""COMPUTED_VALUE"""),67.61)</f>
        <v>67.61</v>
      </c>
      <c r="E1519" s="6" t="str">
        <f>IFERROR(__xludf.DUMMYFUNCTION("""COMPUTED_VALUE"""),"No")</f>
        <v>No</v>
      </c>
      <c r="F1519" s="8" t="str">
        <f>IFERROR(__xludf.DUMMYFUNCTION("""COMPUTED_VALUE"""),"No")</f>
        <v>No</v>
      </c>
    </row>
    <row r="1520">
      <c r="A1520" s="5">
        <f>IFERROR(__xludf.DUMMYFUNCTION("""COMPUTED_VALUE"""),44899.0)</f>
        <v>44899</v>
      </c>
      <c r="B1520" s="6" t="str">
        <f>IFERROR(__xludf.DUMMYFUNCTION("""COMPUTED_VALUE"""),"lunch")</f>
        <v>lunch</v>
      </c>
      <c r="C1520" s="6" t="str">
        <f>IFERROR(__xludf.DUMMYFUNCTION("""COMPUTED_VALUE"""),"employee L")</f>
        <v>employee L</v>
      </c>
      <c r="D1520" s="7">
        <f>IFERROR(__xludf.DUMMYFUNCTION("""COMPUTED_VALUE"""),57.47)</f>
        <v>57.47</v>
      </c>
      <c r="E1520" s="6" t="str">
        <f>IFERROR(__xludf.DUMMYFUNCTION("""COMPUTED_VALUE"""),"No")</f>
        <v>No</v>
      </c>
      <c r="F1520" s="8" t="str">
        <f>IFERROR(__xludf.DUMMYFUNCTION("""COMPUTED_VALUE"""),"No")</f>
        <v>No</v>
      </c>
    </row>
    <row r="1521">
      <c r="A1521" s="5">
        <f>IFERROR(__xludf.DUMMYFUNCTION("""COMPUTED_VALUE"""),44899.0)</f>
        <v>44899</v>
      </c>
      <c r="B1521" s="6" t="str">
        <f>IFERROR(__xludf.DUMMYFUNCTION("""COMPUTED_VALUE"""),"dinner")</f>
        <v>dinner</v>
      </c>
      <c r="C1521" s="6" t="str">
        <f>IFERROR(__xludf.DUMMYFUNCTION("""COMPUTED_VALUE"""),"employee J")</f>
        <v>employee J</v>
      </c>
      <c r="D1521" s="7">
        <f>IFERROR(__xludf.DUMMYFUNCTION("""COMPUTED_VALUE"""),118.59)</f>
        <v>118.59</v>
      </c>
      <c r="E1521" s="6" t="str">
        <f>IFERROR(__xludf.DUMMYFUNCTION("""COMPUTED_VALUE"""),"No")</f>
        <v>No</v>
      </c>
      <c r="F1521" s="8" t="str">
        <f>IFERROR(__xludf.DUMMYFUNCTION("""COMPUTED_VALUE"""),"No")</f>
        <v>No</v>
      </c>
    </row>
    <row r="1522">
      <c r="A1522" s="5">
        <f>IFERROR(__xludf.DUMMYFUNCTION("""COMPUTED_VALUE"""),44899.0)</f>
        <v>44899</v>
      </c>
      <c r="B1522" s="6" t="str">
        <f>IFERROR(__xludf.DUMMYFUNCTION("""COMPUTED_VALUE"""),"dinner")</f>
        <v>dinner</v>
      </c>
      <c r="C1522" s="6" t="str">
        <f>IFERROR(__xludf.DUMMYFUNCTION("""COMPUTED_VALUE"""),"employee Y")</f>
        <v>employee Y</v>
      </c>
      <c r="D1522" s="7">
        <f>IFERROR(__xludf.DUMMYFUNCTION("""COMPUTED_VALUE"""),0.0)</f>
        <v>0</v>
      </c>
      <c r="E1522" s="6" t="str">
        <f>IFERROR(__xludf.DUMMYFUNCTION("""COMPUTED_VALUE"""),"Yes")</f>
        <v>Yes</v>
      </c>
      <c r="F1522" s="8" t="str">
        <f>IFERROR(__xludf.DUMMYFUNCTION("""COMPUTED_VALUE"""),"No")</f>
        <v>No</v>
      </c>
    </row>
    <row r="1523">
      <c r="A1523" s="5">
        <f>IFERROR(__xludf.DUMMYFUNCTION("""COMPUTED_VALUE"""),44899.0)</f>
        <v>44899</v>
      </c>
      <c r="B1523" s="6" t="str">
        <f>IFERROR(__xludf.DUMMYFUNCTION("""COMPUTED_VALUE"""),"dinner")</f>
        <v>dinner</v>
      </c>
      <c r="C1523" s="6" t="str">
        <f>IFERROR(__xludf.DUMMYFUNCTION("""COMPUTED_VALUE"""),"employee S")</f>
        <v>employee S</v>
      </c>
      <c r="D1523" s="7">
        <f>IFERROR(__xludf.DUMMYFUNCTION("""COMPUTED_VALUE"""),0.0)</f>
        <v>0</v>
      </c>
      <c r="E1523" s="6" t="str">
        <f>IFERROR(__xludf.DUMMYFUNCTION("""COMPUTED_VALUE"""),"No")</f>
        <v>No</v>
      </c>
      <c r="F1523" s="8" t="str">
        <f>IFERROR(__xludf.DUMMYFUNCTION("""COMPUTED_VALUE"""),"Yes")</f>
        <v>Yes</v>
      </c>
    </row>
    <row r="1524">
      <c r="A1524" s="5">
        <f>IFERROR(__xludf.DUMMYFUNCTION("""COMPUTED_VALUE"""),44900.0)</f>
        <v>44900</v>
      </c>
      <c r="B1524" s="6" t="str">
        <f>IFERROR(__xludf.DUMMYFUNCTION("""COMPUTED_VALUE"""),"lunch")</f>
        <v>lunch</v>
      </c>
      <c r="C1524" s="6" t="str">
        <f>IFERROR(__xludf.DUMMYFUNCTION("""COMPUTED_VALUE"""),"employee A")</f>
        <v>employee A</v>
      </c>
      <c r="D1524" s="7">
        <f>IFERROR(__xludf.DUMMYFUNCTION("""COMPUTED_VALUE"""),57.21)</f>
        <v>57.21</v>
      </c>
      <c r="E1524" s="6" t="str">
        <f>IFERROR(__xludf.DUMMYFUNCTION("""COMPUTED_VALUE"""),"No")</f>
        <v>No</v>
      </c>
      <c r="F1524" s="8" t="str">
        <f>IFERROR(__xludf.DUMMYFUNCTION("""COMPUTED_VALUE"""),"No")</f>
        <v>No</v>
      </c>
    </row>
    <row r="1525">
      <c r="A1525" s="5">
        <f>IFERROR(__xludf.DUMMYFUNCTION("""COMPUTED_VALUE"""),44900.0)</f>
        <v>44900</v>
      </c>
      <c r="B1525" s="6" t="str">
        <f>IFERROR(__xludf.DUMMYFUNCTION("""COMPUTED_VALUE"""),"dinner")</f>
        <v>dinner</v>
      </c>
      <c r="C1525" s="6" t="str">
        <f>IFERROR(__xludf.DUMMYFUNCTION("""COMPUTED_VALUE"""),"employee J")</f>
        <v>employee J</v>
      </c>
      <c r="D1525" s="7">
        <f>IFERROR(__xludf.DUMMYFUNCTION("""COMPUTED_VALUE"""),100.4)</f>
        <v>100.4</v>
      </c>
      <c r="E1525" s="6" t="str">
        <f>IFERROR(__xludf.DUMMYFUNCTION("""COMPUTED_VALUE"""),"No")</f>
        <v>No</v>
      </c>
      <c r="F1525" s="8" t="str">
        <f>IFERROR(__xludf.DUMMYFUNCTION("""COMPUTED_VALUE"""),"No")</f>
        <v>No</v>
      </c>
    </row>
    <row r="1526">
      <c r="A1526" s="5">
        <f>IFERROR(__xludf.DUMMYFUNCTION("""COMPUTED_VALUE"""),44900.0)</f>
        <v>44900</v>
      </c>
      <c r="B1526" s="6" t="str">
        <f>IFERROR(__xludf.DUMMYFUNCTION("""COMPUTED_VALUE"""),"dinner")</f>
        <v>dinner</v>
      </c>
      <c r="C1526" s="6" t="str">
        <f>IFERROR(__xludf.DUMMYFUNCTION("""COMPUTED_VALUE"""),"employee A")</f>
        <v>employee A</v>
      </c>
      <c r="D1526" s="7">
        <f>IFERROR(__xludf.DUMMYFUNCTION("""COMPUTED_VALUE"""),66.94)</f>
        <v>66.94</v>
      </c>
      <c r="E1526" s="6" t="str">
        <f>IFERROR(__xludf.DUMMYFUNCTION("""COMPUTED_VALUE"""),"No")</f>
        <v>No</v>
      </c>
      <c r="F1526" s="8" t="str">
        <f>IFERROR(__xludf.DUMMYFUNCTION("""COMPUTED_VALUE"""),"No")</f>
        <v>No</v>
      </c>
    </row>
    <row r="1527">
      <c r="A1527" s="5">
        <f>IFERROR(__xludf.DUMMYFUNCTION("""COMPUTED_VALUE"""),44901.0)</f>
        <v>44901</v>
      </c>
      <c r="B1527" s="6" t="str">
        <f>IFERROR(__xludf.DUMMYFUNCTION("""COMPUTED_VALUE"""),"lunch")</f>
        <v>lunch</v>
      </c>
      <c r="C1527" s="6" t="str">
        <f>IFERROR(__xludf.DUMMYFUNCTION("""COMPUTED_VALUE"""),"employee A")</f>
        <v>employee A</v>
      </c>
      <c r="D1527" s="7">
        <f>IFERROR(__xludf.DUMMYFUNCTION("""COMPUTED_VALUE"""),96.57)</f>
        <v>96.57</v>
      </c>
      <c r="E1527" s="6" t="str">
        <f>IFERROR(__xludf.DUMMYFUNCTION("""COMPUTED_VALUE"""),"No")</f>
        <v>No</v>
      </c>
      <c r="F1527" s="8" t="str">
        <f>IFERROR(__xludf.DUMMYFUNCTION("""COMPUTED_VALUE"""),"No")</f>
        <v>No</v>
      </c>
    </row>
    <row r="1528">
      <c r="A1528" s="5">
        <f>IFERROR(__xludf.DUMMYFUNCTION("""COMPUTED_VALUE"""),44901.0)</f>
        <v>44901</v>
      </c>
      <c r="B1528" s="6" t="str">
        <f>IFERROR(__xludf.DUMMYFUNCTION("""COMPUTED_VALUE"""),"dinner")</f>
        <v>dinner</v>
      </c>
      <c r="C1528" s="6" t="str">
        <f>IFERROR(__xludf.DUMMYFUNCTION("""COMPUTED_VALUE"""),"employee A")</f>
        <v>employee A</v>
      </c>
      <c r="D1528" s="7">
        <f>IFERROR(__xludf.DUMMYFUNCTION("""COMPUTED_VALUE"""),24.27)</f>
        <v>24.27</v>
      </c>
      <c r="E1528" s="6" t="str">
        <f>IFERROR(__xludf.DUMMYFUNCTION("""COMPUTED_VALUE"""),"No")</f>
        <v>No</v>
      </c>
      <c r="F1528" s="8" t="str">
        <f>IFERROR(__xludf.DUMMYFUNCTION("""COMPUTED_VALUE"""),"No")</f>
        <v>No</v>
      </c>
    </row>
    <row r="1529">
      <c r="A1529" s="5">
        <f>IFERROR(__xludf.DUMMYFUNCTION("""COMPUTED_VALUE"""),44901.0)</f>
        <v>44901</v>
      </c>
      <c r="B1529" s="6" t="str">
        <f>IFERROR(__xludf.DUMMYFUNCTION("""COMPUTED_VALUE"""),"dinner")</f>
        <v>dinner</v>
      </c>
      <c r="C1529" s="6" t="str">
        <f>IFERROR(__xludf.DUMMYFUNCTION("""COMPUTED_VALUE"""),"employee J")</f>
        <v>employee J</v>
      </c>
      <c r="D1529" s="7">
        <f>IFERROR(__xludf.DUMMYFUNCTION("""COMPUTED_VALUE"""),72.81)</f>
        <v>72.81</v>
      </c>
      <c r="E1529" s="6" t="str">
        <f>IFERROR(__xludf.DUMMYFUNCTION("""COMPUTED_VALUE"""),"No")</f>
        <v>No</v>
      </c>
      <c r="F1529" s="8" t="str">
        <f>IFERROR(__xludf.DUMMYFUNCTION("""COMPUTED_VALUE"""),"No")</f>
        <v>No</v>
      </c>
    </row>
    <row r="1530">
      <c r="A1530" s="5">
        <f>IFERROR(__xludf.DUMMYFUNCTION("""COMPUTED_VALUE"""),44901.0)</f>
        <v>44901</v>
      </c>
      <c r="B1530" s="6" t="str">
        <f>IFERROR(__xludf.DUMMYFUNCTION("""COMPUTED_VALUE"""),"dinner")</f>
        <v>dinner</v>
      </c>
      <c r="C1530" s="6" t="str">
        <f>IFERROR(__xludf.DUMMYFUNCTION("""COMPUTED_VALUE"""),"employee Y")</f>
        <v>employee Y</v>
      </c>
      <c r="D1530" s="7">
        <f>IFERROR(__xludf.DUMMYFUNCTION("""COMPUTED_VALUE"""),72.81)</f>
        <v>72.81</v>
      </c>
      <c r="E1530" s="6" t="str">
        <f>IFERROR(__xludf.DUMMYFUNCTION("""COMPUTED_VALUE"""),"No")</f>
        <v>No</v>
      </c>
      <c r="F1530" s="8" t="str">
        <f>IFERROR(__xludf.DUMMYFUNCTION("""COMPUTED_VALUE"""),"No")</f>
        <v>No</v>
      </c>
    </row>
    <row r="1531">
      <c r="A1531" s="5">
        <f>IFERROR(__xludf.DUMMYFUNCTION("""COMPUTED_VALUE"""),44902.0)</f>
        <v>44902</v>
      </c>
      <c r="B1531" s="6" t="str">
        <f>IFERROR(__xludf.DUMMYFUNCTION("""COMPUTED_VALUE"""),"lunch")</f>
        <v>lunch</v>
      </c>
      <c r="C1531" s="6" t="str">
        <f>IFERROR(__xludf.DUMMYFUNCTION("""COMPUTED_VALUE"""),"employee A")</f>
        <v>employee A</v>
      </c>
      <c r="D1531" s="7">
        <f>IFERROR(__xludf.DUMMYFUNCTION("""COMPUTED_VALUE"""),92.78)</f>
        <v>92.78</v>
      </c>
      <c r="E1531" s="6" t="str">
        <f>IFERROR(__xludf.DUMMYFUNCTION("""COMPUTED_VALUE"""),"No")</f>
        <v>No</v>
      </c>
      <c r="F1531" s="8" t="str">
        <f>IFERROR(__xludf.DUMMYFUNCTION("""COMPUTED_VALUE"""),"No")</f>
        <v>No</v>
      </c>
    </row>
    <row r="1532">
      <c r="A1532" s="5">
        <f>IFERROR(__xludf.DUMMYFUNCTION("""COMPUTED_VALUE"""),44902.0)</f>
        <v>44902</v>
      </c>
      <c r="B1532" s="6" t="str">
        <f>IFERROR(__xludf.DUMMYFUNCTION("""COMPUTED_VALUE"""),"dinner")</f>
        <v>dinner</v>
      </c>
      <c r="C1532" s="6" t="str">
        <f>IFERROR(__xludf.DUMMYFUNCTION("""COMPUTED_VALUE"""),"employee J")</f>
        <v>employee J</v>
      </c>
      <c r="D1532" s="7">
        <f>IFERROR(__xludf.DUMMYFUNCTION("""COMPUTED_VALUE"""),78.41)</f>
        <v>78.41</v>
      </c>
      <c r="E1532" s="6" t="str">
        <f>IFERROR(__xludf.DUMMYFUNCTION("""COMPUTED_VALUE"""),"No")</f>
        <v>No</v>
      </c>
      <c r="F1532" s="8" t="str">
        <f>IFERROR(__xludf.DUMMYFUNCTION("""COMPUTED_VALUE"""),"No")</f>
        <v>No</v>
      </c>
    </row>
    <row r="1533">
      <c r="A1533" s="5">
        <f>IFERROR(__xludf.DUMMYFUNCTION("""COMPUTED_VALUE"""),44902.0)</f>
        <v>44902</v>
      </c>
      <c r="B1533" s="6" t="str">
        <f>IFERROR(__xludf.DUMMYFUNCTION("""COMPUTED_VALUE"""),"dinner")</f>
        <v>dinner</v>
      </c>
      <c r="C1533" s="6" t="str">
        <f>IFERROR(__xludf.DUMMYFUNCTION("""COMPUTED_VALUE"""),"employee Z")</f>
        <v>employee Z</v>
      </c>
      <c r="D1533" s="7">
        <f>IFERROR(__xludf.DUMMYFUNCTION("""COMPUTED_VALUE"""),0.0)</f>
        <v>0</v>
      </c>
      <c r="E1533" s="6" t="str">
        <f>IFERROR(__xludf.DUMMYFUNCTION("""COMPUTED_VALUE"""),"Yes")</f>
        <v>Yes</v>
      </c>
      <c r="F1533" s="8" t="str">
        <f>IFERROR(__xludf.DUMMYFUNCTION("""COMPUTED_VALUE"""),"No")</f>
        <v>No</v>
      </c>
    </row>
    <row r="1534">
      <c r="A1534" s="5">
        <f>IFERROR(__xludf.DUMMYFUNCTION("""COMPUTED_VALUE"""),44903.0)</f>
        <v>44903</v>
      </c>
      <c r="B1534" s="6" t="str">
        <f>IFERROR(__xludf.DUMMYFUNCTION("""COMPUTED_VALUE"""),"lunch")</f>
        <v>lunch</v>
      </c>
      <c r="C1534" s="6" t="str">
        <f>IFERROR(__xludf.DUMMYFUNCTION("""COMPUTED_VALUE"""),"employee L")</f>
        <v>employee L</v>
      </c>
      <c r="D1534" s="7">
        <f>IFERROR(__xludf.DUMMYFUNCTION("""COMPUTED_VALUE"""),71.06)</f>
        <v>71.06</v>
      </c>
      <c r="E1534" s="6" t="str">
        <f>IFERROR(__xludf.DUMMYFUNCTION("""COMPUTED_VALUE"""),"No")</f>
        <v>No</v>
      </c>
      <c r="F1534" s="8" t="str">
        <f>IFERROR(__xludf.DUMMYFUNCTION("""COMPUTED_VALUE"""),"No")</f>
        <v>No</v>
      </c>
    </row>
    <row r="1535">
      <c r="A1535" s="5">
        <f>IFERROR(__xludf.DUMMYFUNCTION("""COMPUTED_VALUE"""),44903.0)</f>
        <v>44903</v>
      </c>
      <c r="B1535" s="6" t="str">
        <f>IFERROR(__xludf.DUMMYFUNCTION("""COMPUTED_VALUE"""),"dinner")</f>
        <v>dinner</v>
      </c>
      <c r="C1535" s="6" t="str">
        <f>IFERROR(__xludf.DUMMYFUNCTION("""COMPUTED_VALUE"""),"employee J")</f>
        <v>employee J</v>
      </c>
      <c r="D1535" s="7">
        <f>IFERROR(__xludf.DUMMYFUNCTION("""COMPUTED_VALUE"""),54.52)</f>
        <v>54.52</v>
      </c>
      <c r="E1535" s="6" t="str">
        <f>IFERROR(__xludf.DUMMYFUNCTION("""COMPUTED_VALUE"""),"No")</f>
        <v>No</v>
      </c>
      <c r="F1535" s="8" t="str">
        <f>IFERROR(__xludf.DUMMYFUNCTION("""COMPUTED_VALUE"""),"No")</f>
        <v>No</v>
      </c>
    </row>
    <row r="1536">
      <c r="A1536" s="5">
        <f>IFERROR(__xludf.DUMMYFUNCTION("""COMPUTED_VALUE"""),44903.0)</f>
        <v>44903</v>
      </c>
      <c r="B1536" s="6" t="str">
        <f>IFERROR(__xludf.DUMMYFUNCTION("""COMPUTED_VALUE"""),"dinner")</f>
        <v>dinner</v>
      </c>
      <c r="C1536" s="6" t="str">
        <f>IFERROR(__xludf.DUMMYFUNCTION("""COMPUTED_VALUE"""),"employee Y")</f>
        <v>employee Y</v>
      </c>
      <c r="D1536" s="7">
        <f>IFERROR(__xludf.DUMMYFUNCTION("""COMPUTED_VALUE"""),54.52)</f>
        <v>54.52</v>
      </c>
      <c r="E1536" s="6" t="str">
        <f>IFERROR(__xludf.DUMMYFUNCTION("""COMPUTED_VALUE"""),"No")</f>
        <v>No</v>
      </c>
      <c r="F1536" s="8" t="str">
        <f>IFERROR(__xludf.DUMMYFUNCTION("""COMPUTED_VALUE"""),"No")</f>
        <v>No</v>
      </c>
    </row>
    <row r="1537">
      <c r="A1537" s="5">
        <f>IFERROR(__xludf.DUMMYFUNCTION("""COMPUTED_VALUE"""),44903.0)</f>
        <v>44903</v>
      </c>
      <c r="B1537" s="6" t="str">
        <f>IFERROR(__xludf.DUMMYFUNCTION("""COMPUTED_VALUE"""),"dinner")</f>
        <v>dinner</v>
      </c>
      <c r="C1537" s="6" t="str">
        <f>IFERROR(__xludf.DUMMYFUNCTION("""COMPUTED_VALUE"""),"employee X")</f>
        <v>employee X</v>
      </c>
      <c r="D1537" s="7">
        <f>IFERROR(__xludf.DUMMYFUNCTION("""COMPUTED_VALUE"""),54.52)</f>
        <v>54.52</v>
      </c>
      <c r="E1537" s="6" t="str">
        <f>IFERROR(__xludf.DUMMYFUNCTION("""COMPUTED_VALUE"""),"No")</f>
        <v>No</v>
      </c>
      <c r="F1537" s="8" t="str">
        <f>IFERROR(__xludf.DUMMYFUNCTION("""COMPUTED_VALUE"""),"No")</f>
        <v>No</v>
      </c>
    </row>
    <row r="1538">
      <c r="A1538" s="5">
        <f>IFERROR(__xludf.DUMMYFUNCTION("""COMPUTED_VALUE"""),44904.0)</f>
        <v>44904</v>
      </c>
      <c r="B1538" s="6" t="str">
        <f>IFERROR(__xludf.DUMMYFUNCTION("""COMPUTED_VALUE"""),"lunch")</f>
        <v>lunch</v>
      </c>
      <c r="C1538" s="6" t="str">
        <f>IFERROR(__xludf.DUMMYFUNCTION("""COMPUTED_VALUE"""),"employee L")</f>
        <v>employee L</v>
      </c>
      <c r="D1538" s="7">
        <f>IFERROR(__xludf.DUMMYFUNCTION("""COMPUTED_VALUE"""),37.95)</f>
        <v>37.95</v>
      </c>
      <c r="E1538" s="6" t="str">
        <f>IFERROR(__xludf.DUMMYFUNCTION("""COMPUTED_VALUE"""),"No")</f>
        <v>No</v>
      </c>
      <c r="F1538" s="8" t="str">
        <f>IFERROR(__xludf.DUMMYFUNCTION("""COMPUTED_VALUE"""),"No")</f>
        <v>No</v>
      </c>
    </row>
    <row r="1539">
      <c r="A1539" s="5">
        <f>IFERROR(__xludf.DUMMYFUNCTION("""COMPUTED_VALUE"""),44904.0)</f>
        <v>44904</v>
      </c>
      <c r="B1539" s="6" t="str">
        <f>IFERROR(__xludf.DUMMYFUNCTION("""COMPUTED_VALUE"""),"lunch")</f>
        <v>lunch</v>
      </c>
      <c r="C1539" s="6" t="str">
        <f>IFERROR(__xludf.DUMMYFUNCTION("""COMPUTED_VALUE"""),"employee W")</f>
        <v>employee W</v>
      </c>
      <c r="D1539" s="7">
        <f>IFERROR(__xludf.DUMMYFUNCTION("""COMPUTED_VALUE"""),54.21)</f>
        <v>54.21</v>
      </c>
      <c r="E1539" s="6" t="str">
        <f>IFERROR(__xludf.DUMMYFUNCTION("""COMPUTED_VALUE"""),"No")</f>
        <v>No</v>
      </c>
      <c r="F1539" s="8" t="str">
        <f>IFERROR(__xludf.DUMMYFUNCTION("""COMPUTED_VALUE"""),"No")</f>
        <v>No</v>
      </c>
    </row>
    <row r="1540">
      <c r="A1540" s="5">
        <f>IFERROR(__xludf.DUMMYFUNCTION("""COMPUTED_VALUE"""),44904.0)</f>
        <v>44904</v>
      </c>
      <c r="B1540" s="6" t="str">
        <f>IFERROR(__xludf.DUMMYFUNCTION("""COMPUTED_VALUE"""),"dinner")</f>
        <v>dinner</v>
      </c>
      <c r="C1540" s="6" t="str">
        <f>IFERROR(__xludf.DUMMYFUNCTION("""COMPUTED_VALUE"""),"employee L")</f>
        <v>employee L</v>
      </c>
      <c r="D1540" s="7">
        <f>IFERROR(__xludf.DUMMYFUNCTION("""COMPUTED_VALUE"""),71.65)</f>
        <v>71.65</v>
      </c>
      <c r="E1540" s="6" t="str">
        <f>IFERROR(__xludf.DUMMYFUNCTION("""COMPUTED_VALUE"""),"No")</f>
        <v>No</v>
      </c>
      <c r="F1540" s="8" t="str">
        <f>IFERROR(__xludf.DUMMYFUNCTION("""COMPUTED_VALUE"""),"No")</f>
        <v>No</v>
      </c>
    </row>
    <row r="1541">
      <c r="A1541" s="5">
        <f>IFERROR(__xludf.DUMMYFUNCTION("""COMPUTED_VALUE"""),44904.0)</f>
        <v>44904</v>
      </c>
      <c r="B1541" s="6" t="str">
        <f>IFERROR(__xludf.DUMMYFUNCTION("""COMPUTED_VALUE"""),"dinner")</f>
        <v>dinner</v>
      </c>
      <c r="C1541" s="6" t="str">
        <f>IFERROR(__xludf.DUMMYFUNCTION("""COMPUTED_VALUE"""),"employee Y")</f>
        <v>employee Y</v>
      </c>
      <c r="D1541" s="7">
        <f>IFERROR(__xludf.DUMMYFUNCTION("""COMPUTED_VALUE"""),71.65)</f>
        <v>71.65</v>
      </c>
      <c r="E1541" s="6" t="str">
        <f>IFERROR(__xludf.DUMMYFUNCTION("""COMPUTED_VALUE"""),"No")</f>
        <v>No</v>
      </c>
      <c r="F1541" s="8" t="str">
        <f>IFERROR(__xludf.DUMMYFUNCTION("""COMPUTED_VALUE"""),"No")</f>
        <v>No</v>
      </c>
    </row>
    <row r="1542">
      <c r="A1542" s="5">
        <f>IFERROR(__xludf.DUMMYFUNCTION("""COMPUTED_VALUE"""),44904.0)</f>
        <v>44904</v>
      </c>
      <c r="B1542" s="6" t="str">
        <f>IFERROR(__xludf.DUMMYFUNCTION("""COMPUTED_VALUE"""),"dinner")</f>
        <v>dinner</v>
      </c>
      <c r="C1542" s="6" t="str">
        <f>IFERROR(__xludf.DUMMYFUNCTION("""COMPUTED_VALUE"""),"employee X")</f>
        <v>employee X</v>
      </c>
      <c r="D1542" s="7">
        <f>IFERROR(__xludf.DUMMYFUNCTION("""COMPUTED_VALUE"""),63.68)</f>
        <v>63.68</v>
      </c>
      <c r="E1542" s="6" t="str">
        <f>IFERROR(__xludf.DUMMYFUNCTION("""COMPUTED_VALUE"""),"No")</f>
        <v>No</v>
      </c>
      <c r="F1542" s="8" t="str">
        <f>IFERROR(__xludf.DUMMYFUNCTION("""COMPUTED_VALUE"""),"No")</f>
        <v>No</v>
      </c>
    </row>
    <row r="1543">
      <c r="A1543" s="5">
        <f>IFERROR(__xludf.DUMMYFUNCTION("""COMPUTED_VALUE"""),44905.0)</f>
        <v>44905</v>
      </c>
      <c r="B1543" s="6" t="str">
        <f>IFERROR(__xludf.DUMMYFUNCTION("""COMPUTED_VALUE"""),"lunch")</f>
        <v>lunch</v>
      </c>
      <c r="C1543" s="6" t="str">
        <f>IFERROR(__xludf.DUMMYFUNCTION("""COMPUTED_VALUE"""),"employee L")</f>
        <v>employee L</v>
      </c>
      <c r="D1543" s="7">
        <f>IFERROR(__xludf.DUMMYFUNCTION("""COMPUTED_VALUE"""),74.79)</f>
        <v>74.79</v>
      </c>
      <c r="E1543" s="6" t="str">
        <f>IFERROR(__xludf.DUMMYFUNCTION("""COMPUTED_VALUE"""),"No")</f>
        <v>No</v>
      </c>
      <c r="F1543" s="8" t="str">
        <f>IFERROR(__xludf.DUMMYFUNCTION("""COMPUTED_VALUE"""),"No")</f>
        <v>No</v>
      </c>
    </row>
    <row r="1544">
      <c r="A1544" s="5">
        <f>IFERROR(__xludf.DUMMYFUNCTION("""COMPUTED_VALUE"""),44905.0)</f>
        <v>44905</v>
      </c>
      <c r="B1544" s="6" t="str">
        <f>IFERROR(__xludf.DUMMYFUNCTION("""COMPUTED_VALUE"""),"lunch")</f>
        <v>lunch</v>
      </c>
      <c r="C1544" s="6" t="str">
        <f>IFERROR(__xludf.DUMMYFUNCTION("""COMPUTED_VALUE"""),"employee W")</f>
        <v>employee W</v>
      </c>
      <c r="D1544" s="7">
        <f>IFERROR(__xludf.DUMMYFUNCTION("""COMPUTED_VALUE"""),58.76)</f>
        <v>58.76</v>
      </c>
      <c r="E1544" s="6" t="str">
        <f>IFERROR(__xludf.DUMMYFUNCTION("""COMPUTED_VALUE"""),"No")</f>
        <v>No</v>
      </c>
      <c r="F1544" s="8" t="str">
        <f>IFERROR(__xludf.DUMMYFUNCTION("""COMPUTED_VALUE"""),"No")</f>
        <v>No</v>
      </c>
    </row>
    <row r="1545">
      <c r="A1545" s="5">
        <f>IFERROR(__xludf.DUMMYFUNCTION("""COMPUTED_VALUE"""),44905.0)</f>
        <v>44905</v>
      </c>
      <c r="B1545" s="6" t="str">
        <f>IFERROR(__xludf.DUMMYFUNCTION("""COMPUTED_VALUE"""),"lunch")</f>
        <v>lunch</v>
      </c>
      <c r="C1545" s="6" t="str">
        <f>IFERROR(__xludf.DUMMYFUNCTION("""COMPUTED_VALUE"""),"employee S")</f>
        <v>employee S</v>
      </c>
      <c r="D1545" s="7">
        <f>IFERROR(__xludf.DUMMYFUNCTION("""COMPUTED_VALUE"""),32.05)</f>
        <v>32.05</v>
      </c>
      <c r="E1545" s="6" t="str">
        <f>IFERROR(__xludf.DUMMYFUNCTION("""COMPUTED_VALUE"""),"No")</f>
        <v>No</v>
      </c>
      <c r="F1545" s="8" t="str">
        <f>IFERROR(__xludf.DUMMYFUNCTION("""COMPUTED_VALUE"""),"No")</f>
        <v>No</v>
      </c>
    </row>
    <row r="1546">
      <c r="A1546" s="5">
        <f>IFERROR(__xludf.DUMMYFUNCTION("""COMPUTED_VALUE"""),44905.0)</f>
        <v>44905</v>
      </c>
      <c r="B1546" s="6" t="str">
        <f>IFERROR(__xludf.DUMMYFUNCTION("""COMPUTED_VALUE"""),"dinner")</f>
        <v>dinner</v>
      </c>
      <c r="C1546" s="6" t="str">
        <f>IFERROR(__xludf.DUMMYFUNCTION("""COMPUTED_VALUE"""),"employee L")</f>
        <v>employee L</v>
      </c>
      <c r="D1546" s="7">
        <f>IFERROR(__xludf.DUMMYFUNCTION("""COMPUTED_VALUE"""),25.71)</f>
        <v>25.71</v>
      </c>
      <c r="E1546" s="6" t="str">
        <f>IFERROR(__xludf.DUMMYFUNCTION("""COMPUTED_VALUE"""),"No")</f>
        <v>No</v>
      </c>
      <c r="F1546" s="8" t="str">
        <f>IFERROR(__xludf.DUMMYFUNCTION("""COMPUTED_VALUE"""),"No")</f>
        <v>No</v>
      </c>
    </row>
    <row r="1547">
      <c r="A1547" s="5">
        <f>IFERROR(__xludf.DUMMYFUNCTION("""COMPUTED_VALUE"""),44905.0)</f>
        <v>44905</v>
      </c>
      <c r="B1547" s="6" t="str">
        <f>IFERROR(__xludf.DUMMYFUNCTION("""COMPUTED_VALUE"""),"dinner")</f>
        <v>dinner</v>
      </c>
      <c r="C1547" s="6" t="str">
        <f>IFERROR(__xludf.DUMMYFUNCTION("""COMPUTED_VALUE"""),"employee J")</f>
        <v>employee J</v>
      </c>
      <c r="D1547" s="7">
        <f>IFERROR(__xludf.DUMMYFUNCTION("""COMPUTED_VALUE"""),57.84)</f>
        <v>57.84</v>
      </c>
      <c r="E1547" s="6" t="str">
        <f>IFERROR(__xludf.DUMMYFUNCTION("""COMPUTED_VALUE"""),"No")</f>
        <v>No</v>
      </c>
      <c r="F1547" s="8" t="str">
        <f>IFERROR(__xludf.DUMMYFUNCTION("""COMPUTED_VALUE"""),"No")</f>
        <v>No</v>
      </c>
    </row>
    <row r="1548">
      <c r="A1548" s="5">
        <f>IFERROR(__xludf.DUMMYFUNCTION("""COMPUTED_VALUE"""),44905.0)</f>
        <v>44905</v>
      </c>
      <c r="B1548" s="6" t="str">
        <f>IFERROR(__xludf.DUMMYFUNCTION("""COMPUTED_VALUE"""),"dinner")</f>
        <v>dinner</v>
      </c>
      <c r="C1548" s="6" t="str">
        <f>IFERROR(__xludf.DUMMYFUNCTION("""COMPUTED_VALUE"""),"employee X")</f>
        <v>employee X</v>
      </c>
      <c r="D1548" s="7">
        <f>IFERROR(__xludf.DUMMYFUNCTION("""COMPUTED_VALUE"""),57.84)</f>
        <v>57.84</v>
      </c>
      <c r="E1548" s="6" t="str">
        <f>IFERROR(__xludf.DUMMYFUNCTION("""COMPUTED_VALUE"""),"No")</f>
        <v>No</v>
      </c>
      <c r="F1548" s="8" t="str">
        <f>IFERROR(__xludf.DUMMYFUNCTION("""COMPUTED_VALUE"""),"No")</f>
        <v>No</v>
      </c>
    </row>
    <row r="1549">
      <c r="A1549" s="5">
        <f>IFERROR(__xludf.DUMMYFUNCTION("""COMPUTED_VALUE"""),44906.0)</f>
        <v>44906</v>
      </c>
      <c r="B1549" s="6" t="str">
        <f>IFERROR(__xludf.DUMMYFUNCTION("""COMPUTED_VALUE"""),"lunch")</f>
        <v>lunch</v>
      </c>
      <c r="C1549" s="6" t="str">
        <f>IFERROR(__xludf.DUMMYFUNCTION("""COMPUTED_VALUE"""),"employee L")</f>
        <v>employee L</v>
      </c>
      <c r="D1549" s="7">
        <f>IFERROR(__xludf.DUMMYFUNCTION("""COMPUTED_VALUE"""),59.31)</f>
        <v>59.31</v>
      </c>
      <c r="E1549" s="6" t="str">
        <f>IFERROR(__xludf.DUMMYFUNCTION("""COMPUTED_VALUE"""),"No")</f>
        <v>No</v>
      </c>
      <c r="F1549" s="8" t="str">
        <f>IFERROR(__xludf.DUMMYFUNCTION("""COMPUTED_VALUE"""),"No")</f>
        <v>No</v>
      </c>
    </row>
    <row r="1550">
      <c r="A1550" s="5">
        <f>IFERROR(__xludf.DUMMYFUNCTION("""COMPUTED_VALUE"""),44906.0)</f>
        <v>44906</v>
      </c>
      <c r="B1550" s="6" t="str">
        <f>IFERROR(__xludf.DUMMYFUNCTION("""COMPUTED_VALUE"""),"lunch")</f>
        <v>lunch</v>
      </c>
      <c r="C1550" s="6" t="str">
        <f>IFERROR(__xludf.DUMMYFUNCTION("""COMPUTED_VALUE"""),"employee W")</f>
        <v>employee W</v>
      </c>
      <c r="D1550" s="7">
        <f>IFERROR(__xludf.DUMMYFUNCTION("""COMPUTED_VALUE"""),59.31)</f>
        <v>59.31</v>
      </c>
      <c r="E1550" s="6" t="str">
        <f>IFERROR(__xludf.DUMMYFUNCTION("""COMPUTED_VALUE"""),"No")</f>
        <v>No</v>
      </c>
      <c r="F1550" s="8" t="str">
        <f>IFERROR(__xludf.DUMMYFUNCTION("""COMPUTED_VALUE"""),"No")</f>
        <v>No</v>
      </c>
    </row>
    <row r="1551">
      <c r="A1551" s="5">
        <f>IFERROR(__xludf.DUMMYFUNCTION("""COMPUTED_VALUE"""),44906.0)</f>
        <v>44906</v>
      </c>
      <c r="B1551" s="6" t="str">
        <f>IFERROR(__xludf.DUMMYFUNCTION("""COMPUTED_VALUE"""),"lunch")</f>
        <v>lunch</v>
      </c>
      <c r="C1551" s="6" t="str">
        <f>IFERROR(__xludf.DUMMYFUNCTION("""COMPUTED_VALUE"""),"employee Y")</f>
        <v>employee Y</v>
      </c>
      <c r="D1551" s="7">
        <f>IFERROR(__xludf.DUMMYFUNCTION("""COMPUTED_VALUE"""),59.31)</f>
        <v>59.31</v>
      </c>
      <c r="E1551" s="6" t="str">
        <f>IFERROR(__xludf.DUMMYFUNCTION("""COMPUTED_VALUE"""),"No")</f>
        <v>No</v>
      </c>
      <c r="F1551" s="8" t="str">
        <f>IFERROR(__xludf.DUMMYFUNCTION("""COMPUTED_VALUE"""),"No")</f>
        <v>No</v>
      </c>
    </row>
    <row r="1552">
      <c r="A1552" s="5">
        <f>IFERROR(__xludf.DUMMYFUNCTION("""COMPUTED_VALUE"""),44906.0)</f>
        <v>44906</v>
      </c>
      <c r="B1552" s="6" t="str">
        <f>IFERROR(__xludf.DUMMYFUNCTION("""COMPUTED_VALUE"""),"dinner")</f>
        <v>dinner</v>
      </c>
      <c r="C1552" s="6" t="str">
        <f>IFERROR(__xludf.DUMMYFUNCTION("""COMPUTED_VALUE"""),"employee X")</f>
        <v>employee X</v>
      </c>
      <c r="D1552" s="7">
        <f>IFERROR(__xludf.DUMMYFUNCTION("""COMPUTED_VALUE"""),78.53)</f>
        <v>78.53</v>
      </c>
      <c r="E1552" s="6" t="str">
        <f>IFERROR(__xludf.DUMMYFUNCTION("""COMPUTED_VALUE"""),"No")</f>
        <v>No</v>
      </c>
      <c r="F1552" s="8" t="str">
        <f>IFERROR(__xludf.DUMMYFUNCTION("""COMPUTED_VALUE"""),"No")</f>
        <v>No</v>
      </c>
    </row>
    <row r="1553">
      <c r="A1553" s="5">
        <f>IFERROR(__xludf.DUMMYFUNCTION("""COMPUTED_VALUE"""),44906.0)</f>
        <v>44906</v>
      </c>
      <c r="B1553" s="6" t="str">
        <f>IFERROR(__xludf.DUMMYFUNCTION("""COMPUTED_VALUE"""),"dinner")</f>
        <v>dinner</v>
      </c>
      <c r="C1553" s="6" t="str">
        <f>IFERROR(__xludf.DUMMYFUNCTION("""COMPUTED_VALUE"""),"employee S")</f>
        <v>employee S</v>
      </c>
      <c r="D1553" s="7">
        <f>IFERROR(__xludf.DUMMYFUNCTION("""COMPUTED_VALUE"""),78.53)</f>
        <v>78.53</v>
      </c>
      <c r="E1553" s="6" t="str">
        <f>IFERROR(__xludf.DUMMYFUNCTION("""COMPUTED_VALUE"""),"No")</f>
        <v>No</v>
      </c>
      <c r="F1553" s="8" t="str">
        <f>IFERROR(__xludf.DUMMYFUNCTION("""COMPUTED_VALUE"""),"No")</f>
        <v>No</v>
      </c>
    </row>
    <row r="1554">
      <c r="A1554" s="5">
        <f>IFERROR(__xludf.DUMMYFUNCTION("""COMPUTED_VALUE"""),44907.0)</f>
        <v>44907</v>
      </c>
      <c r="B1554" s="6" t="str">
        <f>IFERROR(__xludf.DUMMYFUNCTION("""COMPUTED_VALUE"""),"lunch")</f>
        <v>lunch</v>
      </c>
      <c r="C1554" s="6" t="str">
        <f>IFERROR(__xludf.DUMMYFUNCTION("""COMPUTED_VALUE"""),"employee W")</f>
        <v>employee W</v>
      </c>
      <c r="D1554" s="7">
        <f>IFERROR(__xludf.DUMMYFUNCTION("""COMPUTED_VALUE"""),86.86)</f>
        <v>86.86</v>
      </c>
      <c r="E1554" s="6" t="str">
        <f>IFERROR(__xludf.DUMMYFUNCTION("""COMPUTED_VALUE"""),"No")</f>
        <v>No</v>
      </c>
      <c r="F1554" s="8" t="str">
        <f>IFERROR(__xludf.DUMMYFUNCTION("""COMPUTED_VALUE"""),"No")</f>
        <v>No</v>
      </c>
    </row>
    <row r="1555">
      <c r="A1555" s="5">
        <f>IFERROR(__xludf.DUMMYFUNCTION("""COMPUTED_VALUE"""),44907.0)</f>
        <v>44907</v>
      </c>
      <c r="B1555" s="6" t="str">
        <f>IFERROR(__xludf.DUMMYFUNCTION("""COMPUTED_VALUE"""),"dinner")</f>
        <v>dinner</v>
      </c>
      <c r="C1555" s="6" t="str">
        <f>IFERROR(__xludf.DUMMYFUNCTION("""COMPUTED_VALUE"""),"employee J")</f>
        <v>employee J</v>
      </c>
      <c r="D1555" s="7">
        <f>IFERROR(__xludf.DUMMYFUNCTION("""COMPUTED_VALUE"""),70.81)</f>
        <v>70.81</v>
      </c>
      <c r="E1555" s="6" t="str">
        <f>IFERROR(__xludf.DUMMYFUNCTION("""COMPUTED_VALUE"""),"No")</f>
        <v>No</v>
      </c>
      <c r="F1555" s="8" t="str">
        <f>IFERROR(__xludf.DUMMYFUNCTION("""COMPUTED_VALUE"""),"No")</f>
        <v>No</v>
      </c>
    </row>
    <row r="1556">
      <c r="A1556" s="5">
        <f>IFERROR(__xludf.DUMMYFUNCTION("""COMPUTED_VALUE"""),44907.0)</f>
        <v>44907</v>
      </c>
      <c r="B1556" s="6" t="str">
        <f>IFERROR(__xludf.DUMMYFUNCTION("""COMPUTED_VALUE"""),"dinner")</f>
        <v>dinner</v>
      </c>
      <c r="C1556" s="6" t="str">
        <f>IFERROR(__xludf.DUMMYFUNCTION("""COMPUTED_VALUE"""),"employee X")</f>
        <v>employee X</v>
      </c>
      <c r="D1556" s="7">
        <f>IFERROR(__xludf.DUMMYFUNCTION("""COMPUTED_VALUE"""),59.01)</f>
        <v>59.01</v>
      </c>
      <c r="E1556" s="6" t="str">
        <f>IFERROR(__xludf.DUMMYFUNCTION("""COMPUTED_VALUE"""),"No")</f>
        <v>No</v>
      </c>
      <c r="F1556" s="8" t="str">
        <f>IFERROR(__xludf.DUMMYFUNCTION("""COMPUTED_VALUE"""),"No")</f>
        <v>No</v>
      </c>
    </row>
    <row r="1557">
      <c r="A1557" s="5">
        <f>IFERROR(__xludf.DUMMYFUNCTION("""COMPUTED_VALUE"""),44907.0)</f>
        <v>44907</v>
      </c>
      <c r="B1557" s="6" t="str">
        <f>IFERROR(__xludf.DUMMYFUNCTION("""COMPUTED_VALUE"""),"dinner")</f>
        <v>dinner</v>
      </c>
      <c r="C1557" s="6" t="str">
        <f>IFERROR(__xludf.DUMMYFUNCTION("""COMPUTED_VALUE"""),"employee Z")</f>
        <v>employee Z</v>
      </c>
      <c r="D1557" s="7">
        <f>IFERROR(__xludf.DUMMYFUNCTION("""COMPUTED_VALUE"""),0.0)</f>
        <v>0</v>
      </c>
      <c r="E1557" s="6" t="str">
        <f>IFERROR(__xludf.DUMMYFUNCTION("""COMPUTED_VALUE"""),"Yes")</f>
        <v>Yes</v>
      </c>
      <c r="F1557" s="8" t="str">
        <f>IFERROR(__xludf.DUMMYFUNCTION("""COMPUTED_VALUE"""),"No")</f>
        <v>No</v>
      </c>
    </row>
    <row r="1558">
      <c r="A1558" s="5">
        <f>IFERROR(__xludf.DUMMYFUNCTION("""COMPUTED_VALUE"""),44908.0)</f>
        <v>44908</v>
      </c>
      <c r="B1558" s="6" t="str">
        <f>IFERROR(__xludf.DUMMYFUNCTION("""COMPUTED_VALUE"""),"lunch")</f>
        <v>lunch</v>
      </c>
      <c r="C1558" s="6" t="str">
        <f>IFERROR(__xludf.DUMMYFUNCTION("""COMPUTED_VALUE"""),"employee W")</f>
        <v>employee W</v>
      </c>
      <c r="D1558" s="7">
        <f>IFERROR(__xludf.DUMMYFUNCTION("""COMPUTED_VALUE"""),54.42)</f>
        <v>54.42</v>
      </c>
      <c r="E1558" s="6" t="str">
        <f>IFERROR(__xludf.DUMMYFUNCTION("""COMPUTED_VALUE"""),"No")</f>
        <v>No</v>
      </c>
      <c r="F1558" s="8" t="str">
        <f>IFERROR(__xludf.DUMMYFUNCTION("""COMPUTED_VALUE"""),"No")</f>
        <v>No</v>
      </c>
    </row>
    <row r="1559">
      <c r="A1559" s="5">
        <f>IFERROR(__xludf.DUMMYFUNCTION("""COMPUTED_VALUE"""),44908.0)</f>
        <v>44908</v>
      </c>
      <c r="B1559" s="6" t="str">
        <f>IFERROR(__xludf.DUMMYFUNCTION("""COMPUTED_VALUE"""),"dinner")</f>
        <v>dinner</v>
      </c>
      <c r="C1559" s="6" t="str">
        <f>IFERROR(__xludf.DUMMYFUNCTION("""COMPUTED_VALUE"""),"employee J")</f>
        <v>employee J</v>
      </c>
      <c r="D1559" s="7">
        <f>IFERROR(__xludf.DUMMYFUNCTION("""COMPUTED_VALUE"""),40.74)</f>
        <v>40.74</v>
      </c>
      <c r="E1559" s="6" t="str">
        <f>IFERROR(__xludf.DUMMYFUNCTION("""COMPUTED_VALUE"""),"No")</f>
        <v>No</v>
      </c>
      <c r="F1559" s="8" t="str">
        <f>IFERROR(__xludf.DUMMYFUNCTION("""COMPUTED_VALUE"""),"No")</f>
        <v>No</v>
      </c>
    </row>
    <row r="1560">
      <c r="A1560" s="5">
        <f>IFERROR(__xludf.DUMMYFUNCTION("""COMPUTED_VALUE"""),44908.0)</f>
        <v>44908</v>
      </c>
      <c r="B1560" s="6" t="str">
        <f>IFERROR(__xludf.DUMMYFUNCTION("""COMPUTED_VALUE"""),"dinner")</f>
        <v>dinner</v>
      </c>
      <c r="C1560" s="6" t="str">
        <f>IFERROR(__xludf.DUMMYFUNCTION("""COMPUTED_VALUE"""),"employee Y")</f>
        <v>employee Y</v>
      </c>
      <c r="D1560" s="7">
        <f>IFERROR(__xludf.DUMMYFUNCTION("""COMPUTED_VALUE"""),40.74)</f>
        <v>40.74</v>
      </c>
      <c r="E1560" s="6" t="str">
        <f>IFERROR(__xludf.DUMMYFUNCTION("""COMPUTED_VALUE"""),"No")</f>
        <v>No</v>
      </c>
      <c r="F1560" s="8" t="str">
        <f>IFERROR(__xludf.DUMMYFUNCTION("""COMPUTED_VALUE"""),"No")</f>
        <v>No</v>
      </c>
    </row>
    <row r="1561">
      <c r="A1561" s="5">
        <f>IFERROR(__xludf.DUMMYFUNCTION("""COMPUTED_VALUE"""),44908.0)</f>
        <v>44908</v>
      </c>
      <c r="B1561" s="6" t="str">
        <f>IFERROR(__xludf.DUMMYFUNCTION("""COMPUTED_VALUE"""),"dinner")</f>
        <v>dinner</v>
      </c>
      <c r="C1561" s="6" t="str">
        <f>IFERROR(__xludf.DUMMYFUNCTION("""COMPUTED_VALUE"""),"employee X")</f>
        <v>employee X</v>
      </c>
      <c r="D1561" s="7">
        <f>IFERROR(__xludf.DUMMYFUNCTION("""COMPUTED_VALUE"""),27.16)</f>
        <v>27.16</v>
      </c>
      <c r="E1561" s="6" t="str">
        <f>IFERROR(__xludf.DUMMYFUNCTION("""COMPUTED_VALUE"""),"No")</f>
        <v>No</v>
      </c>
      <c r="F1561" s="8" t="str">
        <f>IFERROR(__xludf.DUMMYFUNCTION("""COMPUTED_VALUE"""),"No")</f>
        <v>No</v>
      </c>
    </row>
    <row r="1562">
      <c r="A1562" s="5">
        <f>IFERROR(__xludf.DUMMYFUNCTION("""COMPUTED_VALUE"""),44909.0)</f>
        <v>44909</v>
      </c>
      <c r="B1562" s="6" t="str">
        <f>IFERROR(__xludf.DUMMYFUNCTION("""COMPUTED_VALUE"""),"lunch")</f>
        <v>lunch</v>
      </c>
      <c r="C1562" s="6" t="str">
        <f>IFERROR(__xludf.DUMMYFUNCTION("""COMPUTED_VALUE"""),"employee Y")</f>
        <v>employee Y</v>
      </c>
      <c r="D1562" s="7">
        <f>IFERROR(__xludf.DUMMYFUNCTION("""COMPUTED_VALUE"""),83.28)</f>
        <v>83.28</v>
      </c>
      <c r="E1562" s="6" t="str">
        <f>IFERROR(__xludf.DUMMYFUNCTION("""COMPUTED_VALUE"""),"No")</f>
        <v>No</v>
      </c>
      <c r="F1562" s="8" t="str">
        <f>IFERROR(__xludf.DUMMYFUNCTION("""COMPUTED_VALUE"""),"No")</f>
        <v>No</v>
      </c>
    </row>
    <row r="1563">
      <c r="A1563" s="5">
        <f>IFERROR(__xludf.DUMMYFUNCTION("""COMPUTED_VALUE"""),44909.0)</f>
        <v>44909</v>
      </c>
      <c r="B1563" s="6" t="str">
        <f>IFERROR(__xludf.DUMMYFUNCTION("""COMPUTED_VALUE"""),"dinner")</f>
        <v>dinner</v>
      </c>
      <c r="C1563" s="6" t="str">
        <f>IFERROR(__xludf.DUMMYFUNCTION("""COMPUTED_VALUE"""),"employee J")</f>
        <v>employee J</v>
      </c>
      <c r="D1563" s="7">
        <f>IFERROR(__xludf.DUMMYFUNCTION("""COMPUTED_VALUE"""),25.45)</f>
        <v>25.45</v>
      </c>
      <c r="E1563" s="6" t="str">
        <f>IFERROR(__xludf.DUMMYFUNCTION("""COMPUTED_VALUE"""),"No")</f>
        <v>No</v>
      </c>
      <c r="F1563" s="8" t="str">
        <f>IFERROR(__xludf.DUMMYFUNCTION("""COMPUTED_VALUE"""),"No")</f>
        <v>No</v>
      </c>
    </row>
    <row r="1564">
      <c r="A1564" s="5">
        <f>IFERROR(__xludf.DUMMYFUNCTION("""COMPUTED_VALUE"""),44909.0)</f>
        <v>44909</v>
      </c>
      <c r="B1564" s="6" t="str">
        <f>IFERROR(__xludf.DUMMYFUNCTION("""COMPUTED_VALUE"""),"dinner")</f>
        <v>dinner</v>
      </c>
      <c r="C1564" s="6" t="str">
        <f>IFERROR(__xludf.DUMMYFUNCTION("""COMPUTED_VALUE"""),"employee X")</f>
        <v>employee X</v>
      </c>
      <c r="D1564" s="7">
        <f>IFERROR(__xludf.DUMMYFUNCTION("""COMPUTED_VALUE"""),22.62)</f>
        <v>22.62</v>
      </c>
      <c r="E1564" s="6" t="str">
        <f>IFERROR(__xludf.DUMMYFUNCTION("""COMPUTED_VALUE"""),"No")</f>
        <v>No</v>
      </c>
      <c r="F1564" s="8" t="str">
        <f>IFERROR(__xludf.DUMMYFUNCTION("""COMPUTED_VALUE"""),"No")</f>
        <v>No</v>
      </c>
    </row>
    <row r="1565">
      <c r="A1565" s="5">
        <f>IFERROR(__xludf.DUMMYFUNCTION("""COMPUTED_VALUE"""),44909.0)</f>
        <v>44909</v>
      </c>
      <c r="B1565" s="6" t="str">
        <f>IFERROR(__xludf.DUMMYFUNCTION("""COMPUTED_VALUE"""),"dinner")</f>
        <v>dinner</v>
      </c>
      <c r="C1565" s="6" t="str">
        <f>IFERROR(__xludf.DUMMYFUNCTION("""COMPUTED_VALUE"""),"employee S")</f>
        <v>employee S</v>
      </c>
      <c r="D1565" s="7">
        <f>IFERROR(__xludf.DUMMYFUNCTION("""COMPUTED_VALUE"""),8.76)</f>
        <v>8.76</v>
      </c>
      <c r="E1565" s="6" t="str">
        <f>IFERROR(__xludf.DUMMYFUNCTION("""COMPUTED_VALUE"""),"No")</f>
        <v>No</v>
      </c>
      <c r="F1565" s="8" t="str">
        <f>IFERROR(__xludf.DUMMYFUNCTION("""COMPUTED_VALUE"""),"No")</f>
        <v>No</v>
      </c>
    </row>
    <row r="1566">
      <c r="A1566" s="5">
        <f>IFERROR(__xludf.DUMMYFUNCTION("""COMPUTED_VALUE"""),44910.0)</f>
        <v>44910</v>
      </c>
      <c r="B1566" s="6" t="str">
        <f>IFERROR(__xludf.DUMMYFUNCTION("""COMPUTED_VALUE"""),"lunch")</f>
        <v>lunch</v>
      </c>
      <c r="C1566" s="6" t="str">
        <f>IFERROR(__xludf.DUMMYFUNCTION("""COMPUTED_VALUE"""),"employee L")</f>
        <v>employee L</v>
      </c>
      <c r="D1566" s="7">
        <f>IFERROR(__xludf.DUMMYFUNCTION("""COMPUTED_VALUE"""),87.14)</f>
        <v>87.14</v>
      </c>
      <c r="E1566" s="6" t="str">
        <f>IFERROR(__xludf.DUMMYFUNCTION("""COMPUTED_VALUE"""),"No")</f>
        <v>No</v>
      </c>
      <c r="F1566" s="8" t="str">
        <f>IFERROR(__xludf.DUMMYFUNCTION("""COMPUTED_VALUE"""),"No")</f>
        <v>No</v>
      </c>
    </row>
    <row r="1567">
      <c r="A1567" s="5">
        <f>IFERROR(__xludf.DUMMYFUNCTION("""COMPUTED_VALUE"""),44910.0)</f>
        <v>44910</v>
      </c>
      <c r="B1567" s="6" t="str">
        <f>IFERROR(__xludf.DUMMYFUNCTION("""COMPUTED_VALUE"""),"dinner")</f>
        <v>dinner</v>
      </c>
      <c r="C1567" s="6" t="str">
        <f>IFERROR(__xludf.DUMMYFUNCTION("""COMPUTED_VALUE"""),"employee J")</f>
        <v>employee J</v>
      </c>
      <c r="D1567" s="7">
        <f>IFERROR(__xludf.DUMMYFUNCTION("""COMPUTED_VALUE"""),62.37)</f>
        <v>62.37</v>
      </c>
      <c r="E1567" s="6" t="str">
        <f>IFERROR(__xludf.DUMMYFUNCTION("""COMPUTED_VALUE"""),"No")</f>
        <v>No</v>
      </c>
      <c r="F1567" s="8" t="str">
        <f>IFERROR(__xludf.DUMMYFUNCTION("""COMPUTED_VALUE"""),"No")</f>
        <v>No</v>
      </c>
    </row>
    <row r="1568">
      <c r="A1568" s="5">
        <f>IFERROR(__xludf.DUMMYFUNCTION("""COMPUTED_VALUE"""),44910.0)</f>
        <v>44910</v>
      </c>
      <c r="B1568" s="6" t="str">
        <f>IFERROR(__xludf.DUMMYFUNCTION("""COMPUTED_VALUE"""),"dinner")</f>
        <v>dinner</v>
      </c>
      <c r="C1568" s="6" t="str">
        <f>IFERROR(__xludf.DUMMYFUNCTION("""COMPUTED_VALUE"""),"employee Y")</f>
        <v>employee Y</v>
      </c>
      <c r="D1568" s="7">
        <f>IFERROR(__xludf.DUMMYFUNCTION("""COMPUTED_VALUE"""),20.79)</f>
        <v>20.79</v>
      </c>
      <c r="E1568" s="6" t="str">
        <f>IFERROR(__xludf.DUMMYFUNCTION("""COMPUTED_VALUE"""),"No")</f>
        <v>No</v>
      </c>
      <c r="F1568" s="8" t="str">
        <f>IFERROR(__xludf.DUMMYFUNCTION("""COMPUTED_VALUE"""),"No")</f>
        <v>No</v>
      </c>
    </row>
    <row r="1569">
      <c r="A1569" s="5">
        <f>IFERROR(__xludf.DUMMYFUNCTION("""COMPUTED_VALUE"""),44910.0)</f>
        <v>44910</v>
      </c>
      <c r="B1569" s="6" t="str">
        <f>IFERROR(__xludf.DUMMYFUNCTION("""COMPUTED_VALUE"""),"dinner")</f>
        <v>dinner</v>
      </c>
      <c r="C1569" s="6" t="str">
        <f>IFERROR(__xludf.DUMMYFUNCTION("""COMPUTED_VALUE"""),"employee X")</f>
        <v>employee X</v>
      </c>
      <c r="D1569" s="7">
        <f>IFERROR(__xludf.DUMMYFUNCTION("""COMPUTED_VALUE"""),62.37)</f>
        <v>62.37</v>
      </c>
      <c r="E1569" s="6" t="str">
        <f>IFERROR(__xludf.DUMMYFUNCTION("""COMPUTED_VALUE"""),"No")</f>
        <v>No</v>
      </c>
      <c r="F1569" s="8" t="str">
        <f>IFERROR(__xludf.DUMMYFUNCTION("""COMPUTED_VALUE"""),"No")</f>
        <v>No</v>
      </c>
    </row>
    <row r="1570">
      <c r="A1570" s="5">
        <f>IFERROR(__xludf.DUMMYFUNCTION("""COMPUTED_VALUE"""),44911.0)</f>
        <v>44911</v>
      </c>
      <c r="B1570" s="6" t="str">
        <f>IFERROR(__xludf.DUMMYFUNCTION("""COMPUTED_VALUE"""),"lunch")</f>
        <v>lunch</v>
      </c>
      <c r="C1570" s="6" t="str">
        <f>IFERROR(__xludf.DUMMYFUNCTION("""COMPUTED_VALUE"""),"employee W")</f>
        <v>employee W</v>
      </c>
      <c r="D1570" s="7">
        <f>IFERROR(__xludf.DUMMYFUNCTION("""COMPUTED_VALUE"""),107.1)</f>
        <v>107.1</v>
      </c>
      <c r="E1570" s="6" t="str">
        <f>IFERROR(__xludf.DUMMYFUNCTION("""COMPUTED_VALUE"""),"No")</f>
        <v>No</v>
      </c>
      <c r="F1570" s="8" t="str">
        <f>IFERROR(__xludf.DUMMYFUNCTION("""COMPUTED_VALUE"""),"No")</f>
        <v>No</v>
      </c>
    </row>
    <row r="1571">
      <c r="A1571" s="5">
        <f>IFERROR(__xludf.DUMMYFUNCTION("""COMPUTED_VALUE"""),44911.0)</f>
        <v>44911</v>
      </c>
      <c r="B1571" s="6" t="str">
        <f>IFERROR(__xludf.DUMMYFUNCTION("""COMPUTED_VALUE"""),"dinner")</f>
        <v>dinner</v>
      </c>
      <c r="C1571" s="6" t="str">
        <f>IFERROR(__xludf.DUMMYFUNCTION("""COMPUTED_VALUE"""),"employee J")</f>
        <v>employee J</v>
      </c>
      <c r="D1571" s="7">
        <f>IFERROR(__xludf.DUMMYFUNCTION("""COMPUTED_VALUE"""),78.35)</f>
        <v>78.35</v>
      </c>
      <c r="E1571" s="6" t="str">
        <f>IFERROR(__xludf.DUMMYFUNCTION("""COMPUTED_VALUE"""),"No")</f>
        <v>No</v>
      </c>
      <c r="F1571" s="8" t="str">
        <f>IFERROR(__xludf.DUMMYFUNCTION("""COMPUTED_VALUE"""),"No")</f>
        <v>No</v>
      </c>
    </row>
    <row r="1572">
      <c r="A1572" s="5">
        <f>IFERROR(__xludf.DUMMYFUNCTION("""COMPUTED_VALUE"""),44911.0)</f>
        <v>44911</v>
      </c>
      <c r="B1572" s="6" t="str">
        <f>IFERROR(__xludf.DUMMYFUNCTION("""COMPUTED_VALUE"""),"dinner")</f>
        <v>dinner</v>
      </c>
      <c r="C1572" s="6" t="str">
        <f>IFERROR(__xludf.DUMMYFUNCTION("""COMPUTED_VALUE"""),"employee X")</f>
        <v>employee X</v>
      </c>
      <c r="D1572" s="7">
        <f>IFERROR(__xludf.DUMMYFUNCTION("""COMPUTED_VALUE"""),78.35)</f>
        <v>78.35</v>
      </c>
      <c r="E1572" s="6" t="str">
        <f>IFERROR(__xludf.DUMMYFUNCTION("""COMPUTED_VALUE"""),"No")</f>
        <v>No</v>
      </c>
      <c r="F1572" s="8" t="str">
        <f>IFERROR(__xludf.DUMMYFUNCTION("""COMPUTED_VALUE"""),"No")</f>
        <v>No</v>
      </c>
    </row>
    <row r="1573">
      <c r="A1573" s="5">
        <f>IFERROR(__xludf.DUMMYFUNCTION("""COMPUTED_VALUE"""),44911.0)</f>
        <v>44911</v>
      </c>
      <c r="B1573" s="6" t="str">
        <f>IFERROR(__xludf.DUMMYFUNCTION("""COMPUTED_VALUE"""),"dinner")</f>
        <v>dinner</v>
      </c>
      <c r="C1573" s="6" t="str">
        <f>IFERROR(__xludf.DUMMYFUNCTION("""COMPUTED_VALUE"""),"employee Z")</f>
        <v>employee Z</v>
      </c>
      <c r="D1573" s="7">
        <f>IFERROR(__xludf.DUMMYFUNCTION("""COMPUTED_VALUE"""),0.0)</f>
        <v>0</v>
      </c>
      <c r="E1573" s="6" t="str">
        <f>IFERROR(__xludf.DUMMYFUNCTION("""COMPUTED_VALUE"""),"Yes")</f>
        <v>Yes</v>
      </c>
      <c r="F1573" s="8" t="str">
        <f>IFERROR(__xludf.DUMMYFUNCTION("""COMPUTED_VALUE"""),"No")</f>
        <v>No</v>
      </c>
    </row>
    <row r="1574">
      <c r="A1574" s="5">
        <f>IFERROR(__xludf.DUMMYFUNCTION("""COMPUTED_VALUE"""),44912.0)</f>
        <v>44912</v>
      </c>
      <c r="B1574" s="6" t="str">
        <f>IFERROR(__xludf.DUMMYFUNCTION("""COMPUTED_VALUE"""),"lunch")</f>
        <v>lunch</v>
      </c>
      <c r="C1574" s="6" t="str">
        <f>IFERROR(__xludf.DUMMYFUNCTION("""COMPUTED_VALUE"""),"employee W")</f>
        <v>employee W</v>
      </c>
      <c r="D1574" s="7">
        <f>IFERROR(__xludf.DUMMYFUNCTION("""COMPUTED_VALUE"""),110.12)</f>
        <v>110.12</v>
      </c>
      <c r="E1574" s="6" t="str">
        <f>IFERROR(__xludf.DUMMYFUNCTION("""COMPUTED_VALUE"""),"No")</f>
        <v>No</v>
      </c>
      <c r="F1574" s="8" t="str">
        <f>IFERROR(__xludf.DUMMYFUNCTION("""COMPUTED_VALUE"""),"No")</f>
        <v>No</v>
      </c>
    </row>
    <row r="1575">
      <c r="A1575" s="5">
        <f>IFERROR(__xludf.DUMMYFUNCTION("""COMPUTED_VALUE"""),44912.0)</f>
        <v>44912</v>
      </c>
      <c r="B1575" s="6" t="str">
        <f>IFERROR(__xludf.DUMMYFUNCTION("""COMPUTED_VALUE"""),"lunch")</f>
        <v>lunch</v>
      </c>
      <c r="C1575" s="6" t="str">
        <f>IFERROR(__xludf.DUMMYFUNCTION("""COMPUTED_VALUE"""),"employee Y")</f>
        <v>employee Y</v>
      </c>
      <c r="D1575" s="7">
        <f>IFERROR(__xludf.DUMMYFUNCTION("""COMPUTED_VALUE"""),137.65)</f>
        <v>137.65</v>
      </c>
      <c r="E1575" s="6" t="str">
        <f>IFERROR(__xludf.DUMMYFUNCTION("""COMPUTED_VALUE"""),"No")</f>
        <v>No</v>
      </c>
      <c r="F1575" s="8" t="str">
        <f>IFERROR(__xludf.DUMMYFUNCTION("""COMPUTED_VALUE"""),"No")</f>
        <v>No</v>
      </c>
    </row>
    <row r="1576">
      <c r="A1576" s="5">
        <f>IFERROR(__xludf.DUMMYFUNCTION("""COMPUTED_VALUE"""),44912.0)</f>
        <v>44912</v>
      </c>
      <c r="B1576" s="6" t="str">
        <f>IFERROR(__xludf.DUMMYFUNCTION("""COMPUTED_VALUE"""),"dinner")</f>
        <v>dinner</v>
      </c>
      <c r="C1576" s="6" t="str">
        <f>IFERROR(__xludf.DUMMYFUNCTION("""COMPUTED_VALUE"""),"employee J")</f>
        <v>employee J</v>
      </c>
      <c r="D1576" s="7">
        <f>IFERROR(__xludf.DUMMYFUNCTION("""COMPUTED_VALUE"""),42.46)</f>
        <v>42.46</v>
      </c>
      <c r="E1576" s="6" t="str">
        <f>IFERROR(__xludf.DUMMYFUNCTION("""COMPUTED_VALUE"""),"No")</f>
        <v>No</v>
      </c>
      <c r="F1576" s="8" t="str">
        <f>IFERROR(__xludf.DUMMYFUNCTION("""COMPUTED_VALUE"""),"No")</f>
        <v>No</v>
      </c>
    </row>
    <row r="1577">
      <c r="A1577" s="5">
        <f>IFERROR(__xludf.DUMMYFUNCTION("""COMPUTED_VALUE"""),44912.0)</f>
        <v>44912</v>
      </c>
      <c r="B1577" s="6" t="str">
        <f>IFERROR(__xludf.DUMMYFUNCTION("""COMPUTED_VALUE"""),"dinner")</f>
        <v>dinner</v>
      </c>
      <c r="C1577" s="6" t="str">
        <f>IFERROR(__xludf.DUMMYFUNCTION("""COMPUTED_VALUE"""),"employee Y")</f>
        <v>employee Y</v>
      </c>
      <c r="D1577" s="7">
        <f>IFERROR(__xludf.DUMMYFUNCTION("""COMPUTED_VALUE"""),37.16)</f>
        <v>37.16</v>
      </c>
      <c r="E1577" s="6" t="str">
        <f>IFERROR(__xludf.DUMMYFUNCTION("""COMPUTED_VALUE"""),"No")</f>
        <v>No</v>
      </c>
      <c r="F1577" s="8" t="str">
        <f>IFERROR(__xludf.DUMMYFUNCTION("""COMPUTED_VALUE"""),"No")</f>
        <v>No</v>
      </c>
    </row>
    <row r="1578">
      <c r="A1578" s="5">
        <f>IFERROR(__xludf.DUMMYFUNCTION("""COMPUTED_VALUE"""),44912.0)</f>
        <v>44912</v>
      </c>
      <c r="B1578" s="6" t="str">
        <f>IFERROR(__xludf.DUMMYFUNCTION("""COMPUTED_VALUE"""),"dinner")</f>
        <v>dinner</v>
      </c>
      <c r="C1578" s="6" t="str">
        <f>IFERROR(__xludf.DUMMYFUNCTION("""COMPUTED_VALUE"""),"employee X")</f>
        <v>employee X</v>
      </c>
      <c r="D1578" s="7">
        <f>IFERROR(__xludf.DUMMYFUNCTION("""COMPUTED_VALUE"""),47.77)</f>
        <v>47.77</v>
      </c>
      <c r="E1578" s="6" t="str">
        <f>IFERROR(__xludf.DUMMYFUNCTION("""COMPUTED_VALUE"""),"No")</f>
        <v>No</v>
      </c>
      <c r="F1578" s="8" t="str">
        <f>IFERROR(__xludf.DUMMYFUNCTION("""COMPUTED_VALUE"""),"No")</f>
        <v>No</v>
      </c>
    </row>
    <row r="1579">
      <c r="A1579" s="5">
        <f>IFERROR(__xludf.DUMMYFUNCTION("""COMPUTED_VALUE"""),44913.0)</f>
        <v>44913</v>
      </c>
      <c r="B1579" s="6" t="str">
        <f>IFERROR(__xludf.DUMMYFUNCTION("""COMPUTED_VALUE"""),"lunch")</f>
        <v>lunch</v>
      </c>
      <c r="C1579" s="6" t="str">
        <f>IFERROR(__xludf.DUMMYFUNCTION("""COMPUTED_VALUE"""),"employee W")</f>
        <v>employee W</v>
      </c>
      <c r="D1579" s="7">
        <f>IFERROR(__xludf.DUMMYFUNCTION("""COMPUTED_VALUE"""),66.76)</f>
        <v>66.76</v>
      </c>
      <c r="E1579" s="6" t="str">
        <f>IFERROR(__xludf.DUMMYFUNCTION("""COMPUTED_VALUE"""),"No")</f>
        <v>No</v>
      </c>
      <c r="F1579" s="8" t="str">
        <f>IFERROR(__xludf.DUMMYFUNCTION("""COMPUTED_VALUE"""),"No")</f>
        <v>No</v>
      </c>
    </row>
    <row r="1580">
      <c r="A1580" s="5">
        <f>IFERROR(__xludf.DUMMYFUNCTION("""COMPUTED_VALUE"""),44913.0)</f>
        <v>44913</v>
      </c>
      <c r="B1580" s="6" t="str">
        <f>IFERROR(__xludf.DUMMYFUNCTION("""COMPUTED_VALUE"""),"lunch")</f>
        <v>lunch</v>
      </c>
      <c r="C1580" s="6" t="str">
        <f>IFERROR(__xludf.DUMMYFUNCTION("""COMPUTED_VALUE"""),"employee Y")</f>
        <v>employee Y</v>
      </c>
      <c r="D1580" s="7">
        <f>IFERROR(__xludf.DUMMYFUNCTION("""COMPUTED_VALUE"""),46.87)</f>
        <v>46.87</v>
      </c>
      <c r="E1580" s="6" t="str">
        <f>IFERROR(__xludf.DUMMYFUNCTION("""COMPUTED_VALUE"""),"No")</f>
        <v>No</v>
      </c>
      <c r="F1580" s="8" t="str">
        <f>IFERROR(__xludf.DUMMYFUNCTION("""COMPUTED_VALUE"""),"No")</f>
        <v>No</v>
      </c>
    </row>
    <row r="1581">
      <c r="A1581" s="5">
        <f>IFERROR(__xludf.DUMMYFUNCTION("""COMPUTED_VALUE"""),44913.0)</f>
        <v>44913</v>
      </c>
      <c r="B1581" s="6" t="str">
        <f>IFERROR(__xludf.DUMMYFUNCTION("""COMPUTED_VALUE"""),"lunch")</f>
        <v>lunch</v>
      </c>
      <c r="C1581" s="6" t="str">
        <f>IFERROR(__xludf.DUMMYFUNCTION("""COMPUTED_VALUE"""),"employee J")</f>
        <v>employee J</v>
      </c>
      <c r="D1581" s="7">
        <f>IFERROR(__xludf.DUMMYFUNCTION("""COMPUTED_VALUE"""),21.46)</f>
        <v>21.46</v>
      </c>
      <c r="E1581" s="6" t="str">
        <f>IFERROR(__xludf.DUMMYFUNCTION("""COMPUTED_VALUE"""),"No")</f>
        <v>No</v>
      </c>
      <c r="F1581" s="8" t="str">
        <f>IFERROR(__xludf.DUMMYFUNCTION("""COMPUTED_VALUE"""),"No")</f>
        <v>No</v>
      </c>
    </row>
    <row r="1582">
      <c r="A1582" s="5">
        <f>IFERROR(__xludf.DUMMYFUNCTION("""COMPUTED_VALUE"""),44913.0)</f>
        <v>44913</v>
      </c>
      <c r="B1582" s="6" t="str">
        <f>IFERROR(__xludf.DUMMYFUNCTION("""COMPUTED_VALUE"""),"dinner")</f>
        <v>dinner</v>
      </c>
      <c r="C1582" s="6" t="str">
        <f>IFERROR(__xludf.DUMMYFUNCTION("""COMPUTED_VALUE"""),"employee Y")</f>
        <v>employee Y</v>
      </c>
      <c r="D1582" s="7">
        <f>IFERROR(__xludf.DUMMYFUNCTION("""COMPUTED_VALUE"""),31.22)</f>
        <v>31.22</v>
      </c>
      <c r="E1582" s="6" t="str">
        <f>IFERROR(__xludf.DUMMYFUNCTION("""COMPUTED_VALUE"""),"No")</f>
        <v>No</v>
      </c>
      <c r="F1582" s="8" t="str">
        <f>IFERROR(__xludf.DUMMYFUNCTION("""COMPUTED_VALUE"""),"No")</f>
        <v>No</v>
      </c>
    </row>
    <row r="1583">
      <c r="A1583" s="5">
        <f>IFERROR(__xludf.DUMMYFUNCTION("""COMPUTED_VALUE"""),44913.0)</f>
        <v>44913</v>
      </c>
      <c r="B1583" s="6" t="str">
        <f>IFERROR(__xludf.DUMMYFUNCTION("""COMPUTED_VALUE"""),"dinner")</f>
        <v>dinner</v>
      </c>
      <c r="C1583" s="6" t="str">
        <f>IFERROR(__xludf.DUMMYFUNCTION("""COMPUTED_VALUE"""),"employee J")</f>
        <v>employee J</v>
      </c>
      <c r="D1583" s="7">
        <f>IFERROR(__xludf.DUMMYFUNCTION("""COMPUTED_VALUE"""),46.83)</f>
        <v>46.83</v>
      </c>
      <c r="E1583" s="6" t="str">
        <f>IFERROR(__xludf.DUMMYFUNCTION("""COMPUTED_VALUE"""),"No")</f>
        <v>No</v>
      </c>
      <c r="F1583" s="8" t="str">
        <f>IFERROR(__xludf.DUMMYFUNCTION("""COMPUTED_VALUE"""),"No")</f>
        <v>No</v>
      </c>
    </row>
    <row r="1584">
      <c r="A1584" s="5">
        <f>IFERROR(__xludf.DUMMYFUNCTION("""COMPUTED_VALUE"""),44913.0)</f>
        <v>44913</v>
      </c>
      <c r="B1584" s="6" t="str">
        <f>IFERROR(__xludf.DUMMYFUNCTION("""COMPUTED_VALUE"""),"dinner")</f>
        <v>dinner</v>
      </c>
      <c r="C1584" s="6" t="str">
        <f>IFERROR(__xludf.DUMMYFUNCTION("""COMPUTED_VALUE"""),"employee X")</f>
        <v>employee X</v>
      </c>
      <c r="D1584" s="7">
        <f>IFERROR(__xludf.DUMMYFUNCTION("""COMPUTED_VALUE"""),36.42)</f>
        <v>36.42</v>
      </c>
      <c r="E1584" s="6" t="str">
        <f>IFERROR(__xludf.DUMMYFUNCTION("""COMPUTED_VALUE"""),"No")</f>
        <v>No</v>
      </c>
      <c r="F1584" s="8" t="str">
        <f>IFERROR(__xludf.DUMMYFUNCTION("""COMPUTED_VALUE"""),"No")</f>
        <v>No</v>
      </c>
    </row>
    <row r="1585">
      <c r="A1585" s="5">
        <f>IFERROR(__xludf.DUMMYFUNCTION("""COMPUTED_VALUE"""),44914.0)</f>
        <v>44914</v>
      </c>
      <c r="B1585" s="6" t="str">
        <f>IFERROR(__xludf.DUMMYFUNCTION("""COMPUTED_VALUE"""),"lunch")</f>
        <v>lunch</v>
      </c>
      <c r="C1585" s="6" t="str">
        <f>IFERROR(__xludf.DUMMYFUNCTION("""COMPUTED_VALUE"""),"employee W")</f>
        <v>employee W</v>
      </c>
      <c r="D1585" s="7">
        <f>IFERROR(__xludf.DUMMYFUNCTION("""COMPUTED_VALUE"""),118.21)</f>
        <v>118.21</v>
      </c>
      <c r="E1585" s="6" t="str">
        <f>IFERROR(__xludf.DUMMYFUNCTION("""COMPUTED_VALUE"""),"No")</f>
        <v>No</v>
      </c>
      <c r="F1585" s="8" t="str">
        <f>IFERROR(__xludf.DUMMYFUNCTION("""COMPUTED_VALUE"""),"No")</f>
        <v>No</v>
      </c>
    </row>
    <row r="1586">
      <c r="A1586" s="5">
        <f>IFERROR(__xludf.DUMMYFUNCTION("""COMPUTED_VALUE"""),44914.0)</f>
        <v>44914</v>
      </c>
      <c r="B1586" s="6" t="str">
        <f>IFERROR(__xludf.DUMMYFUNCTION("""COMPUTED_VALUE"""),"dinner")</f>
        <v>dinner</v>
      </c>
      <c r="C1586" s="6" t="str">
        <f>IFERROR(__xludf.DUMMYFUNCTION("""COMPUTED_VALUE"""),"employee J")</f>
        <v>employee J</v>
      </c>
      <c r="D1586" s="7">
        <f>IFERROR(__xludf.DUMMYFUNCTION("""COMPUTED_VALUE"""),87.99)</f>
        <v>87.99</v>
      </c>
      <c r="E1586" s="6" t="str">
        <f>IFERROR(__xludf.DUMMYFUNCTION("""COMPUTED_VALUE"""),"No")</f>
        <v>No</v>
      </c>
      <c r="F1586" s="8" t="str">
        <f>IFERROR(__xludf.DUMMYFUNCTION("""COMPUTED_VALUE"""),"No")</f>
        <v>No</v>
      </c>
    </row>
    <row r="1587">
      <c r="A1587" s="5">
        <f>IFERROR(__xludf.DUMMYFUNCTION("""COMPUTED_VALUE"""),44914.0)</f>
        <v>44914</v>
      </c>
      <c r="B1587" s="6" t="str">
        <f>IFERROR(__xludf.DUMMYFUNCTION("""COMPUTED_VALUE"""),"dinner")</f>
        <v>dinner</v>
      </c>
      <c r="C1587" s="6" t="str">
        <f>IFERROR(__xludf.DUMMYFUNCTION("""COMPUTED_VALUE"""),"employee Z")</f>
        <v>employee Z</v>
      </c>
      <c r="D1587" s="7">
        <f>IFERROR(__xludf.DUMMYFUNCTION("""COMPUTED_VALUE"""),98.99)</f>
        <v>98.99</v>
      </c>
      <c r="E1587" s="6" t="str">
        <f>IFERROR(__xludf.DUMMYFUNCTION("""COMPUTED_VALUE"""),"No")</f>
        <v>No</v>
      </c>
      <c r="F1587" s="8" t="str">
        <f>IFERROR(__xludf.DUMMYFUNCTION("""COMPUTED_VALUE"""),"No")</f>
        <v>No</v>
      </c>
    </row>
    <row r="1588">
      <c r="A1588" s="5">
        <f>IFERROR(__xludf.DUMMYFUNCTION("""COMPUTED_VALUE"""),44914.0)</f>
        <v>44914</v>
      </c>
      <c r="B1588" s="6" t="str">
        <f>IFERROR(__xludf.DUMMYFUNCTION("""COMPUTED_VALUE"""),"dinner")</f>
        <v>dinner</v>
      </c>
      <c r="C1588" s="6" t="str">
        <f>IFERROR(__xludf.DUMMYFUNCTION("""COMPUTED_VALUE"""),"employee X")</f>
        <v>employee X</v>
      </c>
      <c r="D1588" s="7">
        <f>IFERROR(__xludf.DUMMYFUNCTION("""COMPUTED_VALUE"""),54.99)</f>
        <v>54.99</v>
      </c>
      <c r="E1588" s="6" t="str">
        <f>IFERROR(__xludf.DUMMYFUNCTION("""COMPUTED_VALUE"""),"No")</f>
        <v>No</v>
      </c>
      <c r="F1588" s="8" t="str">
        <f>IFERROR(__xludf.DUMMYFUNCTION("""COMPUTED_VALUE"""),"No")</f>
        <v>No</v>
      </c>
    </row>
    <row r="1589">
      <c r="A1589" s="5">
        <f>IFERROR(__xludf.DUMMYFUNCTION("""COMPUTED_VALUE"""),44915.0)</f>
        <v>44915</v>
      </c>
      <c r="B1589" s="6" t="str">
        <f>IFERROR(__xludf.DUMMYFUNCTION("""COMPUTED_VALUE"""),"lunch")</f>
        <v>lunch</v>
      </c>
      <c r="C1589" s="6" t="str">
        <f>IFERROR(__xludf.DUMMYFUNCTION("""COMPUTED_VALUE"""),"employee W")</f>
        <v>employee W</v>
      </c>
      <c r="D1589" s="7">
        <f>IFERROR(__xludf.DUMMYFUNCTION("""COMPUTED_VALUE"""),122.33)</f>
        <v>122.33</v>
      </c>
      <c r="E1589" s="6" t="str">
        <f>IFERROR(__xludf.DUMMYFUNCTION("""COMPUTED_VALUE"""),"No")</f>
        <v>No</v>
      </c>
      <c r="F1589" s="8" t="str">
        <f>IFERROR(__xludf.DUMMYFUNCTION("""COMPUTED_VALUE"""),"No")</f>
        <v>No</v>
      </c>
    </row>
    <row r="1590">
      <c r="A1590" s="5">
        <f>IFERROR(__xludf.DUMMYFUNCTION("""COMPUTED_VALUE"""),44915.0)</f>
        <v>44915</v>
      </c>
      <c r="B1590" s="6" t="str">
        <f>IFERROR(__xludf.DUMMYFUNCTION("""COMPUTED_VALUE"""),"dinner")</f>
        <v>dinner</v>
      </c>
      <c r="C1590" s="6" t="str">
        <f>IFERROR(__xludf.DUMMYFUNCTION("""COMPUTED_VALUE"""),"employee J")</f>
        <v>employee J</v>
      </c>
      <c r="D1590" s="7">
        <f>IFERROR(__xludf.DUMMYFUNCTION("""COMPUTED_VALUE"""),46.8)</f>
        <v>46.8</v>
      </c>
      <c r="E1590" s="6" t="str">
        <f>IFERROR(__xludf.DUMMYFUNCTION("""COMPUTED_VALUE"""),"No")</f>
        <v>No</v>
      </c>
      <c r="F1590" s="8" t="str">
        <f>IFERROR(__xludf.DUMMYFUNCTION("""COMPUTED_VALUE"""),"No")</f>
        <v>No</v>
      </c>
    </row>
    <row r="1591">
      <c r="A1591" s="5">
        <f>IFERROR(__xludf.DUMMYFUNCTION("""COMPUTED_VALUE"""),44915.0)</f>
        <v>44915</v>
      </c>
      <c r="B1591" s="6" t="str">
        <f>IFERROR(__xludf.DUMMYFUNCTION("""COMPUTED_VALUE"""),"dinner")</f>
        <v>dinner</v>
      </c>
      <c r="C1591" s="6" t="str">
        <f>IFERROR(__xludf.DUMMYFUNCTION("""COMPUTED_VALUE"""),"employee Y")</f>
        <v>employee Y</v>
      </c>
      <c r="D1591" s="7">
        <f>IFERROR(__xludf.DUMMYFUNCTION("""COMPUTED_VALUE"""),41.6)</f>
        <v>41.6</v>
      </c>
      <c r="E1591" s="6" t="str">
        <f>IFERROR(__xludf.DUMMYFUNCTION("""COMPUTED_VALUE"""),"No")</f>
        <v>No</v>
      </c>
      <c r="F1591" s="8" t="str">
        <f>IFERROR(__xludf.DUMMYFUNCTION("""COMPUTED_VALUE"""),"No")</f>
        <v>No</v>
      </c>
    </row>
    <row r="1592">
      <c r="A1592" s="5">
        <f>IFERROR(__xludf.DUMMYFUNCTION("""COMPUTED_VALUE"""),44915.0)</f>
        <v>44915</v>
      </c>
      <c r="B1592" s="6" t="str">
        <f>IFERROR(__xludf.DUMMYFUNCTION("""COMPUTED_VALUE"""),"dinner")</f>
        <v>dinner</v>
      </c>
      <c r="C1592" s="6" t="str">
        <f>IFERROR(__xludf.DUMMYFUNCTION("""COMPUTED_VALUE"""),"employee X")</f>
        <v>employee X</v>
      </c>
      <c r="D1592" s="7">
        <f>IFERROR(__xludf.DUMMYFUNCTION("""COMPUTED_VALUE"""),31.2)</f>
        <v>31.2</v>
      </c>
      <c r="E1592" s="6" t="str">
        <f>IFERROR(__xludf.DUMMYFUNCTION("""COMPUTED_VALUE"""),"No")</f>
        <v>No</v>
      </c>
      <c r="F1592" s="8" t="str">
        <f>IFERROR(__xludf.DUMMYFUNCTION("""COMPUTED_VALUE"""),"No")</f>
        <v>No</v>
      </c>
    </row>
    <row r="1593">
      <c r="A1593" s="5">
        <f>IFERROR(__xludf.DUMMYFUNCTION("""COMPUTED_VALUE"""),44916.0)</f>
        <v>44916</v>
      </c>
      <c r="B1593" s="6" t="str">
        <f>IFERROR(__xludf.DUMMYFUNCTION("""COMPUTED_VALUE"""),"lunch")</f>
        <v>lunch</v>
      </c>
      <c r="C1593" s="6" t="str">
        <f>IFERROR(__xludf.DUMMYFUNCTION("""COMPUTED_VALUE"""),"employee W")</f>
        <v>employee W</v>
      </c>
      <c r="D1593" s="7">
        <f>IFERROR(__xludf.DUMMYFUNCTION("""COMPUTED_VALUE"""),66.07)</f>
        <v>66.07</v>
      </c>
      <c r="E1593" s="6" t="str">
        <f>IFERROR(__xludf.DUMMYFUNCTION("""COMPUTED_VALUE"""),"No")</f>
        <v>No</v>
      </c>
      <c r="F1593" s="8" t="str">
        <f>IFERROR(__xludf.DUMMYFUNCTION("""COMPUTED_VALUE"""),"No")</f>
        <v>No</v>
      </c>
    </row>
    <row r="1594">
      <c r="A1594" s="5">
        <f>IFERROR(__xludf.DUMMYFUNCTION("""COMPUTED_VALUE"""),44916.0)</f>
        <v>44916</v>
      </c>
      <c r="B1594" s="6" t="str">
        <f>IFERROR(__xludf.DUMMYFUNCTION("""COMPUTED_VALUE"""),"dinner")</f>
        <v>dinner</v>
      </c>
      <c r="C1594" s="6" t="str">
        <f>IFERROR(__xludf.DUMMYFUNCTION("""COMPUTED_VALUE"""),"employee J")</f>
        <v>employee J</v>
      </c>
      <c r="D1594" s="7">
        <f>IFERROR(__xludf.DUMMYFUNCTION("""COMPUTED_VALUE"""),53.34)</f>
        <v>53.34</v>
      </c>
      <c r="E1594" s="6" t="str">
        <f>IFERROR(__xludf.DUMMYFUNCTION("""COMPUTED_VALUE"""),"No")</f>
        <v>No</v>
      </c>
      <c r="F1594" s="8" t="str">
        <f>IFERROR(__xludf.DUMMYFUNCTION("""COMPUTED_VALUE"""),"No")</f>
        <v>No</v>
      </c>
    </row>
    <row r="1595">
      <c r="A1595" s="5">
        <f>IFERROR(__xludf.DUMMYFUNCTION("""COMPUTED_VALUE"""),44916.0)</f>
        <v>44916</v>
      </c>
      <c r="B1595" s="6" t="str">
        <f>IFERROR(__xludf.DUMMYFUNCTION("""COMPUTED_VALUE"""),"dinner")</f>
        <v>dinner</v>
      </c>
      <c r="C1595" s="6" t="str">
        <f>IFERROR(__xludf.DUMMYFUNCTION("""COMPUTED_VALUE"""),"employee Z")</f>
        <v>employee Z</v>
      </c>
      <c r="D1595" s="7">
        <f>IFERROR(__xludf.DUMMYFUNCTION("""COMPUTED_VALUE"""),32.6)</f>
        <v>32.6</v>
      </c>
      <c r="E1595" s="6" t="str">
        <f>IFERROR(__xludf.DUMMYFUNCTION("""COMPUTED_VALUE"""),"No")</f>
        <v>No</v>
      </c>
      <c r="F1595" s="8" t="str">
        <f>IFERROR(__xludf.DUMMYFUNCTION("""COMPUTED_VALUE"""),"No")</f>
        <v>No</v>
      </c>
    </row>
    <row r="1596">
      <c r="A1596" s="5">
        <f>IFERROR(__xludf.DUMMYFUNCTION("""COMPUTED_VALUE"""),44917.0)</f>
        <v>44917</v>
      </c>
      <c r="B1596" s="6" t="str">
        <f>IFERROR(__xludf.DUMMYFUNCTION("""COMPUTED_VALUE"""),"lunch")</f>
        <v>lunch</v>
      </c>
      <c r="C1596" s="6" t="str">
        <f>IFERROR(__xludf.DUMMYFUNCTION("""COMPUTED_VALUE"""),"employee L")</f>
        <v>employee L</v>
      </c>
      <c r="D1596" s="7">
        <f>IFERROR(__xludf.DUMMYFUNCTION("""COMPUTED_VALUE"""),100.3)</f>
        <v>100.3</v>
      </c>
      <c r="E1596" s="6" t="str">
        <f>IFERROR(__xludf.DUMMYFUNCTION("""COMPUTED_VALUE"""),"No")</f>
        <v>No</v>
      </c>
      <c r="F1596" s="8" t="str">
        <f>IFERROR(__xludf.DUMMYFUNCTION("""COMPUTED_VALUE"""),"No")</f>
        <v>No</v>
      </c>
    </row>
    <row r="1597">
      <c r="A1597" s="5">
        <f>IFERROR(__xludf.DUMMYFUNCTION("""COMPUTED_VALUE"""),44917.0)</f>
        <v>44917</v>
      </c>
      <c r="B1597" s="6" t="str">
        <f>IFERROR(__xludf.DUMMYFUNCTION("""COMPUTED_VALUE"""),"dinner")</f>
        <v>dinner</v>
      </c>
      <c r="C1597" s="6" t="str">
        <f>IFERROR(__xludf.DUMMYFUNCTION("""COMPUTED_VALUE"""),"employee J")</f>
        <v>employee J</v>
      </c>
      <c r="D1597" s="7">
        <f>IFERROR(__xludf.DUMMYFUNCTION("""COMPUTED_VALUE"""),38.53)</f>
        <v>38.53</v>
      </c>
      <c r="E1597" s="6" t="str">
        <f>IFERROR(__xludf.DUMMYFUNCTION("""COMPUTED_VALUE"""),"No")</f>
        <v>No</v>
      </c>
      <c r="F1597" s="8" t="str">
        <f>IFERROR(__xludf.DUMMYFUNCTION("""COMPUTED_VALUE"""),"No")</f>
        <v>No</v>
      </c>
    </row>
    <row r="1598">
      <c r="A1598" s="5">
        <f>IFERROR(__xludf.DUMMYFUNCTION("""COMPUTED_VALUE"""),44917.0)</f>
        <v>44917</v>
      </c>
      <c r="B1598" s="6" t="str">
        <f>IFERROR(__xludf.DUMMYFUNCTION("""COMPUTED_VALUE"""),"dinner")</f>
        <v>dinner</v>
      </c>
      <c r="C1598" s="6" t="str">
        <f>IFERROR(__xludf.DUMMYFUNCTION("""COMPUTED_VALUE"""),"employee Y")</f>
        <v>employee Y</v>
      </c>
      <c r="D1598" s="7">
        <f>IFERROR(__xludf.DUMMYFUNCTION("""COMPUTED_VALUE"""),34.25)</f>
        <v>34.25</v>
      </c>
      <c r="E1598" s="6" t="str">
        <f>IFERROR(__xludf.DUMMYFUNCTION("""COMPUTED_VALUE"""),"No")</f>
        <v>No</v>
      </c>
      <c r="F1598" s="8" t="str">
        <f>IFERROR(__xludf.DUMMYFUNCTION("""COMPUTED_VALUE"""),"No")</f>
        <v>No</v>
      </c>
    </row>
    <row r="1599">
      <c r="A1599" s="5">
        <f>IFERROR(__xludf.DUMMYFUNCTION("""COMPUTED_VALUE"""),44887.0)</f>
        <v>44887</v>
      </c>
      <c r="B1599" s="6" t="str">
        <f>IFERROR(__xludf.DUMMYFUNCTION("""COMPUTED_VALUE"""),"dinner")</f>
        <v>dinner</v>
      </c>
      <c r="C1599" s="6" t="str">
        <f>IFERROR(__xludf.DUMMYFUNCTION("""COMPUTED_VALUE"""),"employee ZA")</f>
        <v>employee ZA</v>
      </c>
      <c r="D1599" s="7">
        <f>IFERROR(__xludf.DUMMYFUNCTION("""COMPUTED_VALUE"""),0.0)</f>
        <v>0</v>
      </c>
      <c r="E1599" s="6" t="str">
        <f>IFERROR(__xludf.DUMMYFUNCTION("""COMPUTED_VALUE"""),"Yes")</f>
        <v>Yes</v>
      </c>
      <c r="F1599" s="8" t="str">
        <f>IFERROR(__xludf.DUMMYFUNCTION("""COMPUTED_VALUE"""),"No")</f>
        <v>No</v>
      </c>
    </row>
    <row r="1600">
      <c r="A1600" s="5">
        <f>IFERROR(__xludf.DUMMYFUNCTION("""COMPUTED_VALUE"""),44918.0)</f>
        <v>44918</v>
      </c>
      <c r="B1600" s="6" t="str">
        <f>IFERROR(__xludf.DUMMYFUNCTION("""COMPUTED_VALUE"""),"lunch")</f>
        <v>lunch</v>
      </c>
      <c r="C1600" s="6" t="str">
        <f>IFERROR(__xludf.DUMMYFUNCTION("""COMPUTED_VALUE"""),"employee Y")</f>
        <v>employee Y</v>
      </c>
      <c r="D1600" s="7">
        <f>IFERROR(__xludf.DUMMYFUNCTION("""COMPUTED_VALUE"""),46.91)</f>
        <v>46.91</v>
      </c>
      <c r="E1600" s="6" t="str">
        <f>IFERROR(__xludf.DUMMYFUNCTION("""COMPUTED_VALUE"""),"No")</f>
        <v>No</v>
      </c>
      <c r="F1600" s="8" t="str">
        <f>IFERROR(__xludf.DUMMYFUNCTION("""COMPUTED_VALUE"""),"No")</f>
        <v>No</v>
      </c>
    </row>
    <row r="1601">
      <c r="A1601" s="5">
        <f>IFERROR(__xludf.DUMMYFUNCTION("""COMPUTED_VALUE"""),44918.0)</f>
        <v>44918</v>
      </c>
      <c r="B1601" s="6" t="str">
        <f>IFERROR(__xludf.DUMMYFUNCTION("""COMPUTED_VALUE"""),"dinner")</f>
        <v>dinner</v>
      </c>
      <c r="C1601" s="6" t="str">
        <f>IFERROR(__xludf.DUMMYFUNCTION("""COMPUTED_VALUE"""),"employee Y")</f>
        <v>employee Y</v>
      </c>
      <c r="D1601" s="7">
        <f>IFERROR(__xludf.DUMMYFUNCTION("""COMPUTED_VALUE"""),184.36)</f>
        <v>184.36</v>
      </c>
      <c r="E1601" s="6" t="str">
        <f>IFERROR(__xludf.DUMMYFUNCTION("""COMPUTED_VALUE"""),"No")</f>
        <v>No</v>
      </c>
      <c r="F1601" s="8" t="str">
        <f>IFERROR(__xludf.DUMMYFUNCTION("""COMPUTED_VALUE"""),"No")</f>
        <v>No</v>
      </c>
    </row>
    <row r="1602">
      <c r="A1602" s="5">
        <f>IFERROR(__xludf.DUMMYFUNCTION("""COMPUTED_VALUE"""),44918.0)</f>
        <v>44918</v>
      </c>
      <c r="B1602" s="6" t="str">
        <f>IFERROR(__xludf.DUMMYFUNCTION("""COMPUTED_VALUE"""),"dinner")</f>
        <v>dinner</v>
      </c>
      <c r="C1602" s="6" t="str">
        <f>IFERROR(__xludf.DUMMYFUNCTION("""COMPUTED_VALUE"""),"employee ZA")</f>
        <v>employee ZA</v>
      </c>
      <c r="D1602" s="7">
        <f>IFERROR(__xludf.DUMMYFUNCTION("""COMPUTED_VALUE"""),0.0)</f>
        <v>0</v>
      </c>
      <c r="E1602" s="6" t="str">
        <f>IFERROR(__xludf.DUMMYFUNCTION("""COMPUTED_VALUE"""),"Yes")</f>
        <v>Yes</v>
      </c>
      <c r="F1602" s="8" t="str">
        <f>IFERROR(__xludf.DUMMYFUNCTION("""COMPUTED_VALUE"""),"No")</f>
        <v>No</v>
      </c>
    </row>
    <row r="1603">
      <c r="A1603" s="5">
        <f>IFERROR(__xludf.DUMMYFUNCTION("""COMPUTED_VALUE"""),44919.0)</f>
        <v>44919</v>
      </c>
      <c r="B1603" s="6" t="str">
        <f>IFERROR(__xludf.DUMMYFUNCTION("""COMPUTED_VALUE"""),"lunch")</f>
        <v>lunch</v>
      </c>
      <c r="C1603" s="6" t="str">
        <f>IFERROR(__xludf.DUMMYFUNCTION("""COMPUTED_VALUE"""),"employee J")</f>
        <v>employee J</v>
      </c>
      <c r="D1603" s="7">
        <f>IFERROR(__xludf.DUMMYFUNCTION("""COMPUTED_VALUE"""),31.74)</f>
        <v>31.74</v>
      </c>
      <c r="E1603" s="6" t="str">
        <f>IFERROR(__xludf.DUMMYFUNCTION("""COMPUTED_VALUE"""),"No")</f>
        <v>No</v>
      </c>
      <c r="F1603" s="8" t="str">
        <f>IFERROR(__xludf.DUMMYFUNCTION("""COMPUTED_VALUE"""),"No")</f>
        <v>No</v>
      </c>
    </row>
    <row r="1604">
      <c r="A1604" s="5">
        <f>IFERROR(__xludf.DUMMYFUNCTION("""COMPUTED_VALUE"""),44919.0)</f>
        <v>44919</v>
      </c>
      <c r="B1604" s="6" t="str">
        <f>IFERROR(__xludf.DUMMYFUNCTION("""COMPUTED_VALUE"""),"lunch")</f>
        <v>lunch</v>
      </c>
      <c r="C1604" s="6" t="str">
        <f>IFERROR(__xludf.DUMMYFUNCTION("""COMPUTED_VALUE"""),"employee Y")</f>
        <v>employee Y</v>
      </c>
      <c r="D1604" s="7">
        <f>IFERROR(__xludf.DUMMYFUNCTION("""COMPUTED_VALUE"""),31.74)</f>
        <v>31.74</v>
      </c>
      <c r="E1604" s="6" t="str">
        <f>IFERROR(__xludf.DUMMYFUNCTION("""COMPUTED_VALUE"""),"No")</f>
        <v>No</v>
      </c>
      <c r="F1604" s="8" t="str">
        <f>IFERROR(__xludf.DUMMYFUNCTION("""COMPUTED_VALUE"""),"No")</f>
        <v>No</v>
      </c>
    </row>
    <row r="1605">
      <c r="A1605" s="5">
        <f>IFERROR(__xludf.DUMMYFUNCTION("""COMPUTED_VALUE"""),44919.0)</f>
        <v>44919</v>
      </c>
      <c r="B1605" s="6" t="str">
        <f>IFERROR(__xludf.DUMMYFUNCTION("""COMPUTED_VALUE"""),"dinner")</f>
        <v>dinner</v>
      </c>
      <c r="C1605" s="6" t="str">
        <f>IFERROR(__xludf.DUMMYFUNCTION("""COMPUTED_VALUE"""),"employee W")</f>
        <v>employee W</v>
      </c>
      <c r="D1605" s="7">
        <f>IFERROR(__xludf.DUMMYFUNCTION("""COMPUTED_VALUE"""),39.27)</f>
        <v>39.27</v>
      </c>
      <c r="E1605" s="6" t="str">
        <f>IFERROR(__xludf.DUMMYFUNCTION("""COMPUTED_VALUE"""),"No")</f>
        <v>No</v>
      </c>
      <c r="F1605" s="8" t="str">
        <f>IFERROR(__xludf.DUMMYFUNCTION("""COMPUTED_VALUE"""),"No")</f>
        <v>No</v>
      </c>
    </row>
    <row r="1606">
      <c r="A1606" s="5">
        <f>IFERROR(__xludf.DUMMYFUNCTION("""COMPUTED_VALUE"""),44921.0)</f>
        <v>44921</v>
      </c>
      <c r="B1606" s="6" t="str">
        <f>IFERROR(__xludf.DUMMYFUNCTION("""COMPUTED_VALUE"""),"lunch")</f>
        <v>lunch</v>
      </c>
      <c r="C1606" s="6" t="str">
        <f>IFERROR(__xludf.DUMMYFUNCTION("""COMPUTED_VALUE"""),"employee W")</f>
        <v>employee W</v>
      </c>
      <c r="D1606" s="7">
        <f>IFERROR(__xludf.DUMMYFUNCTION("""COMPUTED_VALUE"""),175.98)</f>
        <v>175.98</v>
      </c>
      <c r="E1606" s="6" t="str">
        <f>IFERROR(__xludf.DUMMYFUNCTION("""COMPUTED_VALUE"""),"No")</f>
        <v>No</v>
      </c>
      <c r="F1606" s="8" t="str">
        <f>IFERROR(__xludf.DUMMYFUNCTION("""COMPUTED_VALUE"""),"No")</f>
        <v>No</v>
      </c>
    </row>
    <row r="1607">
      <c r="A1607" s="5">
        <f>IFERROR(__xludf.DUMMYFUNCTION("""COMPUTED_VALUE"""),44921.0)</f>
        <v>44921</v>
      </c>
      <c r="B1607" s="6" t="str">
        <f>IFERROR(__xludf.DUMMYFUNCTION("""COMPUTED_VALUE"""),"dinner")</f>
        <v>dinner</v>
      </c>
      <c r="C1607" s="6" t="str">
        <f>IFERROR(__xludf.DUMMYFUNCTION("""COMPUTED_VALUE"""),"employee W")</f>
        <v>employee W</v>
      </c>
      <c r="D1607" s="7">
        <f>IFERROR(__xludf.DUMMYFUNCTION("""COMPUTED_VALUE"""),74.48)</f>
        <v>74.48</v>
      </c>
      <c r="E1607" s="6" t="str">
        <f>IFERROR(__xludf.DUMMYFUNCTION("""COMPUTED_VALUE"""),"No")</f>
        <v>No</v>
      </c>
      <c r="F1607" s="8" t="str">
        <f>IFERROR(__xludf.DUMMYFUNCTION("""COMPUTED_VALUE"""),"No")</f>
        <v>No</v>
      </c>
    </row>
    <row r="1608">
      <c r="A1608" s="5">
        <f>IFERROR(__xludf.DUMMYFUNCTION("""COMPUTED_VALUE"""),44921.0)</f>
        <v>44921</v>
      </c>
      <c r="B1608" s="6" t="str">
        <f>IFERROR(__xludf.DUMMYFUNCTION("""COMPUTED_VALUE"""),"dinner")</f>
        <v>dinner</v>
      </c>
      <c r="C1608" s="6" t="str">
        <f>IFERROR(__xludf.DUMMYFUNCTION("""COMPUTED_VALUE"""),"employee Z")</f>
        <v>employee Z</v>
      </c>
      <c r="D1608" s="7">
        <f>IFERROR(__xludf.DUMMYFUNCTION("""COMPUTED_VALUE"""),74.48)</f>
        <v>74.48</v>
      </c>
      <c r="E1608" s="6" t="str">
        <f>IFERROR(__xludf.DUMMYFUNCTION("""COMPUTED_VALUE"""),"No")</f>
        <v>No</v>
      </c>
      <c r="F1608" s="8" t="str">
        <f>IFERROR(__xludf.DUMMYFUNCTION("""COMPUTED_VALUE"""),"No")</f>
        <v>No</v>
      </c>
    </row>
    <row r="1609">
      <c r="A1609" s="5">
        <f>IFERROR(__xludf.DUMMYFUNCTION("""COMPUTED_VALUE"""),44922.0)</f>
        <v>44922</v>
      </c>
      <c r="B1609" s="6" t="str">
        <f>IFERROR(__xludf.DUMMYFUNCTION("""COMPUTED_VALUE"""),"lunch")</f>
        <v>lunch</v>
      </c>
      <c r="C1609" s="6" t="str">
        <f>IFERROR(__xludf.DUMMYFUNCTION("""COMPUTED_VALUE"""),"employee W")</f>
        <v>employee W</v>
      </c>
      <c r="D1609" s="7">
        <f>IFERROR(__xludf.DUMMYFUNCTION("""COMPUTED_VALUE"""),62.68)</f>
        <v>62.68</v>
      </c>
      <c r="E1609" s="6" t="str">
        <f>IFERROR(__xludf.DUMMYFUNCTION("""COMPUTED_VALUE"""),"No")</f>
        <v>No</v>
      </c>
      <c r="F1609" s="8" t="str">
        <f>IFERROR(__xludf.DUMMYFUNCTION("""COMPUTED_VALUE"""),"No")</f>
        <v>No</v>
      </c>
    </row>
    <row r="1610">
      <c r="A1610" s="5">
        <f>IFERROR(__xludf.DUMMYFUNCTION("""COMPUTED_VALUE"""),44922.0)</f>
        <v>44922</v>
      </c>
      <c r="B1610" s="6" t="str">
        <f>IFERROR(__xludf.DUMMYFUNCTION("""COMPUTED_VALUE"""),"dinner")</f>
        <v>dinner</v>
      </c>
      <c r="C1610" s="6" t="str">
        <f>IFERROR(__xludf.DUMMYFUNCTION("""COMPUTED_VALUE"""),"employee J")</f>
        <v>employee J</v>
      </c>
      <c r="D1610" s="7">
        <f>IFERROR(__xludf.DUMMYFUNCTION("""COMPUTED_VALUE"""),77.1)</f>
        <v>77.1</v>
      </c>
      <c r="E1610" s="6" t="str">
        <f>IFERROR(__xludf.DUMMYFUNCTION("""COMPUTED_VALUE"""),"No")</f>
        <v>No</v>
      </c>
      <c r="F1610" s="8" t="str">
        <f>IFERROR(__xludf.DUMMYFUNCTION("""COMPUTED_VALUE"""),"No")</f>
        <v>No</v>
      </c>
    </row>
    <row r="1611">
      <c r="A1611" s="5">
        <f>IFERROR(__xludf.DUMMYFUNCTION("""COMPUTED_VALUE"""),44922.0)</f>
        <v>44922</v>
      </c>
      <c r="B1611" s="6" t="str">
        <f>IFERROR(__xludf.DUMMYFUNCTION("""COMPUTED_VALUE"""),"dinner")</f>
        <v>dinner</v>
      </c>
      <c r="C1611" s="6" t="str">
        <f>IFERROR(__xludf.DUMMYFUNCTION("""COMPUTED_VALUE"""),"employee Y")</f>
        <v>employee Y</v>
      </c>
      <c r="D1611" s="7">
        <f>IFERROR(__xludf.DUMMYFUNCTION("""COMPUTED_VALUE"""),77.1)</f>
        <v>77.1</v>
      </c>
      <c r="E1611" s="6" t="str">
        <f>IFERROR(__xludf.DUMMYFUNCTION("""COMPUTED_VALUE"""),"No")</f>
        <v>No</v>
      </c>
      <c r="F1611" s="8" t="str">
        <f>IFERROR(__xludf.DUMMYFUNCTION("""COMPUTED_VALUE"""),"No")</f>
        <v>No</v>
      </c>
    </row>
    <row r="1612">
      <c r="A1612" s="5">
        <f>IFERROR(__xludf.DUMMYFUNCTION("""COMPUTED_VALUE"""),44922.0)</f>
        <v>44922</v>
      </c>
      <c r="B1612" s="6" t="str">
        <f>IFERROR(__xludf.DUMMYFUNCTION("""COMPUTED_VALUE"""),"dinner")</f>
        <v>dinner</v>
      </c>
      <c r="C1612" s="6" t="str">
        <f>IFERROR(__xludf.DUMMYFUNCTION("""COMPUTED_VALUE"""),"employee ZA")</f>
        <v>employee ZA</v>
      </c>
      <c r="D1612" s="7">
        <f>IFERROR(__xludf.DUMMYFUNCTION("""COMPUTED_VALUE"""),0.0)</f>
        <v>0</v>
      </c>
      <c r="E1612" s="6" t="str">
        <f>IFERROR(__xludf.DUMMYFUNCTION("""COMPUTED_VALUE"""),"Yes")</f>
        <v>Yes</v>
      </c>
      <c r="F1612" s="8" t="str">
        <f>IFERROR(__xludf.DUMMYFUNCTION("""COMPUTED_VALUE"""),"No")</f>
        <v>No</v>
      </c>
    </row>
    <row r="1613">
      <c r="A1613" s="5">
        <f>IFERROR(__xludf.DUMMYFUNCTION("""COMPUTED_VALUE"""),44923.0)</f>
        <v>44923</v>
      </c>
      <c r="B1613" s="6" t="str">
        <f>IFERROR(__xludf.DUMMYFUNCTION("""COMPUTED_VALUE"""),"lunch")</f>
        <v>lunch</v>
      </c>
      <c r="C1613" s="6" t="str">
        <f>IFERROR(__xludf.DUMMYFUNCTION("""COMPUTED_VALUE"""),"employee J")</f>
        <v>employee J</v>
      </c>
      <c r="D1613" s="7">
        <f>IFERROR(__xludf.DUMMYFUNCTION("""COMPUTED_VALUE"""),49.81)</f>
        <v>49.81</v>
      </c>
      <c r="E1613" s="6" t="str">
        <f>IFERROR(__xludf.DUMMYFUNCTION("""COMPUTED_VALUE"""),"No")</f>
        <v>No</v>
      </c>
      <c r="F1613" s="8" t="str">
        <f>IFERROR(__xludf.DUMMYFUNCTION("""COMPUTED_VALUE"""),"No")</f>
        <v>No</v>
      </c>
    </row>
    <row r="1614">
      <c r="A1614" s="5">
        <f>IFERROR(__xludf.DUMMYFUNCTION("""COMPUTED_VALUE"""),44923.0)</f>
        <v>44923</v>
      </c>
      <c r="B1614" s="6" t="str">
        <f>IFERROR(__xludf.DUMMYFUNCTION("""COMPUTED_VALUE"""),"dinner")</f>
        <v>dinner</v>
      </c>
      <c r="C1614" s="6" t="str">
        <f>IFERROR(__xludf.DUMMYFUNCTION("""COMPUTED_VALUE"""),"employee J")</f>
        <v>employee J</v>
      </c>
      <c r="D1614" s="7">
        <f>IFERROR(__xludf.DUMMYFUNCTION("""COMPUTED_VALUE"""),38.09)</f>
        <v>38.09</v>
      </c>
      <c r="E1614" s="6" t="str">
        <f>IFERROR(__xludf.DUMMYFUNCTION("""COMPUTED_VALUE"""),"No")</f>
        <v>No</v>
      </c>
      <c r="F1614" s="8" t="str">
        <f>IFERROR(__xludf.DUMMYFUNCTION("""COMPUTED_VALUE"""),"No")</f>
        <v>No</v>
      </c>
    </row>
    <row r="1615">
      <c r="A1615" s="5">
        <f>IFERROR(__xludf.DUMMYFUNCTION("""COMPUTED_VALUE"""),44923.0)</f>
        <v>44923</v>
      </c>
      <c r="B1615" s="6" t="str">
        <f>IFERROR(__xludf.DUMMYFUNCTION("""COMPUTED_VALUE"""),"dinner")</f>
        <v>dinner</v>
      </c>
      <c r="C1615" s="6" t="str">
        <f>IFERROR(__xludf.DUMMYFUNCTION("""COMPUTED_VALUE"""),"employee X")</f>
        <v>employee X</v>
      </c>
      <c r="D1615" s="7">
        <f>IFERROR(__xludf.DUMMYFUNCTION("""COMPUTED_VALUE"""),33.86)</f>
        <v>33.86</v>
      </c>
      <c r="E1615" s="6" t="str">
        <f>IFERROR(__xludf.DUMMYFUNCTION("""COMPUTED_VALUE"""),"No")</f>
        <v>No</v>
      </c>
      <c r="F1615" s="8" t="str">
        <f>IFERROR(__xludf.DUMMYFUNCTION("""COMPUTED_VALUE"""),"No")</f>
        <v>No</v>
      </c>
    </row>
    <row r="1616">
      <c r="A1616" s="5">
        <f>IFERROR(__xludf.DUMMYFUNCTION("""COMPUTED_VALUE"""),44923.0)</f>
        <v>44923</v>
      </c>
      <c r="B1616" s="6" t="str">
        <f>IFERROR(__xludf.DUMMYFUNCTION("""COMPUTED_VALUE"""),"dinner")</f>
        <v>dinner</v>
      </c>
      <c r="C1616" s="6" t="str">
        <f>IFERROR(__xludf.DUMMYFUNCTION("""COMPUTED_VALUE"""),"employee S")</f>
        <v>employee S</v>
      </c>
      <c r="D1616" s="7">
        <f>IFERROR(__xludf.DUMMYFUNCTION("""COMPUTED_VALUE"""),19.05)</f>
        <v>19.05</v>
      </c>
      <c r="E1616" s="6" t="str">
        <f>IFERROR(__xludf.DUMMYFUNCTION("""COMPUTED_VALUE"""),"No")</f>
        <v>No</v>
      </c>
      <c r="F1616" s="8" t="str">
        <f>IFERROR(__xludf.DUMMYFUNCTION("""COMPUTED_VALUE"""),"No")</f>
        <v>No</v>
      </c>
    </row>
    <row r="1617">
      <c r="A1617" s="5">
        <f>IFERROR(__xludf.DUMMYFUNCTION("""COMPUTED_VALUE"""),44924.0)</f>
        <v>44924</v>
      </c>
      <c r="B1617" s="6" t="str">
        <f>IFERROR(__xludf.DUMMYFUNCTION("""COMPUTED_VALUE"""),"lunch")</f>
        <v>lunch</v>
      </c>
      <c r="C1617" s="6" t="str">
        <f>IFERROR(__xludf.DUMMYFUNCTION("""COMPUTED_VALUE"""),"employee W")</f>
        <v>employee W</v>
      </c>
      <c r="D1617" s="7">
        <f>IFERROR(__xludf.DUMMYFUNCTION("""COMPUTED_VALUE"""),105.08)</f>
        <v>105.08</v>
      </c>
      <c r="E1617" s="6" t="str">
        <f>IFERROR(__xludf.DUMMYFUNCTION("""COMPUTED_VALUE"""),"No")</f>
        <v>No</v>
      </c>
      <c r="F1617" s="8" t="str">
        <f>IFERROR(__xludf.DUMMYFUNCTION("""COMPUTED_VALUE"""),"No")</f>
        <v>No</v>
      </c>
    </row>
    <row r="1618">
      <c r="A1618" s="5">
        <f>IFERROR(__xludf.DUMMYFUNCTION("""COMPUTED_VALUE"""),44924.0)</f>
        <v>44924</v>
      </c>
      <c r="B1618" s="6" t="str">
        <f>IFERROR(__xludf.DUMMYFUNCTION("""COMPUTED_VALUE"""),"dinner")</f>
        <v>dinner</v>
      </c>
      <c r="C1618" s="6" t="str">
        <f>IFERROR(__xludf.DUMMYFUNCTION("""COMPUTED_VALUE"""),"employee J")</f>
        <v>employee J</v>
      </c>
      <c r="D1618" s="7">
        <f>IFERROR(__xludf.DUMMYFUNCTION("""COMPUTED_VALUE"""),29.54)</f>
        <v>29.54</v>
      </c>
      <c r="E1618" s="6" t="str">
        <f>IFERROR(__xludf.DUMMYFUNCTION("""COMPUTED_VALUE"""),"No")</f>
        <v>No</v>
      </c>
      <c r="F1618" s="8" t="str">
        <f>IFERROR(__xludf.DUMMYFUNCTION("""COMPUTED_VALUE"""),"No")</f>
        <v>No</v>
      </c>
    </row>
    <row r="1619">
      <c r="A1619" s="5">
        <f>IFERROR(__xludf.DUMMYFUNCTION("""COMPUTED_VALUE"""),44924.0)</f>
        <v>44924</v>
      </c>
      <c r="B1619" s="6" t="str">
        <f>IFERROR(__xludf.DUMMYFUNCTION("""COMPUTED_VALUE"""),"dinner")</f>
        <v>dinner</v>
      </c>
      <c r="C1619" s="6" t="str">
        <f>IFERROR(__xludf.DUMMYFUNCTION("""COMPUTED_VALUE"""),"employee ZA")</f>
        <v>employee ZA</v>
      </c>
      <c r="D1619" s="7">
        <f>IFERROR(__xludf.DUMMYFUNCTION("""COMPUTED_VALUE"""),29.54)</f>
        <v>29.54</v>
      </c>
      <c r="E1619" s="6" t="str">
        <f>IFERROR(__xludf.DUMMYFUNCTION("""COMPUTED_VALUE"""),"No")</f>
        <v>No</v>
      </c>
      <c r="F1619" s="8" t="str">
        <f>IFERROR(__xludf.DUMMYFUNCTION("""COMPUTED_VALUE"""),"No")</f>
        <v>No</v>
      </c>
    </row>
    <row r="1620">
      <c r="A1620" s="5">
        <f>IFERROR(__xludf.DUMMYFUNCTION("""COMPUTED_VALUE"""),44924.0)</f>
        <v>44924</v>
      </c>
      <c r="B1620" s="6" t="str">
        <f>IFERROR(__xludf.DUMMYFUNCTION("""COMPUTED_VALUE"""),"dinner")</f>
        <v>dinner</v>
      </c>
      <c r="C1620" s="6" t="str">
        <f>IFERROR(__xludf.DUMMYFUNCTION("""COMPUTED_VALUE"""),"employee X")</f>
        <v>employee X</v>
      </c>
      <c r="D1620" s="7">
        <f>IFERROR(__xludf.DUMMYFUNCTION("""COMPUTED_VALUE"""),24.61)</f>
        <v>24.61</v>
      </c>
      <c r="E1620" s="6" t="str">
        <f>IFERROR(__xludf.DUMMYFUNCTION("""COMPUTED_VALUE"""),"No")</f>
        <v>No</v>
      </c>
      <c r="F1620" s="8" t="str">
        <f>IFERROR(__xludf.DUMMYFUNCTION("""COMPUTED_VALUE"""),"No")</f>
        <v>No</v>
      </c>
    </row>
    <row r="1621">
      <c r="A1621" s="5">
        <f>IFERROR(__xludf.DUMMYFUNCTION("""COMPUTED_VALUE"""),44925.0)</f>
        <v>44925</v>
      </c>
      <c r="B1621" s="6" t="str">
        <f>IFERROR(__xludf.DUMMYFUNCTION("""COMPUTED_VALUE"""),"lunch")</f>
        <v>lunch</v>
      </c>
      <c r="C1621" s="6" t="str">
        <f>IFERROR(__xludf.DUMMYFUNCTION("""COMPUTED_VALUE"""),"employee W")</f>
        <v>employee W</v>
      </c>
      <c r="D1621" s="7">
        <f>IFERROR(__xludf.DUMMYFUNCTION("""COMPUTED_VALUE"""),69.87)</f>
        <v>69.87</v>
      </c>
      <c r="E1621" s="6" t="str">
        <f>IFERROR(__xludf.DUMMYFUNCTION("""COMPUTED_VALUE"""),"No")</f>
        <v>No</v>
      </c>
      <c r="F1621" s="8" t="str">
        <f>IFERROR(__xludf.DUMMYFUNCTION("""COMPUTED_VALUE"""),"No")</f>
        <v>No</v>
      </c>
    </row>
    <row r="1622">
      <c r="A1622" s="5">
        <f>IFERROR(__xludf.DUMMYFUNCTION("""COMPUTED_VALUE"""),44925.0)</f>
        <v>44925</v>
      </c>
      <c r="B1622" s="6" t="str">
        <f>IFERROR(__xludf.DUMMYFUNCTION("""COMPUTED_VALUE"""),"dinner")</f>
        <v>dinner</v>
      </c>
      <c r="C1622" s="6" t="str">
        <f>IFERROR(__xludf.DUMMYFUNCTION("""COMPUTED_VALUE"""),"employee J")</f>
        <v>employee J</v>
      </c>
      <c r="D1622" s="7">
        <f>IFERROR(__xludf.DUMMYFUNCTION("""COMPUTED_VALUE"""),41.93)</f>
        <v>41.93</v>
      </c>
      <c r="E1622" s="6" t="str">
        <f>IFERROR(__xludf.DUMMYFUNCTION("""COMPUTED_VALUE"""),"No")</f>
        <v>No</v>
      </c>
      <c r="F1622" s="8" t="str">
        <f>IFERROR(__xludf.DUMMYFUNCTION("""COMPUTED_VALUE"""),"No")</f>
        <v>No</v>
      </c>
    </row>
    <row r="1623">
      <c r="A1623" s="5">
        <f>IFERROR(__xludf.DUMMYFUNCTION("""COMPUTED_VALUE"""),44925.0)</f>
        <v>44925</v>
      </c>
      <c r="B1623" s="6" t="str">
        <f>IFERROR(__xludf.DUMMYFUNCTION("""COMPUTED_VALUE"""),"dinner")</f>
        <v>dinner</v>
      </c>
      <c r="C1623" s="6" t="str">
        <f>IFERROR(__xludf.DUMMYFUNCTION("""COMPUTED_VALUE"""),"employee ZA")</f>
        <v>employee ZA</v>
      </c>
      <c r="D1623" s="7">
        <f>IFERROR(__xludf.DUMMYFUNCTION("""COMPUTED_VALUE"""),41.93)</f>
        <v>41.93</v>
      </c>
      <c r="E1623" s="6" t="str">
        <f>IFERROR(__xludf.DUMMYFUNCTION("""COMPUTED_VALUE"""),"No")</f>
        <v>No</v>
      </c>
      <c r="F1623" s="8" t="str">
        <f>IFERROR(__xludf.DUMMYFUNCTION("""COMPUTED_VALUE"""),"No")</f>
        <v>No</v>
      </c>
    </row>
    <row r="1624">
      <c r="A1624" s="5">
        <f>IFERROR(__xludf.DUMMYFUNCTION("""COMPUTED_VALUE"""),44925.0)</f>
        <v>44925</v>
      </c>
      <c r="B1624" s="6" t="str">
        <f>IFERROR(__xludf.DUMMYFUNCTION("""COMPUTED_VALUE"""),"dinner")</f>
        <v>dinner</v>
      </c>
      <c r="C1624" s="6" t="str">
        <f>IFERROR(__xludf.DUMMYFUNCTION("""COMPUTED_VALUE"""),"employee X")</f>
        <v>employee X</v>
      </c>
      <c r="D1624" s="7">
        <f>IFERROR(__xludf.DUMMYFUNCTION("""COMPUTED_VALUE"""),41.93)</f>
        <v>41.93</v>
      </c>
      <c r="E1624" s="6" t="str">
        <f>IFERROR(__xludf.DUMMYFUNCTION("""COMPUTED_VALUE"""),"No")</f>
        <v>No</v>
      </c>
      <c r="F1624" s="8" t="str">
        <f>IFERROR(__xludf.DUMMYFUNCTION("""COMPUTED_VALUE"""),"No")</f>
        <v>No</v>
      </c>
    </row>
    <row r="1625">
      <c r="A1625" s="5">
        <f>IFERROR(__xludf.DUMMYFUNCTION("""COMPUTED_VALUE"""),44926.0)</f>
        <v>44926</v>
      </c>
      <c r="B1625" s="6" t="str">
        <f>IFERROR(__xludf.DUMMYFUNCTION("""COMPUTED_VALUE"""),"lunch")</f>
        <v>lunch</v>
      </c>
      <c r="C1625" s="6" t="str">
        <f>IFERROR(__xludf.DUMMYFUNCTION("""COMPUTED_VALUE"""),"employee J")</f>
        <v>employee J</v>
      </c>
      <c r="D1625" s="7">
        <f>IFERROR(__xludf.DUMMYFUNCTION("""COMPUTED_VALUE"""),50.25)</f>
        <v>50.25</v>
      </c>
      <c r="E1625" s="6" t="str">
        <f>IFERROR(__xludf.DUMMYFUNCTION("""COMPUTED_VALUE"""),"No")</f>
        <v>No</v>
      </c>
      <c r="F1625" s="8" t="str">
        <f>IFERROR(__xludf.DUMMYFUNCTION("""COMPUTED_VALUE"""),"No")</f>
        <v>No</v>
      </c>
    </row>
    <row r="1626">
      <c r="A1626" s="5">
        <f>IFERROR(__xludf.DUMMYFUNCTION("""COMPUTED_VALUE"""),44926.0)</f>
        <v>44926</v>
      </c>
      <c r="B1626" s="6" t="str">
        <f>IFERROR(__xludf.DUMMYFUNCTION("""COMPUTED_VALUE"""),"lunch")</f>
        <v>lunch</v>
      </c>
      <c r="C1626" s="6" t="str">
        <f>IFERROR(__xludf.DUMMYFUNCTION("""COMPUTED_VALUE"""),"employee Y")</f>
        <v>employee Y</v>
      </c>
      <c r="D1626" s="7">
        <f>IFERROR(__xludf.DUMMYFUNCTION("""COMPUTED_VALUE"""),50.25)</f>
        <v>50.25</v>
      </c>
      <c r="E1626" s="6" t="str">
        <f>IFERROR(__xludf.DUMMYFUNCTION("""COMPUTED_VALUE"""),"No")</f>
        <v>No</v>
      </c>
      <c r="F1626" s="8" t="str">
        <f>IFERROR(__xludf.DUMMYFUNCTION("""COMPUTED_VALUE"""),"No")</f>
        <v>No</v>
      </c>
    </row>
    <row r="1627">
      <c r="A1627" s="5">
        <f>IFERROR(__xludf.DUMMYFUNCTION("""COMPUTED_VALUE"""),44926.0)</f>
        <v>44926</v>
      </c>
      <c r="B1627" s="6" t="str">
        <f>IFERROR(__xludf.DUMMYFUNCTION("""COMPUTED_VALUE"""),"dinner")</f>
        <v>dinner</v>
      </c>
      <c r="C1627" s="6" t="str">
        <f>IFERROR(__xludf.DUMMYFUNCTION("""COMPUTED_VALUE"""),"employee W")</f>
        <v>employee W</v>
      </c>
      <c r="D1627" s="7">
        <f>IFERROR(__xludf.DUMMYFUNCTION("""COMPUTED_VALUE"""),57.29)</f>
        <v>57.29</v>
      </c>
      <c r="E1627" s="6" t="str">
        <f>IFERROR(__xludf.DUMMYFUNCTION("""COMPUTED_VALUE"""),"No")</f>
        <v>No</v>
      </c>
      <c r="F1627" s="8" t="str">
        <f>IFERROR(__xludf.DUMMYFUNCTION("""COMPUTED_VALUE"""),"No")</f>
        <v>No</v>
      </c>
    </row>
    <row r="1628">
      <c r="A1628" s="5">
        <f>IFERROR(__xludf.DUMMYFUNCTION("""COMPUTED_VALUE"""),44926.0)</f>
        <v>44926</v>
      </c>
      <c r="B1628" s="6" t="str">
        <f>IFERROR(__xludf.DUMMYFUNCTION("""COMPUTED_VALUE"""),"dinner")</f>
        <v>dinner</v>
      </c>
      <c r="C1628" s="6" t="str">
        <f>IFERROR(__xludf.DUMMYFUNCTION("""COMPUTED_VALUE"""),"employee S")</f>
        <v>employee S</v>
      </c>
      <c r="D1628" s="7">
        <f>IFERROR(__xludf.DUMMYFUNCTION("""COMPUTED_VALUE"""),49.11)</f>
        <v>49.11</v>
      </c>
      <c r="E1628" s="6" t="str">
        <f>IFERROR(__xludf.DUMMYFUNCTION("""COMPUTED_VALUE"""),"No")</f>
        <v>No</v>
      </c>
      <c r="F1628" s="8" t="str">
        <f>IFERROR(__xludf.DUMMYFUNCTION("""COMPUTED_VALUE"""),"No")</f>
        <v>No</v>
      </c>
    </row>
    <row r="1629">
      <c r="A1629" s="10"/>
      <c r="B1629" s="6"/>
      <c r="C1629" s="6"/>
      <c r="D1629" s="7"/>
      <c r="E1629" s="6"/>
    </row>
    <row r="1630">
      <c r="A1630" s="10"/>
      <c r="B1630" s="6"/>
      <c r="C1630" s="6"/>
      <c r="D1630" s="7"/>
      <c r="E1630" s="6"/>
    </row>
    <row r="1631">
      <c r="A1631" s="10"/>
      <c r="B1631" s="6"/>
      <c r="C1631" s="6"/>
      <c r="D1631" s="7"/>
      <c r="E1631" s="6"/>
    </row>
    <row r="1632">
      <c r="A1632" s="10"/>
      <c r="B1632" s="6"/>
      <c r="C1632" s="6"/>
      <c r="D1632" s="7"/>
      <c r="E1632" s="6"/>
    </row>
    <row r="1633">
      <c r="A1633" s="10"/>
      <c r="B1633" s="6"/>
      <c r="C1633" s="6"/>
      <c r="D1633" s="7"/>
      <c r="E1633" s="6"/>
    </row>
    <row r="1634">
      <c r="A1634" s="10"/>
      <c r="B1634" s="6"/>
      <c r="C1634" s="6"/>
      <c r="D1634" s="7"/>
      <c r="E1634" s="6"/>
    </row>
    <row r="1635">
      <c r="A1635" s="10"/>
      <c r="B1635" s="6"/>
      <c r="C1635" s="6"/>
      <c r="D1635" s="7"/>
      <c r="E1635" s="6"/>
    </row>
    <row r="1636">
      <c r="A1636" s="10"/>
      <c r="B1636" s="6"/>
      <c r="C1636" s="6"/>
      <c r="D1636" s="7"/>
      <c r="E1636" s="6"/>
    </row>
    <row r="1637">
      <c r="A1637" s="10"/>
      <c r="B1637" s="6"/>
      <c r="C1637" s="6"/>
      <c r="D1637" s="7"/>
      <c r="E1637" s="6"/>
    </row>
    <row r="1638">
      <c r="A1638" s="10"/>
      <c r="B1638" s="6"/>
      <c r="C1638" s="6"/>
      <c r="D1638" s="7"/>
      <c r="E1638" s="6"/>
    </row>
    <row r="1639">
      <c r="A1639" s="10"/>
      <c r="B1639" s="6"/>
      <c r="C1639" s="6"/>
      <c r="D1639" s="7"/>
      <c r="E1639" s="6"/>
    </row>
    <row r="1640">
      <c r="A1640" s="10"/>
      <c r="B1640" s="6"/>
      <c r="C1640" s="6"/>
      <c r="D1640" s="7"/>
      <c r="E1640" s="6"/>
    </row>
    <row r="1641">
      <c r="A1641" s="10"/>
      <c r="B1641" s="6"/>
      <c r="C1641" s="6"/>
      <c r="D1641" s="7"/>
      <c r="E1641" s="6"/>
    </row>
    <row r="1642">
      <c r="A1642" s="10"/>
      <c r="B1642" s="6"/>
      <c r="C1642" s="6"/>
      <c r="D1642" s="7"/>
      <c r="E1642" s="6"/>
    </row>
    <row r="1643">
      <c r="A1643" s="10"/>
      <c r="B1643" s="6"/>
      <c r="C1643" s="6"/>
      <c r="D1643" s="7"/>
      <c r="E1643" s="6"/>
    </row>
    <row r="1644">
      <c r="A1644" s="10"/>
      <c r="B1644" s="6"/>
      <c r="C1644" s="6"/>
      <c r="D1644" s="7"/>
      <c r="E1644" s="6"/>
    </row>
    <row r="1645">
      <c r="A1645" s="10"/>
      <c r="B1645" s="6"/>
      <c r="C1645" s="6"/>
      <c r="D1645" s="7"/>
      <c r="E1645" s="6"/>
    </row>
    <row r="1646">
      <c r="A1646" s="10"/>
      <c r="B1646" s="6"/>
      <c r="C1646" s="6"/>
      <c r="D1646" s="7"/>
      <c r="E1646" s="6"/>
    </row>
    <row r="1647">
      <c r="A1647" s="10"/>
      <c r="B1647" s="6"/>
      <c r="C1647" s="6"/>
      <c r="D1647" s="7"/>
      <c r="E1647" s="6"/>
    </row>
    <row r="1648">
      <c r="A1648" s="10"/>
      <c r="B1648" s="6"/>
      <c r="C1648" s="6"/>
      <c r="D1648" s="7"/>
      <c r="E1648" s="6"/>
    </row>
    <row r="1649">
      <c r="A1649" s="10"/>
      <c r="B1649" s="6"/>
      <c r="C1649" s="6"/>
      <c r="D1649" s="7"/>
      <c r="E1649" s="6"/>
    </row>
    <row r="1650">
      <c r="A1650" s="10"/>
      <c r="B1650" s="6"/>
      <c r="C1650" s="6"/>
      <c r="D1650" s="7"/>
      <c r="E1650" s="6"/>
    </row>
    <row r="1651">
      <c r="A1651" s="10"/>
      <c r="B1651" s="6"/>
      <c r="C1651" s="6"/>
      <c r="D1651" s="7"/>
      <c r="E1651" s="6"/>
    </row>
    <row r="1652">
      <c r="A1652" s="10"/>
      <c r="B1652" s="6"/>
      <c r="C1652" s="6"/>
      <c r="D1652" s="7"/>
      <c r="E1652" s="6"/>
    </row>
    <row r="1653">
      <c r="A1653" s="10"/>
      <c r="B1653" s="6"/>
      <c r="C1653" s="6"/>
      <c r="D1653" s="7"/>
      <c r="E1653" s="6"/>
    </row>
    <row r="1654">
      <c r="A1654" s="10"/>
      <c r="B1654" s="6"/>
      <c r="C1654" s="6"/>
      <c r="D1654" s="7"/>
      <c r="E1654" s="6"/>
    </row>
    <row r="1655">
      <c r="A1655" s="10"/>
      <c r="B1655" s="6"/>
      <c r="C1655" s="6"/>
      <c r="D1655" s="7"/>
      <c r="E1655" s="6"/>
    </row>
    <row r="1656">
      <c r="A1656" s="10"/>
      <c r="B1656" s="6"/>
      <c r="C1656" s="6"/>
      <c r="D1656" s="7"/>
      <c r="E1656" s="6"/>
    </row>
    <row r="1657">
      <c r="A1657" s="10"/>
      <c r="B1657" s="6"/>
      <c r="C1657" s="6"/>
      <c r="D1657" s="7"/>
      <c r="E1657" s="6"/>
    </row>
    <row r="1658">
      <c r="A1658" s="10"/>
      <c r="B1658" s="6"/>
      <c r="C1658" s="6"/>
      <c r="D1658" s="7"/>
      <c r="E1658" s="6"/>
    </row>
    <row r="1659">
      <c r="A1659" s="10"/>
      <c r="B1659" s="6"/>
      <c r="C1659" s="6"/>
      <c r="D1659" s="7"/>
      <c r="E1659" s="6"/>
    </row>
    <row r="1660">
      <c r="A1660" s="10"/>
      <c r="B1660" s="6"/>
      <c r="C1660" s="6"/>
      <c r="D1660" s="7"/>
      <c r="E1660" s="6"/>
    </row>
    <row r="1661">
      <c r="A1661" s="10"/>
      <c r="B1661" s="6"/>
      <c r="C1661" s="6"/>
      <c r="D1661" s="7"/>
      <c r="E1661" s="6"/>
    </row>
    <row r="1662">
      <c r="A1662" s="10"/>
      <c r="B1662" s="6"/>
      <c r="C1662" s="6"/>
      <c r="D1662" s="7"/>
      <c r="E1662" s="6"/>
    </row>
    <row r="1663">
      <c r="A1663" s="10"/>
      <c r="B1663" s="6"/>
      <c r="C1663" s="6"/>
      <c r="D1663" s="7"/>
      <c r="E1663" s="6"/>
    </row>
    <row r="1664">
      <c r="A1664" s="10"/>
      <c r="B1664" s="6"/>
      <c r="C1664" s="6"/>
      <c r="D1664" s="7"/>
      <c r="E1664" s="6"/>
    </row>
    <row r="1665">
      <c r="A1665" s="10"/>
      <c r="B1665" s="6"/>
      <c r="C1665" s="6"/>
      <c r="D1665" s="7"/>
      <c r="E1665" s="6"/>
    </row>
    <row r="1666">
      <c r="A1666" s="10"/>
      <c r="B1666" s="6"/>
      <c r="C1666" s="6"/>
      <c r="D1666" s="7"/>
      <c r="E1666" s="6"/>
    </row>
    <row r="1667">
      <c r="A1667" s="10"/>
      <c r="B1667" s="6"/>
      <c r="C1667" s="6"/>
      <c r="D1667" s="7"/>
      <c r="E1667" s="6"/>
    </row>
    <row r="1668">
      <c r="A1668" s="10"/>
      <c r="B1668" s="6"/>
      <c r="C1668" s="6"/>
      <c r="D1668" s="7"/>
      <c r="E1668" s="6"/>
    </row>
    <row r="1669">
      <c r="A1669" s="10"/>
      <c r="B1669" s="6"/>
      <c r="C1669" s="6"/>
      <c r="D1669" s="7"/>
      <c r="E1669" s="6"/>
    </row>
    <row r="1670">
      <c r="A1670" s="10"/>
      <c r="B1670" s="6"/>
      <c r="C1670" s="6"/>
      <c r="D1670" s="7"/>
      <c r="E1670" s="6"/>
    </row>
    <row r="1671">
      <c r="A1671" s="10"/>
      <c r="B1671" s="6"/>
      <c r="C1671" s="6"/>
      <c r="D1671" s="7"/>
      <c r="E1671" s="6"/>
    </row>
    <row r="1672">
      <c r="A1672" s="10"/>
      <c r="B1672" s="6"/>
      <c r="C1672" s="6"/>
      <c r="D1672" s="7"/>
      <c r="E1672" s="6"/>
    </row>
    <row r="1673">
      <c r="A1673" s="10"/>
      <c r="B1673" s="6"/>
      <c r="C1673" s="6"/>
      <c r="D1673" s="7"/>
      <c r="E1673" s="6"/>
    </row>
    <row r="1674">
      <c r="A1674" s="10"/>
      <c r="B1674" s="6"/>
      <c r="C1674" s="6"/>
      <c r="D1674" s="7"/>
      <c r="E1674" s="6"/>
    </row>
    <row r="1675">
      <c r="A1675" s="10"/>
      <c r="B1675" s="6"/>
      <c r="C1675" s="6"/>
      <c r="D1675" s="7"/>
      <c r="E1675" s="6"/>
    </row>
    <row r="1676">
      <c r="A1676" s="10"/>
      <c r="B1676" s="6"/>
      <c r="C1676" s="6"/>
      <c r="D1676" s="7"/>
      <c r="E1676" s="6"/>
    </row>
    <row r="1677">
      <c r="A1677" s="10"/>
      <c r="B1677" s="6"/>
      <c r="C1677" s="6"/>
      <c r="D1677" s="7"/>
      <c r="E1677" s="6"/>
    </row>
    <row r="1678">
      <c r="A1678" s="10"/>
      <c r="B1678" s="6"/>
      <c r="C1678" s="6"/>
      <c r="D1678" s="7"/>
      <c r="E1678" s="6"/>
    </row>
    <row r="1679">
      <c r="A1679" s="10"/>
      <c r="B1679" s="6"/>
      <c r="C1679" s="6"/>
      <c r="D1679" s="7"/>
      <c r="E1679" s="6"/>
    </row>
    <row r="1680">
      <c r="A1680" s="10"/>
      <c r="B1680" s="6"/>
      <c r="C1680" s="6"/>
      <c r="D1680" s="7"/>
      <c r="E1680" s="6"/>
    </row>
    <row r="1681">
      <c r="A1681" s="10"/>
      <c r="B1681" s="6"/>
      <c r="C1681" s="6"/>
      <c r="D1681" s="7"/>
      <c r="E1681" s="6"/>
    </row>
    <row r="1682">
      <c r="A1682" s="10"/>
      <c r="B1682" s="6"/>
      <c r="C1682" s="6"/>
      <c r="D1682" s="7"/>
      <c r="E1682" s="6"/>
    </row>
    <row r="1683">
      <c r="A1683" s="10"/>
      <c r="B1683" s="6"/>
      <c r="C1683" s="6"/>
      <c r="D1683" s="7"/>
      <c r="E1683" s="6"/>
    </row>
    <row r="1684">
      <c r="A1684" s="10"/>
      <c r="B1684" s="6"/>
      <c r="C1684" s="6"/>
      <c r="D1684" s="7"/>
      <c r="E1684" s="6"/>
    </row>
    <row r="1685">
      <c r="A1685" s="10"/>
      <c r="B1685" s="6"/>
      <c r="C1685" s="6"/>
      <c r="D1685" s="7"/>
      <c r="E1685" s="6"/>
    </row>
    <row r="1686">
      <c r="A1686" s="10"/>
      <c r="B1686" s="6"/>
      <c r="C1686" s="6"/>
      <c r="D1686" s="7"/>
      <c r="E1686" s="6"/>
    </row>
    <row r="1687">
      <c r="A1687" s="10"/>
      <c r="B1687" s="6"/>
      <c r="C1687" s="6"/>
      <c r="D1687" s="7"/>
      <c r="E1687" s="6"/>
    </row>
    <row r="1688">
      <c r="A1688" s="10"/>
      <c r="B1688" s="6"/>
      <c r="C1688" s="6"/>
      <c r="D1688" s="7"/>
      <c r="E1688" s="6"/>
    </row>
    <row r="1689">
      <c r="A1689" s="10"/>
      <c r="B1689" s="6"/>
      <c r="C1689" s="6"/>
      <c r="D1689" s="7"/>
      <c r="E1689" s="6"/>
    </row>
    <row r="1690">
      <c r="A1690" s="10"/>
      <c r="B1690" s="6"/>
      <c r="C1690" s="6"/>
      <c r="D1690" s="7"/>
      <c r="E1690" s="6"/>
    </row>
    <row r="1691">
      <c r="A1691" s="10"/>
      <c r="B1691" s="6"/>
      <c r="C1691" s="6"/>
      <c r="D1691" s="7"/>
      <c r="E1691" s="6"/>
    </row>
    <row r="1692">
      <c r="A1692" s="10"/>
      <c r="B1692" s="6"/>
      <c r="C1692" s="6"/>
      <c r="D1692" s="7"/>
      <c r="E1692" s="6"/>
    </row>
    <row r="1693">
      <c r="A1693" s="10"/>
      <c r="B1693" s="6"/>
      <c r="C1693" s="6"/>
      <c r="D1693" s="7"/>
      <c r="E1693" s="6"/>
    </row>
    <row r="1694">
      <c r="A1694" s="10"/>
      <c r="B1694" s="6"/>
      <c r="C1694" s="6"/>
      <c r="D1694" s="7"/>
      <c r="E1694" s="6"/>
    </row>
    <row r="1695">
      <c r="A1695" s="10"/>
      <c r="B1695" s="6"/>
      <c r="C1695" s="6"/>
      <c r="D1695" s="7"/>
      <c r="E1695" s="6"/>
    </row>
    <row r="1696">
      <c r="A1696" s="10"/>
      <c r="B1696" s="6"/>
      <c r="C1696" s="6"/>
      <c r="D1696" s="7"/>
      <c r="E1696" s="6"/>
    </row>
    <row r="1697">
      <c r="A1697" s="10"/>
      <c r="B1697" s="6"/>
      <c r="C1697" s="6"/>
      <c r="D1697" s="7"/>
      <c r="E1697" s="6"/>
    </row>
    <row r="1698">
      <c r="A1698" s="10"/>
      <c r="B1698" s="6"/>
      <c r="C1698" s="6"/>
      <c r="D1698" s="7"/>
      <c r="E1698" s="6"/>
    </row>
    <row r="1699">
      <c r="A1699" s="10"/>
      <c r="B1699" s="6"/>
      <c r="C1699" s="6"/>
      <c r="D1699" s="7"/>
      <c r="E1699" s="6"/>
    </row>
    <row r="1700">
      <c r="A1700" s="10"/>
      <c r="B1700" s="6"/>
      <c r="C1700" s="6"/>
      <c r="D1700" s="7"/>
      <c r="E1700" s="6"/>
    </row>
    <row r="1701">
      <c r="A1701" s="10"/>
      <c r="B1701" s="6"/>
      <c r="C1701" s="6"/>
      <c r="D1701" s="7"/>
      <c r="E1701" s="6"/>
    </row>
    <row r="1702">
      <c r="A1702" s="10"/>
      <c r="B1702" s="6"/>
      <c r="C1702" s="6"/>
      <c r="D1702" s="7"/>
      <c r="E1702" s="6"/>
    </row>
    <row r="1703">
      <c r="A1703" s="10"/>
      <c r="B1703" s="6"/>
      <c r="C1703" s="6"/>
      <c r="D1703" s="7"/>
      <c r="E1703" s="6"/>
    </row>
    <row r="1704">
      <c r="A1704" s="10"/>
      <c r="B1704" s="6"/>
      <c r="C1704" s="6"/>
      <c r="D1704" s="7"/>
      <c r="E1704" s="6"/>
    </row>
    <row r="1705">
      <c r="A1705" s="10"/>
      <c r="B1705" s="6"/>
      <c r="C1705" s="6"/>
      <c r="D1705" s="7"/>
      <c r="E1705" s="6"/>
    </row>
    <row r="1706">
      <c r="A1706" s="10"/>
      <c r="B1706" s="6"/>
      <c r="C1706" s="6"/>
      <c r="D1706" s="7"/>
      <c r="E1706" s="6"/>
    </row>
    <row r="1707">
      <c r="A1707" s="10"/>
      <c r="B1707" s="6"/>
      <c r="C1707" s="6"/>
      <c r="D1707" s="7"/>
      <c r="E1707" s="6"/>
    </row>
    <row r="1708">
      <c r="A1708" s="10"/>
      <c r="B1708" s="6"/>
      <c r="C1708" s="6"/>
      <c r="D1708" s="7"/>
      <c r="E1708" s="6"/>
    </row>
    <row r="1709">
      <c r="A1709" s="10"/>
      <c r="B1709" s="6"/>
      <c r="C1709" s="6"/>
      <c r="D1709" s="7"/>
      <c r="E1709" s="6"/>
    </row>
    <row r="1710">
      <c r="A1710" s="10"/>
      <c r="B1710" s="6"/>
      <c r="C1710" s="6"/>
      <c r="D1710" s="7"/>
      <c r="E1710" s="6"/>
    </row>
    <row r="1711">
      <c r="A1711" s="10"/>
      <c r="B1711" s="6"/>
      <c r="C1711" s="6"/>
      <c r="D1711" s="7"/>
      <c r="E1711" s="6"/>
    </row>
    <row r="1712">
      <c r="A1712" s="10"/>
      <c r="B1712" s="6"/>
      <c r="C1712" s="6"/>
      <c r="D1712" s="7"/>
      <c r="E1712" s="6"/>
    </row>
    <row r="1713">
      <c r="A1713" s="10"/>
      <c r="B1713" s="6"/>
      <c r="C1713" s="6"/>
      <c r="D1713" s="7"/>
      <c r="E1713" s="6"/>
    </row>
    <row r="1714">
      <c r="A1714" s="10"/>
      <c r="B1714" s="6"/>
      <c r="C1714" s="6"/>
      <c r="D1714" s="7"/>
      <c r="E1714" s="6"/>
    </row>
    <row r="1715">
      <c r="A1715" s="10"/>
      <c r="B1715" s="6"/>
      <c r="C1715" s="6"/>
      <c r="D1715" s="7"/>
      <c r="E1715" s="6"/>
    </row>
    <row r="1716">
      <c r="A1716" s="10"/>
      <c r="B1716" s="6"/>
      <c r="C1716" s="6"/>
      <c r="D1716" s="7"/>
      <c r="E1716" s="6"/>
    </row>
    <row r="1717">
      <c r="A1717" s="10"/>
      <c r="B1717" s="6"/>
      <c r="C1717" s="6"/>
      <c r="D1717" s="7"/>
      <c r="E1717" s="6"/>
    </row>
    <row r="1718">
      <c r="A1718" s="10"/>
      <c r="B1718" s="6"/>
      <c r="C1718" s="6"/>
      <c r="D1718" s="7"/>
      <c r="E1718" s="6"/>
    </row>
    <row r="1719">
      <c r="A1719" s="10"/>
      <c r="B1719" s="6"/>
      <c r="C1719" s="6"/>
      <c r="D1719" s="7"/>
      <c r="E1719" s="6"/>
    </row>
    <row r="1720">
      <c r="A1720" s="10"/>
      <c r="B1720" s="6"/>
      <c r="C1720" s="6"/>
      <c r="D1720" s="7"/>
      <c r="E1720" s="6"/>
    </row>
    <row r="1721">
      <c r="A1721" s="10"/>
      <c r="B1721" s="6"/>
      <c r="C1721" s="6"/>
      <c r="D1721" s="7"/>
      <c r="E1721" s="6"/>
    </row>
    <row r="1722">
      <c r="A1722" s="10"/>
      <c r="B1722" s="6"/>
      <c r="C1722" s="6"/>
      <c r="D1722" s="7"/>
      <c r="E1722" s="6"/>
    </row>
    <row r="1723">
      <c r="A1723" s="10"/>
      <c r="B1723" s="6"/>
      <c r="C1723" s="6"/>
      <c r="D1723" s="7"/>
      <c r="E1723" s="6"/>
    </row>
    <row r="1724">
      <c r="A1724" s="10"/>
      <c r="B1724" s="6"/>
      <c r="C1724" s="6"/>
      <c r="D1724" s="7"/>
      <c r="E1724" s="6"/>
    </row>
    <row r="1725">
      <c r="A1725" s="10"/>
      <c r="B1725" s="6"/>
      <c r="C1725" s="6"/>
      <c r="D1725" s="7"/>
      <c r="E1725" s="6"/>
    </row>
    <row r="1726">
      <c r="A1726" s="10"/>
      <c r="B1726" s="6"/>
      <c r="C1726" s="6"/>
      <c r="D1726" s="7"/>
      <c r="E1726" s="6"/>
    </row>
    <row r="1727">
      <c r="A1727" s="10"/>
      <c r="B1727" s="6"/>
      <c r="C1727" s="6"/>
      <c r="D1727" s="7"/>
      <c r="E1727" s="6"/>
    </row>
    <row r="1728">
      <c r="A1728" s="10"/>
      <c r="B1728" s="6"/>
      <c r="C1728" s="6"/>
      <c r="D1728" s="7"/>
      <c r="E1728" s="6"/>
    </row>
    <row r="1729">
      <c r="A1729" s="10"/>
      <c r="B1729" s="6"/>
      <c r="C1729" s="6"/>
      <c r="D1729" s="7"/>
      <c r="E1729" s="6"/>
    </row>
    <row r="1730">
      <c r="A1730" s="10"/>
      <c r="B1730" s="6"/>
      <c r="C1730" s="6"/>
      <c r="D1730" s="7"/>
      <c r="E1730" s="6"/>
    </row>
    <row r="1731">
      <c r="A1731" s="10"/>
      <c r="B1731" s="6"/>
      <c r="C1731" s="6"/>
      <c r="D1731" s="7"/>
      <c r="E1731" s="6"/>
    </row>
    <row r="1732">
      <c r="A1732" s="10"/>
      <c r="B1732" s="6"/>
      <c r="C1732" s="6"/>
      <c r="D1732" s="7"/>
      <c r="E1732" s="6"/>
    </row>
    <row r="1733">
      <c r="A1733" s="10"/>
      <c r="B1733" s="6"/>
      <c r="C1733" s="6"/>
      <c r="D1733" s="7"/>
      <c r="E1733" s="6"/>
    </row>
    <row r="1734">
      <c r="A1734" s="10"/>
      <c r="B1734" s="6"/>
      <c r="C1734" s="6"/>
      <c r="D1734" s="7"/>
      <c r="E1734" s="6"/>
    </row>
    <row r="1735">
      <c r="A1735" s="10"/>
      <c r="B1735" s="6"/>
      <c r="C1735" s="6"/>
      <c r="D1735" s="7"/>
      <c r="E1735" s="6"/>
    </row>
    <row r="1736">
      <c r="A1736" s="10"/>
      <c r="B1736" s="6"/>
      <c r="C1736" s="6"/>
      <c r="D1736" s="7"/>
      <c r="E1736" s="6"/>
    </row>
    <row r="1737">
      <c r="A1737" s="10"/>
      <c r="B1737" s="6"/>
      <c r="C1737" s="6"/>
      <c r="D1737" s="7"/>
      <c r="E1737" s="6"/>
    </row>
    <row r="1738">
      <c r="A1738" s="10"/>
      <c r="B1738" s="6"/>
      <c r="C1738" s="6"/>
      <c r="D1738" s="7"/>
      <c r="E1738" s="6"/>
    </row>
    <row r="1739">
      <c r="A1739" s="10"/>
      <c r="B1739" s="6"/>
      <c r="C1739" s="6"/>
      <c r="D1739" s="7"/>
      <c r="E1739" s="6"/>
    </row>
    <row r="1740">
      <c r="A1740" s="10"/>
      <c r="B1740" s="6"/>
      <c r="C1740" s="6"/>
      <c r="D1740" s="7"/>
      <c r="E1740" s="6"/>
    </row>
    <row r="1741">
      <c r="A1741" s="10"/>
      <c r="B1741" s="6"/>
      <c r="C1741" s="6"/>
      <c r="D1741" s="7"/>
      <c r="E1741" s="6"/>
    </row>
    <row r="1742">
      <c r="A1742" s="10"/>
      <c r="B1742" s="6"/>
      <c r="C1742" s="6"/>
      <c r="D1742" s="7"/>
      <c r="E1742" s="6"/>
    </row>
    <row r="1743">
      <c r="A1743" s="10"/>
      <c r="B1743" s="6"/>
      <c r="C1743" s="6"/>
      <c r="D1743" s="7"/>
      <c r="E1743" s="6"/>
    </row>
    <row r="1744">
      <c r="A1744" s="10"/>
      <c r="B1744" s="6"/>
      <c r="C1744" s="6"/>
      <c r="D1744" s="7"/>
      <c r="E1744" s="6"/>
    </row>
    <row r="1745">
      <c r="A1745" s="10"/>
      <c r="B1745" s="6"/>
      <c r="C1745" s="6"/>
      <c r="D1745" s="7"/>
      <c r="E1745" s="6"/>
    </row>
    <row r="1746">
      <c r="A1746" s="10"/>
      <c r="B1746" s="6"/>
      <c r="C1746" s="6"/>
      <c r="D1746" s="7"/>
      <c r="E1746" s="6"/>
    </row>
    <row r="1747">
      <c r="A1747" s="10"/>
      <c r="B1747" s="6"/>
      <c r="C1747" s="6"/>
      <c r="D1747" s="7"/>
      <c r="E1747" s="6"/>
    </row>
    <row r="1748">
      <c r="A1748" s="10"/>
      <c r="B1748" s="6"/>
      <c r="C1748" s="6"/>
      <c r="D1748" s="7"/>
      <c r="E1748" s="6"/>
    </row>
    <row r="1749">
      <c r="A1749" s="10"/>
      <c r="B1749" s="6"/>
      <c r="C1749" s="6"/>
      <c r="D1749" s="7"/>
      <c r="E1749" s="6"/>
    </row>
    <row r="1750">
      <c r="A1750" s="10"/>
      <c r="B1750" s="6"/>
      <c r="C1750" s="6"/>
      <c r="D1750" s="7"/>
      <c r="E1750" s="6"/>
    </row>
    <row r="1751">
      <c r="A1751" s="10"/>
      <c r="B1751" s="6"/>
      <c r="C1751" s="6"/>
      <c r="D1751" s="7"/>
      <c r="E1751" s="6"/>
    </row>
    <row r="1752">
      <c r="A1752" s="10"/>
      <c r="B1752" s="6"/>
      <c r="C1752" s="6"/>
      <c r="D1752" s="7"/>
      <c r="E1752" s="6"/>
    </row>
    <row r="1753">
      <c r="A1753" s="10"/>
      <c r="B1753" s="6"/>
      <c r="C1753" s="6"/>
      <c r="D1753" s="7"/>
      <c r="E1753" s="6"/>
    </row>
    <row r="1754">
      <c r="A1754" s="10"/>
      <c r="B1754" s="6"/>
      <c r="C1754" s="6"/>
      <c r="D1754" s="7"/>
      <c r="E1754" s="6"/>
    </row>
    <row r="1755">
      <c r="A1755" s="10"/>
      <c r="B1755" s="6"/>
      <c r="C1755" s="6"/>
      <c r="D1755" s="7"/>
      <c r="E1755" s="6"/>
    </row>
    <row r="1756">
      <c r="A1756" s="10"/>
      <c r="B1756" s="6"/>
      <c r="C1756" s="6"/>
      <c r="D1756" s="7"/>
      <c r="E1756" s="6"/>
    </row>
    <row r="1757">
      <c r="A1757" s="10"/>
      <c r="B1757" s="6"/>
      <c r="C1757" s="6"/>
      <c r="D1757" s="7"/>
      <c r="E1757" s="6"/>
    </row>
    <row r="1758">
      <c r="A1758" s="10"/>
      <c r="B1758" s="6"/>
      <c r="C1758" s="6"/>
      <c r="D1758" s="7"/>
      <c r="E1758" s="6"/>
    </row>
    <row r="1759">
      <c r="A1759" s="10"/>
      <c r="B1759" s="6"/>
      <c r="C1759" s="6"/>
      <c r="D1759" s="7"/>
      <c r="E1759" s="6"/>
    </row>
    <row r="1760">
      <c r="A1760" s="10"/>
      <c r="B1760" s="6"/>
      <c r="C1760" s="6"/>
      <c r="D1760" s="7"/>
      <c r="E1760" s="6"/>
    </row>
    <row r="1761">
      <c r="A1761" s="10"/>
      <c r="B1761" s="6"/>
      <c r="C1761" s="6"/>
      <c r="D1761" s="7"/>
      <c r="E1761" s="6"/>
    </row>
    <row r="1762">
      <c r="A1762" s="10"/>
      <c r="B1762" s="6"/>
      <c r="C1762" s="6"/>
      <c r="D1762" s="7"/>
      <c r="E1762" s="6"/>
    </row>
    <row r="1763">
      <c r="A1763" s="10"/>
      <c r="B1763" s="6"/>
      <c r="C1763" s="6"/>
      <c r="D1763" s="7"/>
      <c r="E1763" s="6"/>
    </row>
    <row r="1764">
      <c r="A1764" s="10"/>
      <c r="B1764" s="6"/>
      <c r="C1764" s="6"/>
      <c r="D1764" s="7"/>
      <c r="E1764" s="6"/>
    </row>
    <row r="1765">
      <c r="A1765" s="10"/>
      <c r="B1765" s="6"/>
      <c r="C1765" s="6"/>
      <c r="D1765" s="7"/>
      <c r="E1765" s="6"/>
    </row>
    <row r="1766">
      <c r="A1766" s="10"/>
      <c r="B1766" s="6"/>
      <c r="C1766" s="6"/>
      <c r="D1766" s="7"/>
      <c r="E1766" s="6"/>
    </row>
    <row r="1767">
      <c r="A1767" s="10"/>
      <c r="B1767" s="6"/>
      <c r="C1767" s="6"/>
      <c r="D1767" s="7"/>
      <c r="E1767" s="6"/>
    </row>
    <row r="1768">
      <c r="A1768" s="10"/>
      <c r="B1768" s="6"/>
      <c r="C1768" s="6"/>
      <c r="D1768" s="7"/>
      <c r="E1768" s="6"/>
    </row>
    <row r="1769">
      <c r="A1769" s="10"/>
      <c r="B1769" s="6"/>
      <c r="C1769" s="6"/>
      <c r="D1769" s="7"/>
      <c r="E1769" s="6"/>
    </row>
    <row r="1770">
      <c r="A1770" s="10"/>
      <c r="B1770" s="6"/>
      <c r="C1770" s="6"/>
      <c r="D1770" s="7"/>
      <c r="E1770" s="6"/>
    </row>
    <row r="1771">
      <c r="A1771" s="10"/>
      <c r="B1771" s="6"/>
      <c r="C1771" s="6"/>
      <c r="D1771" s="7"/>
      <c r="E1771" s="6"/>
    </row>
    <row r="1772">
      <c r="A1772" s="10"/>
      <c r="B1772" s="6"/>
      <c r="C1772" s="6"/>
      <c r="D1772" s="7"/>
      <c r="E1772" s="6"/>
    </row>
    <row r="1773">
      <c r="A1773" s="10"/>
      <c r="B1773" s="6"/>
      <c r="C1773" s="6"/>
      <c r="D1773" s="7"/>
      <c r="E1773" s="6"/>
    </row>
    <row r="1774">
      <c r="A1774" s="10"/>
      <c r="B1774" s="6"/>
      <c r="C1774" s="6"/>
      <c r="D1774" s="7"/>
      <c r="E1774" s="6"/>
    </row>
    <row r="1775">
      <c r="A1775" s="10"/>
      <c r="B1775" s="6"/>
      <c r="C1775" s="6"/>
      <c r="D1775" s="7"/>
      <c r="E1775" s="6"/>
    </row>
    <row r="1776">
      <c r="A1776" s="10"/>
      <c r="B1776" s="6"/>
      <c r="C1776" s="6"/>
      <c r="D1776" s="7"/>
      <c r="E1776" s="6"/>
    </row>
    <row r="1777">
      <c r="A1777" s="10"/>
      <c r="B1777" s="6"/>
      <c r="C1777" s="6"/>
      <c r="D1777" s="7"/>
      <c r="E1777" s="6"/>
    </row>
    <row r="1778">
      <c r="A1778" s="10"/>
      <c r="B1778" s="6"/>
      <c r="C1778" s="6"/>
      <c r="D1778" s="7"/>
      <c r="E1778" s="6"/>
    </row>
    <row r="1779">
      <c r="A1779" s="10"/>
      <c r="B1779" s="6"/>
      <c r="C1779" s="6"/>
      <c r="D1779" s="7"/>
      <c r="E1779" s="6"/>
    </row>
    <row r="1780">
      <c r="A1780" s="10"/>
      <c r="B1780" s="6"/>
      <c r="C1780" s="6"/>
      <c r="D1780" s="7"/>
      <c r="E1780" s="6"/>
    </row>
    <row r="1781">
      <c r="A1781" s="10"/>
      <c r="B1781" s="6"/>
      <c r="C1781" s="6"/>
      <c r="D1781" s="7"/>
      <c r="E1781" s="6"/>
    </row>
    <row r="1782">
      <c r="A1782" s="10"/>
      <c r="B1782" s="6"/>
      <c r="C1782" s="6"/>
      <c r="D1782" s="7"/>
      <c r="E1782" s="6"/>
    </row>
    <row r="1783">
      <c r="A1783" s="10"/>
      <c r="B1783" s="6"/>
      <c r="C1783" s="6"/>
      <c r="D1783" s="7"/>
      <c r="E1783" s="6"/>
    </row>
    <row r="1784">
      <c r="A1784" s="10"/>
      <c r="B1784" s="6"/>
      <c r="C1784" s="6"/>
      <c r="D1784" s="7"/>
      <c r="E1784" s="6"/>
    </row>
    <row r="1785">
      <c r="A1785" s="10"/>
      <c r="B1785" s="6"/>
      <c r="C1785" s="6"/>
      <c r="D1785" s="7"/>
      <c r="E1785" s="6"/>
    </row>
    <row r="1786">
      <c r="A1786" s="10"/>
      <c r="B1786" s="6"/>
      <c r="C1786" s="6"/>
      <c r="D1786" s="7"/>
      <c r="E1786" s="6"/>
    </row>
    <row r="1787">
      <c r="A1787" s="10"/>
      <c r="B1787" s="6"/>
      <c r="C1787" s="6"/>
      <c r="D1787" s="7"/>
      <c r="E1787" s="6"/>
    </row>
    <row r="1788">
      <c r="A1788" s="10"/>
      <c r="B1788" s="6"/>
      <c r="C1788" s="6"/>
      <c r="D1788" s="7"/>
      <c r="E1788" s="6"/>
    </row>
    <row r="1789">
      <c r="A1789" s="10"/>
      <c r="B1789" s="6"/>
      <c r="C1789" s="6"/>
      <c r="D1789" s="7"/>
      <c r="E1789" s="6"/>
    </row>
    <row r="1790">
      <c r="A1790" s="10"/>
      <c r="B1790" s="6"/>
      <c r="C1790" s="6"/>
      <c r="D1790" s="7"/>
      <c r="E1790" s="6"/>
    </row>
    <row r="1791">
      <c r="A1791" s="10"/>
      <c r="B1791" s="6"/>
      <c r="C1791" s="6"/>
      <c r="D1791" s="7"/>
      <c r="E1791" s="6"/>
    </row>
    <row r="1792">
      <c r="A1792" s="10"/>
      <c r="B1792" s="6"/>
      <c r="C1792" s="6"/>
      <c r="D1792" s="7"/>
      <c r="E1792" s="6"/>
    </row>
    <row r="1793">
      <c r="A1793" s="10"/>
      <c r="B1793" s="6"/>
      <c r="C1793" s="6"/>
      <c r="D1793" s="7"/>
      <c r="E1793" s="6"/>
    </row>
    <row r="1794">
      <c r="A1794" s="10"/>
      <c r="B1794" s="6"/>
      <c r="C1794" s="6"/>
      <c r="D1794" s="7"/>
      <c r="E1794" s="6"/>
    </row>
    <row r="1795">
      <c r="A1795" s="10"/>
      <c r="B1795" s="6"/>
      <c r="C1795" s="6"/>
      <c r="D1795" s="7"/>
      <c r="E1795" s="6"/>
    </row>
    <row r="1796">
      <c r="A1796" s="10"/>
      <c r="B1796" s="6"/>
      <c r="C1796" s="6"/>
      <c r="D1796" s="7"/>
      <c r="E1796" s="6"/>
    </row>
    <row r="1797">
      <c r="A1797" s="10"/>
      <c r="B1797" s="6"/>
      <c r="C1797" s="6"/>
      <c r="D1797" s="7"/>
      <c r="E1797" s="6"/>
    </row>
    <row r="1798">
      <c r="A1798" s="10"/>
      <c r="B1798" s="6"/>
      <c r="C1798" s="6"/>
      <c r="D1798" s="7"/>
      <c r="E1798" s="6"/>
    </row>
    <row r="1799">
      <c r="A1799" s="10"/>
      <c r="B1799" s="6"/>
      <c r="C1799" s="6"/>
      <c r="D1799" s="7"/>
      <c r="E1799" s="6"/>
    </row>
    <row r="1800">
      <c r="A1800" s="10"/>
      <c r="B1800" s="6"/>
      <c r="C1800" s="6"/>
      <c r="D1800" s="7"/>
      <c r="E1800" s="6"/>
    </row>
    <row r="1801">
      <c r="A1801" s="10"/>
      <c r="B1801" s="6"/>
      <c r="C1801" s="6"/>
      <c r="D1801" s="7"/>
      <c r="E1801" s="6"/>
    </row>
    <row r="1802">
      <c r="A1802" s="10"/>
      <c r="B1802" s="6"/>
      <c r="C1802" s="6"/>
      <c r="D1802" s="7"/>
      <c r="E1802" s="6"/>
    </row>
    <row r="1803">
      <c r="A1803" s="10"/>
      <c r="B1803" s="6"/>
      <c r="C1803" s="6"/>
      <c r="D1803" s="7"/>
      <c r="E1803" s="6"/>
    </row>
    <row r="1804">
      <c r="A1804" s="10"/>
      <c r="B1804" s="6"/>
      <c r="C1804" s="6"/>
      <c r="D1804" s="7"/>
      <c r="E1804" s="6"/>
    </row>
    <row r="1805">
      <c r="A1805" s="10"/>
      <c r="B1805" s="6"/>
      <c r="C1805" s="6"/>
      <c r="D1805" s="7"/>
      <c r="E1805" s="6"/>
    </row>
    <row r="1806">
      <c r="A1806" s="10"/>
      <c r="B1806" s="6"/>
      <c r="C1806" s="6"/>
      <c r="D1806" s="7"/>
      <c r="E1806" s="6"/>
    </row>
    <row r="1807">
      <c r="A1807" s="10"/>
      <c r="B1807" s="6"/>
      <c r="C1807" s="6"/>
      <c r="D1807" s="7"/>
      <c r="E1807" s="6"/>
    </row>
    <row r="1808">
      <c r="A1808" s="10"/>
      <c r="B1808" s="6"/>
      <c r="C1808" s="6"/>
      <c r="D1808" s="7"/>
      <c r="E1808" s="6"/>
    </row>
    <row r="1809">
      <c r="A1809" s="10"/>
      <c r="B1809" s="6"/>
      <c r="C1809" s="6"/>
      <c r="D1809" s="7"/>
      <c r="E1809" s="6"/>
    </row>
    <row r="1810">
      <c r="A1810" s="10"/>
      <c r="B1810" s="6"/>
      <c r="C1810" s="6"/>
      <c r="D1810" s="7"/>
      <c r="E1810" s="6"/>
    </row>
    <row r="1811">
      <c r="A1811" s="10"/>
      <c r="B1811" s="6"/>
      <c r="C1811" s="6"/>
      <c r="D1811" s="7"/>
      <c r="E1811" s="6"/>
    </row>
    <row r="1812">
      <c r="A1812" s="10"/>
      <c r="B1812" s="6"/>
      <c r="C1812" s="6"/>
      <c r="D1812" s="7"/>
      <c r="E1812" s="6"/>
    </row>
    <row r="1813">
      <c r="A1813" s="10"/>
      <c r="B1813" s="6"/>
      <c r="C1813" s="6"/>
      <c r="D1813" s="7"/>
      <c r="E1813" s="6"/>
    </row>
    <row r="1814">
      <c r="A1814" s="10"/>
      <c r="B1814" s="6"/>
      <c r="C1814" s="6"/>
      <c r="D1814" s="7"/>
      <c r="E1814" s="6"/>
    </row>
    <row r="1815">
      <c r="A1815" s="10"/>
      <c r="B1815" s="6"/>
      <c r="C1815" s="6"/>
      <c r="D1815" s="7"/>
      <c r="E1815" s="6"/>
    </row>
    <row r="1816">
      <c r="A1816" s="10"/>
      <c r="B1816" s="6"/>
      <c r="C1816" s="6"/>
      <c r="D1816" s="7"/>
      <c r="E1816" s="6"/>
    </row>
    <row r="1817">
      <c r="A1817" s="10"/>
      <c r="B1817" s="6"/>
      <c r="C1817" s="6"/>
      <c r="D1817" s="7"/>
      <c r="E1817" s="6"/>
    </row>
    <row r="1818">
      <c r="A1818" s="10"/>
      <c r="B1818" s="6"/>
      <c r="C1818" s="6"/>
      <c r="D1818" s="7"/>
      <c r="E1818" s="6"/>
    </row>
    <row r="1819">
      <c r="A1819" s="10"/>
      <c r="B1819" s="6"/>
      <c r="C1819" s="6"/>
      <c r="D1819" s="7"/>
      <c r="E1819" s="6"/>
    </row>
    <row r="1820">
      <c r="A1820" s="10"/>
      <c r="B1820" s="6"/>
      <c r="C1820" s="6"/>
      <c r="D1820" s="7"/>
      <c r="E1820" s="6"/>
    </row>
    <row r="1821">
      <c r="A1821" s="10"/>
      <c r="B1821" s="6"/>
      <c r="C1821" s="6"/>
      <c r="D1821" s="7"/>
      <c r="E1821" s="6"/>
    </row>
    <row r="1822">
      <c r="A1822" s="10"/>
      <c r="B1822" s="6"/>
      <c r="C1822" s="6"/>
      <c r="D1822" s="7"/>
      <c r="E1822" s="6"/>
    </row>
    <row r="1823">
      <c r="A1823" s="10"/>
      <c r="B1823" s="6"/>
      <c r="C1823" s="6"/>
      <c r="D1823" s="7"/>
      <c r="E1823" s="6"/>
    </row>
    <row r="1824">
      <c r="A1824" s="10"/>
      <c r="B1824" s="6"/>
      <c r="C1824" s="6"/>
      <c r="D1824" s="7"/>
      <c r="E1824" s="6"/>
    </row>
    <row r="1825">
      <c r="A1825" s="10"/>
      <c r="B1825" s="6"/>
      <c r="C1825" s="6"/>
      <c r="D1825" s="7"/>
      <c r="E1825" s="6"/>
    </row>
    <row r="1826">
      <c r="A1826" s="10"/>
      <c r="B1826" s="6"/>
      <c r="C1826" s="6"/>
      <c r="D1826" s="7"/>
      <c r="E1826" s="6"/>
    </row>
    <row r="1827">
      <c r="A1827" s="10"/>
      <c r="B1827" s="6"/>
      <c r="C1827" s="6"/>
      <c r="D1827" s="7"/>
      <c r="E1827" s="6"/>
    </row>
    <row r="1828">
      <c r="A1828" s="10"/>
      <c r="B1828" s="6"/>
      <c r="C1828" s="6"/>
      <c r="D1828" s="7"/>
      <c r="E1828" s="6"/>
    </row>
    <row r="1829">
      <c r="A1829" s="10"/>
      <c r="B1829" s="6"/>
      <c r="C1829" s="6"/>
      <c r="D1829" s="7"/>
      <c r="E1829" s="6"/>
    </row>
    <row r="1830">
      <c r="A1830" s="10"/>
      <c r="B1830" s="6"/>
      <c r="C1830" s="6"/>
      <c r="D1830" s="7"/>
      <c r="E1830" s="6"/>
    </row>
    <row r="1831">
      <c r="A1831" s="10"/>
      <c r="B1831" s="6"/>
      <c r="C1831" s="6"/>
      <c r="D1831" s="7"/>
      <c r="E1831" s="6"/>
    </row>
    <row r="1832">
      <c r="A1832" s="10"/>
      <c r="B1832" s="6"/>
      <c r="C1832" s="6"/>
      <c r="D1832" s="7"/>
      <c r="E1832" s="6"/>
    </row>
    <row r="1833">
      <c r="A1833" s="10"/>
      <c r="B1833" s="6"/>
      <c r="C1833" s="6"/>
      <c r="D1833" s="7"/>
      <c r="E1833" s="6"/>
    </row>
    <row r="1834">
      <c r="A1834" s="10"/>
      <c r="B1834" s="6"/>
      <c r="C1834" s="6"/>
      <c r="D1834" s="7"/>
      <c r="E1834" s="6"/>
    </row>
    <row r="1835">
      <c r="A1835" s="10"/>
      <c r="B1835" s="6"/>
      <c r="C1835" s="6"/>
      <c r="D1835" s="7"/>
      <c r="E1835" s="6"/>
    </row>
    <row r="1836">
      <c r="A1836" s="10"/>
      <c r="B1836" s="6"/>
      <c r="C1836" s="6"/>
      <c r="D1836" s="7"/>
      <c r="E1836" s="6"/>
    </row>
    <row r="1837">
      <c r="A1837" s="10"/>
      <c r="B1837" s="6"/>
      <c r="C1837" s="6"/>
      <c r="D1837" s="7"/>
      <c r="E1837" s="6"/>
    </row>
    <row r="1838">
      <c r="A1838" s="10"/>
      <c r="B1838" s="6"/>
      <c r="C1838" s="6"/>
      <c r="D1838" s="7"/>
      <c r="E1838" s="6"/>
    </row>
    <row r="1839">
      <c r="A1839" s="10"/>
      <c r="B1839" s="6"/>
      <c r="C1839" s="6"/>
      <c r="D1839" s="7"/>
      <c r="E1839" s="6"/>
    </row>
    <row r="1840">
      <c r="A1840" s="10"/>
      <c r="B1840" s="6"/>
      <c r="C1840" s="6"/>
      <c r="D1840" s="7"/>
      <c r="E1840" s="6"/>
    </row>
    <row r="1841">
      <c r="A1841" s="10"/>
      <c r="B1841" s="6"/>
      <c r="C1841" s="6"/>
      <c r="D1841" s="7"/>
      <c r="E1841" s="6"/>
    </row>
    <row r="1842">
      <c r="A1842" s="10"/>
      <c r="B1842" s="6"/>
      <c r="C1842" s="6"/>
      <c r="D1842" s="7"/>
      <c r="E1842" s="6"/>
    </row>
    <row r="1843">
      <c r="A1843" s="10"/>
      <c r="B1843" s="6"/>
      <c r="C1843" s="6"/>
      <c r="D1843" s="7"/>
      <c r="E1843" s="6"/>
    </row>
    <row r="1844">
      <c r="A1844" s="10"/>
      <c r="B1844" s="6"/>
      <c r="C1844" s="6"/>
      <c r="D1844" s="7"/>
      <c r="E1844" s="6"/>
    </row>
    <row r="1845">
      <c r="A1845" s="10"/>
      <c r="B1845" s="6"/>
      <c r="C1845" s="6"/>
      <c r="D1845" s="7"/>
      <c r="E1845" s="6"/>
    </row>
    <row r="1846">
      <c r="A1846" s="10"/>
      <c r="B1846" s="6"/>
      <c r="C1846" s="6"/>
      <c r="D1846" s="7"/>
      <c r="E1846" s="6"/>
    </row>
    <row r="1847">
      <c r="A1847" s="10"/>
      <c r="B1847" s="6"/>
      <c r="C1847" s="6"/>
      <c r="D1847" s="7"/>
      <c r="E1847" s="6"/>
    </row>
    <row r="1848">
      <c r="A1848" s="10"/>
      <c r="B1848" s="6"/>
      <c r="C1848" s="6"/>
      <c r="D1848" s="7"/>
      <c r="E1848" s="6"/>
    </row>
    <row r="1849">
      <c r="A1849" s="10"/>
      <c r="B1849" s="6"/>
      <c r="C1849" s="6"/>
      <c r="D1849" s="7"/>
      <c r="E1849" s="6"/>
    </row>
    <row r="1850">
      <c r="A1850" s="10"/>
      <c r="B1850" s="6"/>
      <c r="C1850" s="6"/>
      <c r="D1850" s="7"/>
      <c r="E1850" s="6"/>
    </row>
    <row r="1851">
      <c r="A1851" s="10"/>
      <c r="B1851" s="6"/>
      <c r="C1851" s="6"/>
      <c r="D1851" s="7"/>
      <c r="E1851" s="6"/>
    </row>
    <row r="1852">
      <c r="A1852" s="10"/>
      <c r="B1852" s="6"/>
      <c r="C1852" s="6"/>
      <c r="D1852" s="7"/>
      <c r="E1852" s="6"/>
    </row>
    <row r="1853">
      <c r="A1853" s="10"/>
      <c r="B1853" s="6"/>
      <c r="C1853" s="6"/>
      <c r="D1853" s="7"/>
      <c r="E1853" s="6"/>
    </row>
    <row r="1854">
      <c r="A1854" s="10"/>
      <c r="B1854" s="6"/>
      <c r="C1854" s="6"/>
      <c r="D1854" s="7"/>
      <c r="E1854" s="6"/>
    </row>
    <row r="1855">
      <c r="A1855" s="10"/>
      <c r="B1855" s="6"/>
      <c r="C1855" s="6"/>
      <c r="D1855" s="7"/>
      <c r="E1855" s="6"/>
    </row>
    <row r="1856">
      <c r="A1856" s="10"/>
      <c r="B1856" s="6"/>
      <c r="C1856" s="6"/>
      <c r="D1856" s="7"/>
      <c r="E1856" s="6"/>
    </row>
    <row r="1857">
      <c r="A1857" s="10"/>
      <c r="B1857" s="6"/>
      <c r="C1857" s="6"/>
      <c r="D1857" s="7"/>
      <c r="E1857" s="6"/>
    </row>
    <row r="1858">
      <c r="A1858" s="10"/>
      <c r="B1858" s="6"/>
      <c r="C1858" s="6"/>
      <c r="D1858" s="7"/>
      <c r="E1858" s="6"/>
    </row>
    <row r="1859">
      <c r="A1859" s="10"/>
      <c r="B1859" s="6"/>
      <c r="C1859" s="6"/>
      <c r="D1859" s="7"/>
      <c r="E1859" s="6"/>
    </row>
    <row r="1860">
      <c r="A1860" s="10"/>
      <c r="B1860" s="6"/>
      <c r="C1860" s="6"/>
      <c r="D1860" s="7"/>
      <c r="E1860" s="6"/>
    </row>
    <row r="1861">
      <c r="A1861" s="10"/>
      <c r="B1861" s="6"/>
      <c r="C1861" s="6"/>
      <c r="D1861" s="7"/>
      <c r="E1861" s="6"/>
    </row>
    <row r="1862">
      <c r="A1862" s="10"/>
      <c r="B1862" s="6"/>
      <c r="C1862" s="6"/>
      <c r="D1862" s="7"/>
      <c r="E1862" s="6"/>
    </row>
    <row r="1863">
      <c r="A1863" s="10"/>
      <c r="B1863" s="6"/>
      <c r="C1863" s="6"/>
      <c r="D1863" s="7"/>
      <c r="E1863" s="6"/>
    </row>
    <row r="1864">
      <c r="A1864" s="10"/>
      <c r="B1864" s="6"/>
      <c r="C1864" s="6"/>
      <c r="D1864" s="7"/>
      <c r="E1864" s="6"/>
    </row>
    <row r="1865">
      <c r="A1865" s="10"/>
      <c r="B1865" s="6"/>
      <c r="C1865" s="6"/>
      <c r="D1865" s="7"/>
      <c r="E1865" s="6"/>
    </row>
    <row r="1866">
      <c r="A1866" s="10"/>
      <c r="B1866" s="6"/>
      <c r="C1866" s="6"/>
      <c r="D1866" s="7"/>
      <c r="E1866" s="6"/>
    </row>
    <row r="1867">
      <c r="A1867" s="10"/>
      <c r="B1867" s="6"/>
      <c r="C1867" s="6"/>
      <c r="D1867" s="7"/>
      <c r="E1867" s="6"/>
    </row>
    <row r="1868">
      <c r="A1868" s="10"/>
      <c r="B1868" s="6"/>
      <c r="C1868" s="6"/>
      <c r="D1868" s="7"/>
      <c r="E1868" s="6"/>
    </row>
    <row r="1869">
      <c r="A1869" s="10"/>
      <c r="B1869" s="6"/>
      <c r="C1869" s="6"/>
      <c r="D1869" s="7"/>
      <c r="E1869" s="6"/>
    </row>
    <row r="1870">
      <c r="A1870" s="10"/>
      <c r="B1870" s="6"/>
      <c r="C1870" s="6"/>
      <c r="D1870" s="7"/>
      <c r="E1870" s="6"/>
    </row>
    <row r="1871">
      <c r="A1871" s="10"/>
      <c r="B1871" s="6"/>
      <c r="C1871" s="6"/>
      <c r="D1871" s="7"/>
      <c r="E1871" s="6"/>
    </row>
    <row r="1872">
      <c r="A1872" s="10"/>
      <c r="B1872" s="6"/>
      <c r="C1872" s="6"/>
      <c r="D1872" s="7"/>
      <c r="E1872" s="6"/>
    </row>
    <row r="1873">
      <c r="A1873" s="10"/>
      <c r="B1873" s="6"/>
      <c r="C1873" s="6"/>
      <c r="D1873" s="7"/>
      <c r="E1873" s="6"/>
    </row>
    <row r="1874">
      <c r="A1874" s="10"/>
      <c r="B1874" s="6"/>
      <c r="C1874" s="6"/>
      <c r="D1874" s="7"/>
      <c r="E1874" s="6"/>
    </row>
    <row r="1875">
      <c r="A1875" s="10"/>
      <c r="B1875" s="6"/>
      <c r="C1875" s="6"/>
      <c r="D1875" s="7"/>
      <c r="E1875" s="6"/>
    </row>
    <row r="1876">
      <c r="A1876" s="10"/>
      <c r="B1876" s="6"/>
      <c r="C1876" s="6"/>
      <c r="D1876" s="7"/>
      <c r="E1876" s="6"/>
    </row>
    <row r="1877">
      <c r="A1877" s="10"/>
      <c r="B1877" s="6"/>
      <c r="C1877" s="6"/>
      <c r="D1877" s="7"/>
      <c r="E1877" s="6"/>
    </row>
    <row r="1878">
      <c r="A1878" s="10"/>
      <c r="B1878" s="6"/>
      <c r="C1878" s="6"/>
      <c r="D1878" s="7"/>
      <c r="E1878" s="6"/>
    </row>
    <row r="1879">
      <c r="A1879" s="10"/>
      <c r="B1879" s="6"/>
      <c r="C1879" s="6"/>
      <c r="D1879" s="7"/>
      <c r="E1879" s="6"/>
    </row>
    <row r="1880">
      <c r="A1880" s="10"/>
      <c r="B1880" s="6"/>
      <c r="C1880" s="6"/>
      <c r="D1880" s="7"/>
      <c r="E1880" s="6"/>
    </row>
    <row r="1881">
      <c r="A1881" s="10"/>
      <c r="B1881" s="6"/>
      <c r="C1881" s="6"/>
      <c r="D1881" s="7"/>
      <c r="E1881" s="6"/>
    </row>
    <row r="1882">
      <c r="A1882" s="10"/>
      <c r="B1882" s="6"/>
      <c r="C1882" s="6"/>
      <c r="D1882" s="7"/>
      <c r="E1882" s="6"/>
    </row>
    <row r="1883">
      <c r="A1883" s="10"/>
      <c r="B1883" s="6"/>
      <c r="C1883" s="6"/>
      <c r="D1883" s="7"/>
      <c r="E1883" s="6"/>
    </row>
    <row r="1884">
      <c r="A1884" s="10"/>
      <c r="B1884" s="6"/>
      <c r="C1884" s="6"/>
      <c r="D1884" s="7"/>
      <c r="E1884" s="6"/>
    </row>
    <row r="1885">
      <c r="A1885" s="10"/>
      <c r="B1885" s="6"/>
      <c r="C1885" s="6"/>
      <c r="D1885" s="7"/>
      <c r="E1885" s="6"/>
    </row>
    <row r="1886">
      <c r="A1886" s="10"/>
      <c r="B1886" s="6"/>
      <c r="C1886" s="6"/>
      <c r="D1886" s="7"/>
      <c r="E1886" s="6"/>
    </row>
    <row r="1887">
      <c r="A1887" s="10"/>
      <c r="B1887" s="6"/>
      <c r="C1887" s="6"/>
      <c r="D1887" s="7"/>
      <c r="E1887" s="6"/>
    </row>
    <row r="1888">
      <c r="A1888" s="10"/>
      <c r="B1888" s="6"/>
      <c r="C1888" s="6"/>
      <c r="D1888" s="7"/>
      <c r="E1888" s="6"/>
    </row>
    <row r="1889">
      <c r="A1889" s="10"/>
      <c r="B1889" s="6"/>
      <c r="C1889" s="6"/>
      <c r="D1889" s="7"/>
      <c r="E1889" s="6"/>
    </row>
    <row r="1890">
      <c r="A1890" s="10"/>
      <c r="B1890" s="6"/>
      <c r="C1890" s="6"/>
      <c r="D1890" s="7"/>
      <c r="E1890" s="6"/>
    </row>
    <row r="1891">
      <c r="A1891" s="10"/>
      <c r="B1891" s="6"/>
      <c r="C1891" s="6"/>
      <c r="D1891" s="7"/>
      <c r="E1891" s="6"/>
    </row>
    <row r="1892">
      <c r="A1892" s="10"/>
      <c r="B1892" s="6"/>
      <c r="C1892" s="6"/>
      <c r="D1892" s="7"/>
      <c r="E1892" s="6"/>
    </row>
    <row r="1893">
      <c r="A1893" s="10"/>
      <c r="B1893" s="6"/>
      <c r="C1893" s="6"/>
      <c r="D1893" s="7"/>
      <c r="E1893" s="6"/>
    </row>
    <row r="1894">
      <c r="A1894" s="10"/>
      <c r="B1894" s="6"/>
      <c r="C1894" s="6"/>
      <c r="D1894" s="7"/>
      <c r="E1894" s="6"/>
    </row>
    <row r="1895">
      <c r="A1895" s="10"/>
      <c r="B1895" s="6"/>
      <c r="C1895" s="6"/>
      <c r="D1895" s="7"/>
      <c r="E1895" s="6"/>
    </row>
    <row r="1896">
      <c r="A1896" s="10"/>
      <c r="B1896" s="6"/>
      <c r="C1896" s="6"/>
      <c r="D1896" s="7"/>
      <c r="E1896" s="6"/>
    </row>
    <row r="1897">
      <c r="A1897" s="10"/>
      <c r="B1897" s="6"/>
      <c r="C1897" s="6"/>
      <c r="D1897" s="7"/>
      <c r="E1897" s="6"/>
    </row>
    <row r="1898">
      <c r="A1898" s="10"/>
      <c r="B1898" s="6"/>
      <c r="C1898" s="6"/>
      <c r="D1898" s="7"/>
      <c r="E1898" s="6"/>
    </row>
    <row r="1899">
      <c r="A1899" s="10"/>
      <c r="B1899" s="6"/>
      <c r="C1899" s="6"/>
      <c r="D1899" s="7"/>
      <c r="E1899" s="6"/>
    </row>
    <row r="1900">
      <c r="A1900" s="10"/>
      <c r="B1900" s="6"/>
      <c r="C1900" s="6"/>
      <c r="D1900" s="7"/>
      <c r="E1900" s="6"/>
    </row>
    <row r="1901">
      <c r="A1901" s="10"/>
      <c r="B1901" s="6"/>
      <c r="C1901" s="6"/>
      <c r="D1901" s="7"/>
      <c r="E1901" s="6"/>
    </row>
    <row r="1902">
      <c r="A1902" s="10"/>
      <c r="B1902" s="6"/>
      <c r="C1902" s="6"/>
      <c r="D1902" s="7"/>
      <c r="E1902" s="6"/>
    </row>
    <row r="1903">
      <c r="A1903" s="10"/>
      <c r="B1903" s="6"/>
      <c r="C1903" s="6"/>
      <c r="D1903" s="7"/>
      <c r="E1903" s="6"/>
    </row>
    <row r="1904">
      <c r="A1904" s="10"/>
      <c r="B1904" s="6"/>
      <c r="C1904" s="6"/>
      <c r="D1904" s="7"/>
      <c r="E1904" s="6"/>
    </row>
    <row r="1905">
      <c r="A1905" s="10"/>
      <c r="B1905" s="6"/>
      <c r="C1905" s="6"/>
      <c r="D1905" s="7"/>
      <c r="E1905" s="6"/>
    </row>
    <row r="1906">
      <c r="A1906" s="10"/>
      <c r="B1906" s="6"/>
      <c r="C1906" s="6"/>
      <c r="D1906" s="7"/>
      <c r="E1906" s="6"/>
    </row>
    <row r="1907">
      <c r="A1907" s="10"/>
      <c r="B1907" s="6"/>
      <c r="C1907" s="6"/>
      <c r="D1907" s="7"/>
      <c r="E1907" s="6"/>
    </row>
    <row r="1908">
      <c r="A1908" s="10"/>
      <c r="B1908" s="6"/>
      <c r="C1908" s="6"/>
      <c r="D1908" s="7"/>
      <c r="E1908" s="6"/>
    </row>
    <row r="1909">
      <c r="A1909" s="10"/>
      <c r="B1909" s="6"/>
      <c r="C1909" s="6"/>
      <c r="D1909" s="7"/>
      <c r="E1909" s="6"/>
    </row>
    <row r="1910">
      <c r="A1910" s="10"/>
      <c r="B1910" s="6"/>
      <c r="C1910" s="6"/>
      <c r="D1910" s="7"/>
      <c r="E1910" s="6"/>
    </row>
    <row r="1911">
      <c r="A1911" s="10"/>
      <c r="B1911" s="6"/>
      <c r="C1911" s="6"/>
      <c r="D1911" s="7"/>
      <c r="E1911" s="6"/>
    </row>
    <row r="1912">
      <c r="A1912" s="10"/>
      <c r="B1912" s="6"/>
      <c r="C1912" s="6"/>
      <c r="D1912" s="7"/>
      <c r="E1912" s="6"/>
    </row>
    <row r="1913">
      <c r="A1913" s="10"/>
      <c r="B1913" s="6"/>
      <c r="C1913" s="6"/>
      <c r="D1913" s="7"/>
      <c r="E1913" s="6"/>
    </row>
    <row r="1914">
      <c r="A1914" s="10"/>
      <c r="B1914" s="6"/>
      <c r="C1914" s="6"/>
      <c r="D1914" s="7"/>
      <c r="E1914" s="6"/>
    </row>
    <row r="1915">
      <c r="A1915" s="10"/>
      <c r="B1915" s="6"/>
      <c r="C1915" s="6"/>
      <c r="D1915" s="7"/>
      <c r="E1915" s="6"/>
    </row>
    <row r="1916">
      <c r="A1916" s="10"/>
      <c r="B1916" s="6"/>
      <c r="C1916" s="6"/>
      <c r="D1916" s="7"/>
      <c r="E1916" s="6"/>
    </row>
    <row r="1917">
      <c r="A1917" s="10"/>
      <c r="B1917" s="6"/>
      <c r="C1917" s="6"/>
      <c r="D1917" s="7"/>
      <c r="E1917" s="6"/>
    </row>
    <row r="1918">
      <c r="A1918" s="10"/>
      <c r="B1918" s="6"/>
      <c r="C1918" s="6"/>
      <c r="D1918" s="7"/>
      <c r="E1918" s="6"/>
    </row>
    <row r="1919">
      <c r="A1919" s="10"/>
      <c r="B1919" s="6"/>
      <c r="C1919" s="6"/>
      <c r="D1919" s="7"/>
      <c r="E1919" s="6"/>
    </row>
    <row r="1920">
      <c r="A1920" s="10"/>
      <c r="B1920" s="6"/>
      <c r="C1920" s="6"/>
      <c r="D1920" s="7"/>
      <c r="E1920" s="6"/>
    </row>
    <row r="1921">
      <c r="A1921" s="10"/>
      <c r="B1921" s="6"/>
      <c r="C1921" s="6"/>
      <c r="D1921" s="7"/>
      <c r="E1921" s="6"/>
    </row>
    <row r="1922">
      <c r="A1922" s="10"/>
      <c r="B1922" s="6"/>
      <c r="C1922" s="6"/>
      <c r="D1922" s="7"/>
      <c r="E1922" s="6"/>
    </row>
    <row r="1923">
      <c r="A1923" s="10"/>
      <c r="B1923" s="6"/>
      <c r="C1923" s="6"/>
      <c r="D1923" s="7"/>
      <c r="E1923" s="6"/>
    </row>
    <row r="1924">
      <c r="A1924" s="10"/>
      <c r="B1924" s="6"/>
      <c r="C1924" s="6"/>
      <c r="D1924" s="7"/>
      <c r="E1924" s="6"/>
    </row>
    <row r="1925">
      <c r="A1925" s="10"/>
      <c r="B1925" s="6"/>
      <c r="C1925" s="6"/>
      <c r="D1925" s="7"/>
      <c r="E1925" s="6"/>
    </row>
    <row r="1926">
      <c r="A1926" s="10"/>
      <c r="B1926" s="6"/>
      <c r="C1926" s="6"/>
      <c r="D1926" s="7"/>
      <c r="E1926" s="6"/>
    </row>
    <row r="1927">
      <c r="A1927" s="10"/>
      <c r="B1927" s="6"/>
      <c r="C1927" s="6"/>
      <c r="D1927" s="7"/>
      <c r="E1927" s="6"/>
    </row>
    <row r="1928">
      <c r="A1928" s="10"/>
      <c r="B1928" s="6"/>
      <c r="C1928" s="6"/>
      <c r="D1928" s="7"/>
      <c r="E1928" s="6"/>
    </row>
    <row r="1929">
      <c r="A1929" s="10"/>
      <c r="B1929" s="6"/>
      <c r="C1929" s="6"/>
      <c r="D1929" s="7"/>
      <c r="E1929" s="6"/>
    </row>
    <row r="1930">
      <c r="A1930" s="10"/>
      <c r="B1930" s="6"/>
      <c r="C1930" s="6"/>
      <c r="D1930" s="7"/>
      <c r="E1930" s="6"/>
    </row>
    <row r="1931">
      <c r="A1931" s="10"/>
      <c r="B1931" s="6"/>
      <c r="C1931" s="6"/>
      <c r="D1931" s="7"/>
      <c r="E1931" s="6"/>
    </row>
    <row r="1932">
      <c r="A1932" s="10"/>
      <c r="B1932" s="6"/>
      <c r="C1932" s="6"/>
      <c r="D1932" s="7"/>
      <c r="E1932" s="6"/>
    </row>
    <row r="1933">
      <c r="A1933" s="10"/>
      <c r="B1933" s="6"/>
      <c r="C1933" s="6"/>
      <c r="D1933" s="7"/>
      <c r="E1933" s="6"/>
    </row>
    <row r="1934">
      <c r="A1934" s="10"/>
      <c r="B1934" s="6"/>
      <c r="C1934" s="6"/>
      <c r="D1934" s="7"/>
      <c r="E1934" s="6"/>
    </row>
    <row r="1935">
      <c r="A1935" s="10"/>
      <c r="B1935" s="6"/>
      <c r="C1935" s="6"/>
      <c r="D1935" s="7"/>
      <c r="E1935" s="6"/>
    </row>
    <row r="1936">
      <c r="A1936" s="10"/>
      <c r="B1936" s="6"/>
      <c r="C1936" s="6"/>
      <c r="D1936" s="7"/>
      <c r="E1936" s="6"/>
    </row>
    <row r="1937">
      <c r="A1937" s="10"/>
      <c r="B1937" s="6"/>
      <c r="C1937" s="6"/>
      <c r="D1937" s="7"/>
      <c r="E1937" s="6"/>
    </row>
    <row r="1938">
      <c r="A1938" s="10"/>
      <c r="B1938" s="6"/>
      <c r="C1938" s="6"/>
      <c r="D1938" s="7"/>
      <c r="E1938" s="6"/>
    </row>
    <row r="1939">
      <c r="A1939" s="10"/>
      <c r="B1939" s="6"/>
      <c r="C1939" s="6"/>
      <c r="D1939" s="7"/>
      <c r="E1939" s="6"/>
    </row>
    <row r="1940">
      <c r="A1940" s="10"/>
      <c r="B1940" s="6"/>
      <c r="C1940" s="6"/>
      <c r="D1940" s="7"/>
      <c r="E1940" s="6"/>
    </row>
    <row r="1941">
      <c r="A1941" s="10"/>
      <c r="B1941" s="6"/>
      <c r="C1941" s="6"/>
      <c r="D1941" s="7"/>
      <c r="E1941" s="6"/>
    </row>
    <row r="1942">
      <c r="A1942" s="10"/>
      <c r="B1942" s="6"/>
      <c r="C1942" s="6"/>
      <c r="D1942" s="7"/>
      <c r="E1942" s="6"/>
    </row>
    <row r="1943">
      <c r="A1943" s="10"/>
      <c r="B1943" s="6"/>
      <c r="C1943" s="6"/>
      <c r="D1943" s="7"/>
      <c r="E1943" s="6"/>
    </row>
    <row r="1944">
      <c r="A1944" s="10"/>
      <c r="B1944" s="6"/>
      <c r="C1944" s="6"/>
      <c r="D1944" s="7"/>
      <c r="E1944" s="6"/>
    </row>
    <row r="1945">
      <c r="A1945" s="10"/>
      <c r="B1945" s="6"/>
      <c r="C1945" s="6"/>
      <c r="D1945" s="7"/>
      <c r="E1945" s="6"/>
    </row>
    <row r="1946">
      <c r="A1946" s="10"/>
      <c r="B1946" s="6"/>
      <c r="C1946" s="6"/>
      <c r="D1946" s="7"/>
      <c r="E1946" s="6"/>
    </row>
    <row r="1947">
      <c r="A1947" s="10"/>
      <c r="B1947" s="6"/>
      <c r="C1947" s="6"/>
      <c r="D1947" s="7"/>
      <c r="E1947" s="6"/>
    </row>
    <row r="1948">
      <c r="A1948" s="10"/>
      <c r="B1948" s="6"/>
      <c r="C1948" s="6"/>
      <c r="D1948" s="7"/>
      <c r="E1948" s="6"/>
    </row>
    <row r="1949">
      <c r="A1949" s="10"/>
      <c r="B1949" s="6"/>
      <c r="C1949" s="6"/>
      <c r="D1949" s="7"/>
      <c r="E1949" s="6"/>
    </row>
    <row r="1950">
      <c r="A1950" s="10"/>
      <c r="B1950" s="6"/>
      <c r="C1950" s="6"/>
      <c r="D1950" s="7"/>
      <c r="E1950" s="6"/>
    </row>
    <row r="1951">
      <c r="A1951" s="10"/>
      <c r="B1951" s="6"/>
      <c r="C1951" s="6"/>
      <c r="D1951" s="7"/>
      <c r="E1951" s="6"/>
    </row>
    <row r="1952">
      <c r="A1952" s="10"/>
      <c r="B1952" s="6"/>
      <c r="C1952" s="6"/>
      <c r="D1952" s="7"/>
      <c r="E1952" s="6"/>
    </row>
    <row r="1953">
      <c r="A1953" s="10"/>
      <c r="B1953" s="6"/>
      <c r="C1953" s="6"/>
      <c r="D1953" s="7"/>
      <c r="E1953" s="6"/>
    </row>
    <row r="1954">
      <c r="A1954" s="10"/>
      <c r="B1954" s="6"/>
      <c r="C1954" s="6"/>
      <c r="D1954" s="7"/>
      <c r="E1954" s="6"/>
    </row>
    <row r="1955">
      <c r="A1955" s="10"/>
      <c r="B1955" s="6"/>
      <c r="C1955" s="6"/>
      <c r="D1955" s="7"/>
      <c r="E1955" s="6"/>
    </row>
    <row r="1956">
      <c r="A1956" s="10"/>
      <c r="B1956" s="6"/>
      <c r="C1956" s="6"/>
      <c r="D1956" s="7"/>
      <c r="E1956" s="6"/>
    </row>
    <row r="1957">
      <c r="A1957" s="10"/>
      <c r="B1957" s="6"/>
      <c r="C1957" s="6"/>
      <c r="D1957" s="7"/>
      <c r="E1957" s="6"/>
    </row>
    <row r="1958">
      <c r="A1958" s="10"/>
      <c r="B1958" s="6"/>
      <c r="C1958" s="6"/>
      <c r="D1958" s="7"/>
      <c r="E1958" s="6"/>
    </row>
    <row r="1959">
      <c r="A1959" s="10"/>
      <c r="B1959" s="6"/>
      <c r="C1959" s="6"/>
      <c r="D1959" s="7"/>
      <c r="E1959" s="6"/>
    </row>
    <row r="1960">
      <c r="A1960" s="10"/>
      <c r="B1960" s="6"/>
      <c r="C1960" s="6"/>
      <c r="D1960" s="7"/>
      <c r="E1960" s="6"/>
    </row>
    <row r="1961">
      <c r="A1961" s="10"/>
      <c r="B1961" s="6"/>
      <c r="C1961" s="6"/>
      <c r="D1961" s="7"/>
      <c r="E1961" s="6"/>
    </row>
    <row r="1962">
      <c r="A1962" s="10"/>
      <c r="B1962" s="6"/>
      <c r="C1962" s="6"/>
      <c r="D1962" s="7"/>
      <c r="E1962" s="6"/>
    </row>
    <row r="1963">
      <c r="A1963" s="10"/>
      <c r="B1963" s="6"/>
      <c r="C1963" s="6"/>
      <c r="D1963" s="7"/>
      <c r="E1963" s="6"/>
    </row>
    <row r="1964">
      <c r="A1964" s="10"/>
      <c r="B1964" s="6"/>
      <c r="C1964" s="6"/>
      <c r="D1964" s="7"/>
      <c r="E1964" s="6"/>
    </row>
    <row r="1965">
      <c r="A1965" s="10"/>
      <c r="B1965" s="6"/>
      <c r="C1965" s="6"/>
      <c r="D1965" s="7"/>
      <c r="E1965" s="6"/>
    </row>
    <row r="1966">
      <c r="A1966" s="10"/>
      <c r="B1966" s="6"/>
      <c r="C1966" s="6"/>
      <c r="D1966" s="7"/>
      <c r="E1966" s="6"/>
    </row>
    <row r="1967">
      <c r="A1967" s="10"/>
      <c r="B1967" s="6"/>
      <c r="C1967" s="6"/>
      <c r="D1967" s="7"/>
      <c r="E1967" s="6"/>
    </row>
    <row r="1968">
      <c r="A1968" s="10"/>
      <c r="B1968" s="6"/>
      <c r="C1968" s="6"/>
      <c r="D1968" s="7"/>
      <c r="E1968" s="6"/>
    </row>
    <row r="1969">
      <c r="A1969" s="10"/>
      <c r="B1969" s="6"/>
      <c r="C1969" s="6"/>
      <c r="D1969" s="7"/>
      <c r="E1969" s="6"/>
    </row>
    <row r="1970">
      <c r="A1970" s="10"/>
      <c r="B1970" s="6"/>
      <c r="C1970" s="6"/>
      <c r="D1970" s="7"/>
      <c r="E1970" s="6"/>
    </row>
    <row r="1971">
      <c r="A1971" s="10"/>
      <c r="B1971" s="6"/>
      <c r="C1971" s="6"/>
      <c r="D1971" s="7"/>
      <c r="E1971" s="6"/>
    </row>
    <row r="1972">
      <c r="A1972" s="10"/>
      <c r="B1972" s="6"/>
      <c r="C1972" s="6"/>
      <c r="D1972" s="7"/>
      <c r="E1972" s="6"/>
    </row>
    <row r="1973">
      <c r="A1973" s="10"/>
      <c r="B1973" s="6"/>
      <c r="C1973" s="6"/>
      <c r="D1973" s="7"/>
      <c r="E1973" s="6"/>
    </row>
    <row r="1974">
      <c r="A1974" s="10"/>
      <c r="B1974" s="6"/>
      <c r="C1974" s="6"/>
      <c r="D1974" s="7"/>
      <c r="E1974" s="6"/>
    </row>
    <row r="1975">
      <c r="A1975" s="10"/>
      <c r="B1975" s="6"/>
      <c r="C1975" s="6"/>
      <c r="D1975" s="7"/>
      <c r="E1975" s="6"/>
    </row>
    <row r="1976">
      <c r="A1976" s="10"/>
      <c r="B1976" s="6"/>
      <c r="C1976" s="6"/>
      <c r="D1976" s="7"/>
      <c r="E1976" s="6"/>
    </row>
    <row r="1977">
      <c r="A1977" s="10"/>
      <c r="B1977" s="6"/>
      <c r="C1977" s="6"/>
      <c r="D1977" s="7"/>
      <c r="E1977" s="6"/>
    </row>
    <row r="1978">
      <c r="A1978" s="10"/>
      <c r="B1978" s="6"/>
      <c r="C1978" s="6"/>
      <c r="D1978" s="7"/>
      <c r="E1978" s="6"/>
    </row>
    <row r="1979">
      <c r="A1979" s="10"/>
      <c r="B1979" s="6"/>
      <c r="C1979" s="6"/>
      <c r="D1979" s="7"/>
      <c r="E1979" s="6"/>
    </row>
    <row r="1980">
      <c r="A1980" s="10"/>
      <c r="B1980" s="6"/>
      <c r="C1980" s="6"/>
      <c r="D1980" s="7"/>
      <c r="E1980" s="6"/>
    </row>
    <row r="1981">
      <c r="A1981" s="10"/>
      <c r="B1981" s="6"/>
      <c r="C1981" s="6"/>
      <c r="D1981" s="7"/>
      <c r="E1981" s="6"/>
    </row>
    <row r="1982">
      <c r="A1982" s="10"/>
      <c r="B1982" s="6"/>
      <c r="C1982" s="6"/>
      <c r="D1982" s="7"/>
      <c r="E1982" s="6"/>
    </row>
    <row r="1983">
      <c r="A1983" s="10"/>
      <c r="B1983" s="6"/>
      <c r="C1983" s="6"/>
      <c r="D1983" s="7"/>
      <c r="E1983" s="6"/>
    </row>
    <row r="1984">
      <c r="A1984" s="10"/>
      <c r="B1984" s="6"/>
      <c r="C1984" s="6"/>
      <c r="D1984" s="7"/>
      <c r="E1984" s="6"/>
    </row>
    <row r="1985">
      <c r="A1985" s="10"/>
      <c r="B1985" s="6"/>
      <c r="C1985" s="6"/>
      <c r="D1985" s="7"/>
      <c r="E1985" s="6"/>
    </row>
    <row r="1986">
      <c r="A1986" s="10"/>
      <c r="B1986" s="6"/>
      <c r="C1986" s="6"/>
      <c r="D1986" s="7"/>
      <c r="E1986" s="6"/>
    </row>
    <row r="1987">
      <c r="A1987" s="10"/>
      <c r="B1987" s="6"/>
      <c r="C1987" s="6"/>
      <c r="D1987" s="7"/>
      <c r="E1987" s="6"/>
    </row>
    <row r="1988">
      <c r="A1988" s="10"/>
      <c r="B1988" s="6"/>
      <c r="C1988" s="6"/>
      <c r="D1988" s="7"/>
      <c r="E1988" s="6"/>
    </row>
    <row r="1989">
      <c r="A1989" s="10"/>
      <c r="B1989" s="6"/>
      <c r="C1989" s="6"/>
      <c r="D1989" s="7"/>
      <c r="E1989" s="6"/>
    </row>
    <row r="1990">
      <c r="A1990" s="10"/>
      <c r="B1990" s="6"/>
      <c r="C1990" s="6"/>
      <c r="D1990" s="7"/>
      <c r="E1990" s="6"/>
    </row>
    <row r="1991">
      <c r="A1991" s="10"/>
      <c r="B1991" s="6"/>
      <c r="C1991" s="6"/>
      <c r="D1991" s="7"/>
      <c r="E1991" s="6"/>
    </row>
    <row r="1992">
      <c r="A1992" s="10"/>
      <c r="B1992" s="6"/>
      <c r="C1992" s="6"/>
      <c r="D1992" s="7"/>
      <c r="E1992" s="6"/>
    </row>
    <row r="1993">
      <c r="A1993" s="10"/>
      <c r="B1993" s="6"/>
      <c r="C1993" s="6"/>
      <c r="D1993" s="7"/>
      <c r="E1993" s="6"/>
    </row>
    <row r="1994">
      <c r="A1994" s="10"/>
      <c r="B1994" s="6"/>
      <c r="C1994" s="6"/>
      <c r="D1994" s="7"/>
      <c r="E1994" s="6"/>
    </row>
    <row r="1995">
      <c r="A1995" s="10"/>
      <c r="B1995" s="6"/>
      <c r="C1995" s="6"/>
      <c r="D1995" s="7"/>
      <c r="E1995" s="6"/>
    </row>
    <row r="1996">
      <c r="A1996" s="10"/>
      <c r="B1996" s="6"/>
      <c r="C1996" s="6"/>
      <c r="D1996" s="7"/>
      <c r="E1996" s="6"/>
    </row>
    <row r="1997">
      <c r="A1997" s="10"/>
      <c r="B1997" s="6"/>
      <c r="C1997" s="6"/>
      <c r="D1997" s="7"/>
      <c r="E1997" s="6"/>
    </row>
    <row r="1998">
      <c r="A1998" s="10"/>
      <c r="B1998" s="6"/>
      <c r="C1998" s="6"/>
      <c r="D1998" s="7"/>
      <c r="E1998" s="6"/>
    </row>
    <row r="1999">
      <c r="A1999" s="10"/>
      <c r="B1999" s="6"/>
      <c r="C1999" s="6"/>
      <c r="D1999" s="7"/>
      <c r="E1999" s="6"/>
    </row>
    <row r="2000">
      <c r="A2000" s="10"/>
      <c r="B2000" s="6"/>
      <c r="C2000" s="6"/>
      <c r="D2000" s="7"/>
      <c r="E2000" s="6"/>
    </row>
    <row r="2001">
      <c r="A2001" s="10"/>
      <c r="B2001" s="6"/>
      <c r="C2001" s="6"/>
      <c r="D2001" s="7"/>
      <c r="E2001" s="6"/>
    </row>
    <row r="2002">
      <c r="A2002" s="10"/>
      <c r="B2002" s="6"/>
      <c r="C2002" s="6"/>
      <c r="D2002" s="7"/>
      <c r="E2002" s="6"/>
    </row>
    <row r="2003">
      <c r="A2003" s="10"/>
      <c r="B2003" s="6"/>
      <c r="C2003" s="6"/>
      <c r="D2003" s="7"/>
      <c r="E2003" s="6"/>
    </row>
    <row r="2004">
      <c r="A2004" s="10"/>
      <c r="B2004" s="6"/>
      <c r="C2004" s="6"/>
      <c r="D2004" s="7"/>
      <c r="E2004" s="6"/>
    </row>
    <row r="2005">
      <c r="A2005" s="10"/>
      <c r="B2005" s="6"/>
      <c r="C2005" s="6"/>
      <c r="D2005" s="7"/>
      <c r="E2005" s="6"/>
    </row>
    <row r="2006">
      <c r="A2006" s="10"/>
      <c r="B2006" s="6"/>
      <c r="C2006" s="6"/>
      <c r="D2006" s="7"/>
      <c r="E2006" s="6"/>
    </row>
    <row r="2007">
      <c r="A2007" s="10"/>
      <c r="B2007" s="6"/>
      <c r="C2007" s="6"/>
      <c r="D2007" s="7"/>
      <c r="E2007" s="6"/>
    </row>
    <row r="2008">
      <c r="A2008" s="10"/>
      <c r="B2008" s="6"/>
      <c r="C2008" s="6"/>
      <c r="D2008" s="7"/>
      <c r="E2008" s="6"/>
    </row>
    <row r="2009">
      <c r="A2009" s="10"/>
      <c r="B2009" s="6"/>
      <c r="C2009" s="6"/>
      <c r="D2009" s="7"/>
      <c r="E2009" s="6"/>
    </row>
    <row r="2010">
      <c r="A2010" s="10"/>
      <c r="B2010" s="6"/>
      <c r="C2010" s="6"/>
      <c r="D2010" s="7"/>
      <c r="E2010" s="6"/>
    </row>
    <row r="2011">
      <c r="A2011" s="10"/>
      <c r="B2011" s="6"/>
      <c r="C2011" s="6"/>
      <c r="D2011" s="7"/>
      <c r="E2011" s="6"/>
    </row>
    <row r="2012">
      <c r="A2012" s="10"/>
      <c r="B2012" s="6"/>
      <c r="C2012" s="6"/>
      <c r="D2012" s="7"/>
      <c r="E2012" s="6"/>
    </row>
    <row r="2013">
      <c r="A2013" s="10"/>
      <c r="B2013" s="6"/>
      <c r="C2013" s="6"/>
      <c r="D2013" s="7"/>
      <c r="E2013" s="6"/>
    </row>
    <row r="2014">
      <c r="A2014" s="10"/>
      <c r="B2014" s="6"/>
      <c r="C2014" s="6"/>
      <c r="D2014" s="7"/>
      <c r="E2014" s="6"/>
    </row>
    <row r="2015">
      <c r="A2015" s="10"/>
      <c r="B2015" s="6"/>
      <c r="C2015" s="6"/>
      <c r="D2015" s="7"/>
      <c r="E2015" s="6"/>
    </row>
    <row r="2016">
      <c r="A2016" s="10"/>
      <c r="B2016" s="6"/>
      <c r="C2016" s="6"/>
      <c r="D2016" s="7"/>
      <c r="E2016" s="6"/>
    </row>
    <row r="2017">
      <c r="A2017" s="10"/>
      <c r="B2017" s="6"/>
      <c r="C2017" s="6"/>
      <c r="D2017" s="7"/>
      <c r="E2017" s="6"/>
    </row>
    <row r="2018">
      <c r="A2018" s="10"/>
      <c r="B2018" s="6"/>
      <c r="C2018" s="6"/>
      <c r="D2018" s="7"/>
      <c r="E2018" s="6"/>
    </row>
    <row r="2019">
      <c r="A2019" s="10"/>
      <c r="B2019" s="6"/>
      <c r="C2019" s="6"/>
      <c r="D2019" s="7"/>
      <c r="E2019" s="6"/>
    </row>
    <row r="2020">
      <c r="A2020" s="10"/>
      <c r="B2020" s="6"/>
      <c r="C2020" s="6"/>
      <c r="D2020" s="7"/>
      <c r="E2020" s="6"/>
    </row>
    <row r="2021">
      <c r="A2021" s="10"/>
      <c r="B2021" s="6"/>
      <c r="C2021" s="6"/>
      <c r="D2021" s="7"/>
      <c r="E2021" s="6"/>
    </row>
    <row r="2022">
      <c r="A2022" s="10"/>
      <c r="B2022" s="6"/>
      <c r="C2022" s="6"/>
      <c r="D2022" s="7"/>
      <c r="E2022" s="6"/>
    </row>
    <row r="2023">
      <c r="A2023" s="10"/>
      <c r="B2023" s="6"/>
      <c r="C2023" s="6"/>
      <c r="D2023" s="7"/>
      <c r="E2023" s="6"/>
    </row>
    <row r="2024">
      <c r="A2024" s="10"/>
      <c r="B2024" s="6"/>
      <c r="C2024" s="6"/>
      <c r="D2024" s="7"/>
      <c r="E2024" s="6"/>
    </row>
    <row r="2025">
      <c r="A2025" s="10"/>
      <c r="B2025" s="6"/>
      <c r="C2025" s="6"/>
      <c r="D2025" s="7"/>
      <c r="E2025" s="6"/>
    </row>
    <row r="2026">
      <c r="A2026" s="10"/>
      <c r="B2026" s="6"/>
      <c r="C2026" s="6"/>
      <c r="D2026" s="7"/>
      <c r="E2026" s="6"/>
    </row>
    <row r="2027">
      <c r="A2027" s="10"/>
      <c r="B2027" s="6"/>
      <c r="C2027" s="6"/>
      <c r="D2027" s="7"/>
      <c r="E2027" s="6"/>
    </row>
    <row r="2028">
      <c r="A2028" s="10"/>
      <c r="B2028" s="6"/>
      <c r="C2028" s="6"/>
      <c r="D2028" s="7"/>
      <c r="E2028" s="6"/>
    </row>
    <row r="2029">
      <c r="A2029" s="10"/>
      <c r="B2029" s="6"/>
      <c r="C2029" s="6"/>
      <c r="D2029" s="7"/>
      <c r="E2029" s="6"/>
    </row>
    <row r="2030">
      <c r="A2030" s="10"/>
      <c r="B2030" s="6"/>
      <c r="C2030" s="6"/>
      <c r="D2030" s="7"/>
      <c r="E2030" s="6"/>
    </row>
    <row r="2031">
      <c r="A2031" s="10"/>
      <c r="B2031" s="6"/>
      <c r="C2031" s="6"/>
      <c r="D2031" s="7"/>
      <c r="E2031" s="6"/>
    </row>
    <row r="2032">
      <c r="A2032" s="10"/>
      <c r="B2032" s="6"/>
      <c r="C2032" s="6"/>
      <c r="D2032" s="7"/>
      <c r="E2032" s="6"/>
    </row>
    <row r="2033">
      <c r="A2033" s="10"/>
      <c r="B2033" s="6"/>
      <c r="C2033" s="6"/>
      <c r="D2033" s="7"/>
      <c r="E2033" s="6"/>
    </row>
    <row r="2034">
      <c r="A2034" s="10"/>
      <c r="B2034" s="6"/>
      <c r="C2034" s="6"/>
      <c r="D2034" s="7"/>
      <c r="E2034" s="6"/>
    </row>
    <row r="2035">
      <c r="A2035" s="10"/>
      <c r="B2035" s="6"/>
      <c r="C2035" s="6"/>
      <c r="D2035" s="7"/>
      <c r="E2035" s="6"/>
    </row>
    <row r="2036">
      <c r="A2036" s="10"/>
      <c r="B2036" s="6"/>
      <c r="C2036" s="6"/>
      <c r="D2036" s="7"/>
      <c r="E2036" s="6"/>
    </row>
    <row r="2037">
      <c r="A2037" s="10"/>
      <c r="B2037" s="6"/>
      <c r="C2037" s="6"/>
      <c r="D2037" s="7"/>
      <c r="E2037" s="6"/>
    </row>
    <row r="2038">
      <c r="A2038" s="10"/>
      <c r="B2038" s="6"/>
      <c r="C2038" s="6"/>
      <c r="D2038" s="7"/>
      <c r="E2038" s="6"/>
    </row>
    <row r="2039">
      <c r="A2039" s="10"/>
      <c r="B2039" s="6"/>
      <c r="C2039" s="6"/>
      <c r="D2039" s="7"/>
      <c r="E2039" s="6"/>
    </row>
    <row r="2040">
      <c r="A2040" s="10"/>
      <c r="B2040" s="6"/>
      <c r="C2040" s="6"/>
      <c r="D2040" s="7"/>
      <c r="E2040" s="6"/>
    </row>
    <row r="2041">
      <c r="A2041" s="10"/>
      <c r="B2041" s="6"/>
      <c r="C2041" s="6"/>
      <c r="D2041" s="7"/>
      <c r="E2041" s="6"/>
    </row>
    <row r="2042">
      <c r="A2042" s="10"/>
      <c r="B2042" s="6"/>
      <c r="C2042" s="6"/>
      <c r="D2042" s="7"/>
      <c r="E2042" s="6"/>
    </row>
    <row r="2043">
      <c r="A2043" s="10"/>
      <c r="B2043" s="6"/>
      <c r="C2043" s="6"/>
      <c r="D2043" s="7"/>
      <c r="E2043" s="6"/>
    </row>
    <row r="2044">
      <c r="A2044" s="10"/>
      <c r="B2044" s="6"/>
      <c r="C2044" s="6"/>
      <c r="D2044" s="7"/>
      <c r="E2044" s="6"/>
    </row>
    <row r="2045">
      <c r="A2045" s="10"/>
      <c r="B2045" s="6"/>
      <c r="C2045" s="6"/>
      <c r="D2045" s="7"/>
      <c r="E2045" s="6"/>
    </row>
    <row r="2046">
      <c r="A2046" s="10"/>
      <c r="B2046" s="6"/>
      <c r="C2046" s="6"/>
      <c r="D2046" s="7"/>
      <c r="E2046" s="6"/>
    </row>
    <row r="2047">
      <c r="A2047" s="10"/>
      <c r="B2047" s="6"/>
      <c r="C2047" s="6"/>
      <c r="D2047" s="7"/>
      <c r="E2047" s="6"/>
    </row>
    <row r="2048">
      <c r="A2048" s="10"/>
      <c r="B2048" s="6"/>
      <c r="C2048" s="6"/>
      <c r="D2048" s="7"/>
      <c r="E2048" s="6"/>
    </row>
    <row r="2049">
      <c r="A2049" s="10"/>
      <c r="B2049" s="6"/>
      <c r="C2049" s="6"/>
      <c r="D2049" s="7"/>
      <c r="E2049" s="6"/>
    </row>
    <row r="2050">
      <c r="A2050" s="10"/>
      <c r="B2050" s="6"/>
      <c r="C2050" s="6"/>
      <c r="D2050" s="7"/>
      <c r="E2050" s="6"/>
    </row>
    <row r="2051">
      <c r="A2051" s="10"/>
      <c r="B2051" s="6"/>
      <c r="C2051" s="6"/>
      <c r="D2051" s="7"/>
      <c r="E2051" s="6"/>
    </row>
    <row r="2052">
      <c r="A2052" s="10"/>
      <c r="B2052" s="6"/>
      <c r="C2052" s="6"/>
      <c r="D2052" s="7"/>
      <c r="E2052" s="6"/>
    </row>
    <row r="2053">
      <c r="A2053" s="10"/>
      <c r="B2053" s="6"/>
      <c r="C2053" s="6"/>
      <c r="D2053" s="7"/>
      <c r="E2053" s="6"/>
    </row>
    <row r="2054">
      <c r="A2054" s="10"/>
      <c r="B2054" s="6"/>
      <c r="C2054" s="6"/>
      <c r="D2054" s="7"/>
      <c r="E2054" s="6"/>
    </row>
    <row r="2055">
      <c r="A2055" s="10"/>
      <c r="B2055" s="6"/>
      <c r="C2055" s="6"/>
      <c r="D2055" s="7"/>
      <c r="E2055" s="6"/>
    </row>
    <row r="2056">
      <c r="A2056" s="10"/>
      <c r="B2056" s="6"/>
      <c r="C2056" s="6"/>
      <c r="D2056" s="7"/>
      <c r="E2056" s="6"/>
    </row>
    <row r="2057">
      <c r="A2057" s="10"/>
      <c r="B2057" s="6"/>
      <c r="C2057" s="6"/>
      <c r="D2057" s="7"/>
      <c r="E2057" s="6"/>
    </row>
    <row r="2058">
      <c r="A2058" s="10"/>
      <c r="B2058" s="6"/>
      <c r="C2058" s="6"/>
      <c r="D2058" s="7"/>
      <c r="E2058" s="6"/>
    </row>
    <row r="2059">
      <c r="A2059" s="10"/>
      <c r="B2059" s="6"/>
      <c r="C2059" s="6"/>
      <c r="D2059" s="7"/>
      <c r="E2059" s="6"/>
    </row>
    <row r="2060">
      <c r="A2060" s="10"/>
      <c r="B2060" s="6"/>
      <c r="C2060" s="6"/>
      <c r="D2060" s="7"/>
      <c r="E2060" s="6"/>
    </row>
    <row r="2061">
      <c r="A2061" s="10"/>
      <c r="B2061" s="6"/>
      <c r="C2061" s="6"/>
      <c r="D2061" s="7"/>
      <c r="E2061" s="6"/>
    </row>
    <row r="2062">
      <c r="A2062" s="10"/>
      <c r="B2062" s="6"/>
      <c r="C2062" s="6"/>
      <c r="D2062" s="7"/>
      <c r="E2062" s="6"/>
    </row>
    <row r="2063">
      <c r="A2063" s="10"/>
      <c r="B2063" s="6"/>
      <c r="C2063" s="6"/>
      <c r="D2063" s="7"/>
      <c r="E2063" s="6"/>
    </row>
    <row r="2064">
      <c r="A2064" s="10"/>
      <c r="B2064" s="6"/>
      <c r="C2064" s="6"/>
      <c r="D2064" s="7"/>
      <c r="E2064" s="6"/>
    </row>
    <row r="2065">
      <c r="A2065" s="10"/>
      <c r="B2065" s="6"/>
      <c r="C2065" s="6"/>
      <c r="D2065" s="7"/>
      <c r="E2065" s="6"/>
    </row>
    <row r="2066">
      <c r="A2066" s="10"/>
      <c r="B2066" s="6"/>
      <c r="C2066" s="6"/>
      <c r="D2066" s="7"/>
      <c r="E2066" s="6"/>
    </row>
    <row r="2067">
      <c r="A2067" s="10"/>
      <c r="B2067" s="6"/>
      <c r="C2067" s="6"/>
      <c r="D2067" s="7"/>
      <c r="E2067" s="6"/>
    </row>
    <row r="2068">
      <c r="A2068" s="10"/>
      <c r="B2068" s="6"/>
      <c r="C2068" s="6"/>
      <c r="D2068" s="7"/>
      <c r="E2068" s="6"/>
    </row>
    <row r="2069">
      <c r="A2069" s="10"/>
      <c r="B2069" s="6"/>
      <c r="C2069" s="6"/>
      <c r="D2069" s="7"/>
      <c r="E2069" s="6"/>
    </row>
    <row r="2070">
      <c r="A2070" s="10"/>
      <c r="B2070" s="6"/>
      <c r="C2070" s="6"/>
      <c r="D2070" s="7"/>
      <c r="E2070" s="6"/>
    </row>
    <row r="2071">
      <c r="A2071" s="10"/>
      <c r="B2071" s="6"/>
      <c r="C2071" s="6"/>
      <c r="D2071" s="7"/>
      <c r="E2071" s="6"/>
    </row>
    <row r="2072">
      <c r="A2072" s="10"/>
      <c r="B2072" s="6"/>
      <c r="C2072" s="6"/>
      <c r="D2072" s="7"/>
      <c r="E2072" s="6"/>
    </row>
    <row r="2073">
      <c r="A2073" s="10"/>
      <c r="B2073" s="6"/>
      <c r="C2073" s="6"/>
      <c r="D2073" s="7"/>
      <c r="E2073" s="6"/>
    </row>
    <row r="2074">
      <c r="A2074" s="10"/>
      <c r="B2074" s="6"/>
      <c r="C2074" s="6"/>
      <c r="D2074" s="7"/>
      <c r="E2074" s="6"/>
    </row>
    <row r="2075">
      <c r="A2075" s="10"/>
      <c r="B2075" s="6"/>
      <c r="C2075" s="6"/>
      <c r="D2075" s="7"/>
      <c r="E2075" s="6"/>
    </row>
    <row r="2076">
      <c r="A2076" s="10"/>
      <c r="B2076" s="6"/>
      <c r="C2076" s="6"/>
      <c r="D2076" s="7"/>
      <c r="E2076" s="6"/>
    </row>
    <row r="2077">
      <c r="A2077" s="10"/>
      <c r="B2077" s="6"/>
      <c r="C2077" s="6"/>
      <c r="D2077" s="7"/>
      <c r="E2077" s="6"/>
    </row>
    <row r="2078">
      <c r="A2078" s="10"/>
      <c r="B2078" s="6"/>
      <c r="C2078" s="6"/>
      <c r="D2078" s="7"/>
      <c r="E2078" s="6"/>
    </row>
    <row r="2079">
      <c r="A2079" s="10"/>
      <c r="B2079" s="6"/>
      <c r="C2079" s="6"/>
      <c r="D2079" s="7"/>
      <c r="E2079" s="6"/>
    </row>
    <row r="2080">
      <c r="A2080" s="10"/>
      <c r="B2080" s="6"/>
      <c r="C2080" s="6"/>
      <c r="D2080" s="7"/>
      <c r="E2080" s="6"/>
    </row>
    <row r="2081">
      <c r="A2081" s="10"/>
      <c r="B2081" s="6"/>
      <c r="C2081" s="6"/>
      <c r="D2081" s="7"/>
      <c r="E2081" s="6"/>
    </row>
    <row r="2082">
      <c r="A2082" s="10"/>
      <c r="B2082" s="6"/>
      <c r="C2082" s="6"/>
      <c r="D2082" s="7"/>
      <c r="E2082" s="6"/>
    </row>
    <row r="2083">
      <c r="A2083" s="10"/>
      <c r="B2083" s="6"/>
      <c r="C2083" s="6"/>
      <c r="D2083" s="7"/>
      <c r="E2083" s="6"/>
    </row>
    <row r="2084">
      <c r="A2084" s="10"/>
      <c r="B2084" s="6"/>
      <c r="C2084" s="6"/>
      <c r="D2084" s="7"/>
      <c r="E2084" s="6"/>
    </row>
    <row r="2085">
      <c r="A2085" s="10"/>
      <c r="B2085" s="6"/>
      <c r="C2085" s="6"/>
      <c r="D2085" s="7"/>
      <c r="E2085" s="6"/>
    </row>
    <row r="2086">
      <c r="A2086" s="10"/>
      <c r="B2086" s="6"/>
      <c r="C2086" s="6"/>
      <c r="D2086" s="7"/>
      <c r="E2086" s="6"/>
    </row>
    <row r="2087">
      <c r="A2087" s="10"/>
      <c r="B2087" s="6"/>
      <c r="C2087" s="6"/>
      <c r="D2087" s="7"/>
      <c r="E2087" s="6"/>
    </row>
    <row r="2088">
      <c r="A2088" s="10"/>
      <c r="B2088" s="6"/>
      <c r="C2088" s="6"/>
      <c r="D2088" s="7"/>
      <c r="E2088" s="6"/>
    </row>
    <row r="2089">
      <c r="A2089" s="10"/>
      <c r="B2089" s="6"/>
      <c r="C2089" s="6"/>
      <c r="D2089" s="7"/>
      <c r="E2089" s="6"/>
    </row>
    <row r="2090">
      <c r="A2090" s="10"/>
      <c r="B2090" s="6"/>
      <c r="C2090" s="6"/>
      <c r="D2090" s="7"/>
      <c r="E2090" s="6"/>
    </row>
    <row r="2091">
      <c r="A2091" s="10"/>
      <c r="B2091" s="6"/>
      <c r="C2091" s="6"/>
      <c r="D2091" s="7"/>
      <c r="E2091" s="6"/>
    </row>
    <row r="2092">
      <c r="A2092" s="10"/>
      <c r="B2092" s="6"/>
      <c r="C2092" s="6"/>
      <c r="D2092" s="7"/>
      <c r="E2092" s="6"/>
    </row>
    <row r="2093">
      <c r="A2093" s="10"/>
      <c r="B2093" s="6"/>
      <c r="C2093" s="6"/>
      <c r="D2093" s="7"/>
      <c r="E2093" s="6"/>
    </row>
    <row r="2094">
      <c r="A2094" s="10"/>
      <c r="B2094" s="6"/>
      <c r="C2094" s="6"/>
      <c r="D2094" s="7"/>
      <c r="E2094" s="6"/>
    </row>
    <row r="2095">
      <c r="A2095" s="10"/>
      <c r="B2095" s="6"/>
      <c r="C2095" s="6"/>
      <c r="D2095" s="7"/>
      <c r="E2095" s="6"/>
    </row>
    <row r="2096">
      <c r="A2096" s="10"/>
      <c r="B2096" s="6"/>
      <c r="C2096" s="6"/>
      <c r="D2096" s="7"/>
      <c r="E2096" s="6"/>
    </row>
    <row r="2097">
      <c r="A2097" s="10"/>
      <c r="B2097" s="6"/>
      <c r="C2097" s="6"/>
      <c r="D2097" s="7"/>
      <c r="E2097" s="6"/>
    </row>
    <row r="2098">
      <c r="A2098" s="10"/>
      <c r="B2098" s="6"/>
      <c r="C2098" s="6"/>
      <c r="D2098" s="7"/>
      <c r="E2098" s="6"/>
    </row>
    <row r="2099">
      <c r="A2099" s="10"/>
      <c r="B2099" s="6"/>
      <c r="C2099" s="6"/>
      <c r="D2099" s="7"/>
      <c r="E2099" s="6"/>
    </row>
    <row r="2100">
      <c r="A2100" s="10"/>
      <c r="B2100" s="6"/>
      <c r="C2100" s="6"/>
      <c r="D2100" s="7"/>
      <c r="E2100" s="6"/>
    </row>
    <row r="2101">
      <c r="A2101" s="10"/>
      <c r="B2101" s="6"/>
      <c r="C2101" s="6"/>
      <c r="D2101" s="7"/>
      <c r="E2101" s="6"/>
    </row>
    <row r="2102">
      <c r="A2102" s="10"/>
      <c r="B2102" s="6"/>
      <c r="C2102" s="6"/>
      <c r="D2102" s="7"/>
      <c r="E2102" s="6"/>
    </row>
    <row r="2103">
      <c r="A2103" s="10"/>
      <c r="B2103" s="6"/>
      <c r="C2103" s="6"/>
      <c r="D2103" s="7"/>
      <c r="E2103" s="6"/>
    </row>
    <row r="2104">
      <c r="A2104" s="10"/>
      <c r="B2104" s="6"/>
      <c r="C2104" s="6"/>
      <c r="D2104" s="7"/>
      <c r="E2104" s="6"/>
    </row>
    <row r="2105">
      <c r="A2105" s="10"/>
      <c r="B2105" s="6"/>
      <c r="C2105" s="6"/>
      <c r="D2105" s="7"/>
      <c r="E2105" s="6"/>
    </row>
    <row r="2106">
      <c r="A2106" s="10"/>
      <c r="B2106" s="6"/>
      <c r="C2106" s="6"/>
      <c r="D2106" s="7"/>
      <c r="E2106" s="6"/>
    </row>
    <row r="2107">
      <c r="A2107" s="10"/>
      <c r="B2107" s="6"/>
      <c r="C2107" s="6"/>
      <c r="D2107" s="7"/>
      <c r="E2107" s="6"/>
    </row>
    <row r="2108">
      <c r="A2108" s="10"/>
      <c r="B2108" s="6"/>
      <c r="C2108" s="6"/>
      <c r="D2108" s="7"/>
      <c r="E2108" s="6"/>
    </row>
    <row r="2109">
      <c r="A2109" s="10"/>
      <c r="B2109" s="6"/>
      <c r="C2109" s="6"/>
      <c r="D2109" s="7"/>
      <c r="E2109" s="6"/>
    </row>
    <row r="2110">
      <c r="A2110" s="10"/>
      <c r="B2110" s="6"/>
      <c r="C2110" s="6"/>
      <c r="D2110" s="7"/>
      <c r="E2110" s="6"/>
    </row>
    <row r="2111">
      <c r="A2111" s="10"/>
      <c r="B2111" s="6"/>
      <c r="C2111" s="6"/>
      <c r="D2111" s="7"/>
      <c r="E2111" s="6"/>
    </row>
    <row r="2112">
      <c r="A2112" s="10"/>
      <c r="B2112" s="6"/>
      <c r="C2112" s="6"/>
      <c r="D2112" s="7"/>
      <c r="E2112" s="6"/>
    </row>
    <row r="2113">
      <c r="A2113" s="10"/>
      <c r="B2113" s="6"/>
      <c r="C2113" s="6"/>
      <c r="D2113" s="7"/>
      <c r="E2113" s="6"/>
    </row>
    <row r="2114">
      <c r="A2114" s="10"/>
      <c r="B2114" s="6"/>
      <c r="C2114" s="6"/>
      <c r="D2114" s="7"/>
      <c r="E2114" s="6"/>
    </row>
    <row r="2115">
      <c r="A2115" s="10"/>
      <c r="B2115" s="6"/>
      <c r="C2115" s="6"/>
      <c r="D2115" s="7"/>
      <c r="E2115" s="6"/>
    </row>
    <row r="2116">
      <c r="A2116" s="10"/>
      <c r="B2116" s="6"/>
      <c r="C2116" s="6"/>
      <c r="D2116" s="7"/>
      <c r="E2116" s="6"/>
    </row>
    <row r="2117">
      <c r="A2117" s="10"/>
      <c r="B2117" s="6"/>
      <c r="C2117" s="6"/>
      <c r="D2117" s="7"/>
      <c r="E2117" s="6"/>
    </row>
    <row r="2118">
      <c r="A2118" s="10"/>
      <c r="B2118" s="6"/>
      <c r="C2118" s="6"/>
      <c r="D2118" s="7"/>
      <c r="E2118" s="6"/>
    </row>
    <row r="2119">
      <c r="A2119" s="10"/>
      <c r="B2119" s="6"/>
      <c r="C2119" s="6"/>
      <c r="D2119" s="7"/>
      <c r="E2119" s="6"/>
    </row>
    <row r="2120">
      <c r="A2120" s="10"/>
      <c r="B2120" s="6"/>
      <c r="C2120" s="6"/>
      <c r="D2120" s="7"/>
      <c r="E2120" s="6"/>
    </row>
    <row r="2121">
      <c r="A2121" s="10"/>
      <c r="B2121" s="6"/>
      <c r="C2121" s="6"/>
      <c r="D2121" s="7"/>
      <c r="E2121" s="6"/>
    </row>
    <row r="2122">
      <c r="A2122" s="10"/>
      <c r="B2122" s="6"/>
      <c r="C2122" s="6"/>
      <c r="D2122" s="7"/>
      <c r="E2122" s="6"/>
    </row>
    <row r="2123">
      <c r="A2123" s="10"/>
      <c r="B2123" s="6"/>
      <c r="C2123" s="6"/>
      <c r="D2123" s="7"/>
      <c r="E2123" s="6"/>
    </row>
    <row r="2124">
      <c r="A2124" s="10"/>
      <c r="B2124" s="6"/>
      <c r="C2124" s="6"/>
      <c r="D2124" s="7"/>
      <c r="E2124" s="6"/>
    </row>
    <row r="2125">
      <c r="A2125" s="10"/>
      <c r="B2125" s="6"/>
      <c r="C2125" s="6"/>
      <c r="D2125" s="7"/>
      <c r="E2125" s="6"/>
    </row>
    <row r="2126">
      <c r="A2126" s="10"/>
      <c r="B2126" s="6"/>
      <c r="C2126" s="6"/>
      <c r="D2126" s="7"/>
      <c r="E2126" s="6"/>
    </row>
    <row r="2127">
      <c r="A2127" s="10"/>
      <c r="B2127" s="6"/>
      <c r="C2127" s="6"/>
      <c r="D2127" s="7"/>
      <c r="E2127" s="6"/>
    </row>
    <row r="2128">
      <c r="A2128" s="10"/>
      <c r="B2128" s="6"/>
      <c r="C2128" s="6"/>
      <c r="D2128" s="7"/>
      <c r="E212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4" t="s">
        <v>7</v>
      </c>
    </row>
    <row r="2">
      <c r="A2" s="15">
        <v>44563.0</v>
      </c>
      <c r="B2" s="8" t="s">
        <v>8</v>
      </c>
      <c r="C2" s="16" t="s">
        <v>9</v>
      </c>
      <c r="D2" s="17" t="s">
        <v>10</v>
      </c>
      <c r="E2" s="18" t="s">
        <v>11</v>
      </c>
      <c r="F2" s="19">
        <v>86.32</v>
      </c>
      <c r="G2" s="17" t="s">
        <v>12</v>
      </c>
      <c r="H2" s="8" t="s">
        <v>12</v>
      </c>
    </row>
    <row r="3">
      <c r="A3" s="15">
        <v>44563.0</v>
      </c>
      <c r="B3" s="8" t="s">
        <v>8</v>
      </c>
      <c r="C3" s="16" t="s">
        <v>9</v>
      </c>
      <c r="D3" s="17" t="s">
        <v>10</v>
      </c>
      <c r="E3" s="18" t="s">
        <v>13</v>
      </c>
      <c r="F3" s="19">
        <v>61.66</v>
      </c>
      <c r="G3" s="17" t="s">
        <v>12</v>
      </c>
      <c r="H3" s="8" t="s">
        <v>12</v>
      </c>
    </row>
    <row r="4">
      <c r="A4" s="15">
        <v>44563.0</v>
      </c>
      <c r="B4" s="8" t="s">
        <v>8</v>
      </c>
      <c r="C4" s="16" t="s">
        <v>9</v>
      </c>
      <c r="D4" s="17" t="s">
        <v>14</v>
      </c>
      <c r="E4" s="18" t="s">
        <v>11</v>
      </c>
      <c r="F4" s="19">
        <v>98.69</v>
      </c>
      <c r="G4" s="17" t="s">
        <v>12</v>
      </c>
      <c r="H4" s="8" t="s">
        <v>12</v>
      </c>
    </row>
    <row r="5">
      <c r="A5" s="15">
        <v>44563.0</v>
      </c>
      <c r="B5" s="8" t="s">
        <v>8</v>
      </c>
      <c r="C5" s="16" t="s">
        <v>9</v>
      </c>
      <c r="D5" s="17" t="s">
        <v>14</v>
      </c>
      <c r="E5" s="18" t="s">
        <v>15</v>
      </c>
      <c r="F5" s="19">
        <v>87.73</v>
      </c>
      <c r="G5" s="17" t="s">
        <v>12</v>
      </c>
      <c r="H5" s="8" t="s">
        <v>12</v>
      </c>
    </row>
    <row r="6">
      <c r="A6" s="15">
        <v>44564.0</v>
      </c>
      <c r="B6" s="8" t="s">
        <v>8</v>
      </c>
      <c r="C6" s="16" t="s">
        <v>16</v>
      </c>
      <c r="D6" s="17" t="s">
        <v>10</v>
      </c>
      <c r="E6" s="18" t="s">
        <v>11</v>
      </c>
      <c r="F6" s="19">
        <v>152.05</v>
      </c>
      <c r="G6" s="17" t="s">
        <v>12</v>
      </c>
      <c r="H6" s="8" t="s">
        <v>12</v>
      </c>
    </row>
    <row r="7">
      <c r="A7" s="15">
        <v>44564.0</v>
      </c>
      <c r="B7" s="8" t="s">
        <v>8</v>
      </c>
      <c r="C7" s="16" t="s">
        <v>16</v>
      </c>
      <c r="D7" s="17" t="s">
        <v>14</v>
      </c>
      <c r="E7" s="18" t="s">
        <v>11</v>
      </c>
      <c r="F7" s="19">
        <v>79.13</v>
      </c>
      <c r="G7" s="17" t="s">
        <v>12</v>
      </c>
      <c r="H7" s="8" t="s">
        <v>12</v>
      </c>
    </row>
    <row r="8">
      <c r="A8" s="15">
        <v>44564.0</v>
      </c>
      <c r="B8" s="8" t="s">
        <v>8</v>
      </c>
      <c r="C8" s="16" t="s">
        <v>16</v>
      </c>
      <c r="D8" s="17" t="s">
        <v>14</v>
      </c>
      <c r="E8" s="18" t="s">
        <v>13</v>
      </c>
      <c r="F8" s="19">
        <v>79.13</v>
      </c>
      <c r="G8" s="17" t="s">
        <v>12</v>
      </c>
      <c r="H8" s="8" t="s">
        <v>12</v>
      </c>
    </row>
    <row r="9">
      <c r="A9" s="15">
        <v>44564.0</v>
      </c>
      <c r="B9" s="8" t="s">
        <v>8</v>
      </c>
      <c r="C9" s="16" t="s">
        <v>16</v>
      </c>
      <c r="D9" s="17" t="s">
        <v>14</v>
      </c>
      <c r="E9" s="18" t="s">
        <v>17</v>
      </c>
      <c r="F9" s="19">
        <v>52.76</v>
      </c>
      <c r="G9" s="17" t="s">
        <v>12</v>
      </c>
      <c r="H9" s="8" t="s">
        <v>12</v>
      </c>
    </row>
    <row r="10">
      <c r="A10" s="15">
        <v>44565.0</v>
      </c>
      <c r="B10" s="8" t="s">
        <v>8</v>
      </c>
      <c r="C10" s="16" t="s">
        <v>18</v>
      </c>
      <c r="D10" s="17" t="s">
        <v>10</v>
      </c>
      <c r="E10" s="18" t="s">
        <v>19</v>
      </c>
      <c r="F10" s="19">
        <v>93.68</v>
      </c>
      <c r="G10" s="17" t="s">
        <v>12</v>
      </c>
      <c r="H10" s="8" t="s">
        <v>12</v>
      </c>
    </row>
    <row r="11">
      <c r="A11" s="15">
        <v>44565.0</v>
      </c>
      <c r="B11" s="8" t="s">
        <v>8</v>
      </c>
      <c r="C11" s="16" t="s">
        <v>18</v>
      </c>
      <c r="D11" s="17" t="s">
        <v>14</v>
      </c>
      <c r="E11" s="18" t="s">
        <v>19</v>
      </c>
      <c r="F11" s="19">
        <v>27.89</v>
      </c>
      <c r="G11" s="17" t="s">
        <v>12</v>
      </c>
      <c r="H11" s="8" t="s">
        <v>12</v>
      </c>
    </row>
    <row r="12">
      <c r="A12" s="15">
        <v>44565.0</v>
      </c>
      <c r="B12" s="8" t="s">
        <v>8</v>
      </c>
      <c r="C12" s="16" t="s">
        <v>18</v>
      </c>
      <c r="D12" s="17" t="s">
        <v>14</v>
      </c>
      <c r="E12" s="18" t="s">
        <v>15</v>
      </c>
      <c r="F12" s="19">
        <v>18.6</v>
      </c>
      <c r="G12" s="17" t="s">
        <v>12</v>
      </c>
      <c r="H12" s="8" t="s">
        <v>12</v>
      </c>
    </row>
    <row r="13">
      <c r="A13" s="15">
        <v>44566.0</v>
      </c>
      <c r="B13" s="8" t="s">
        <v>8</v>
      </c>
      <c r="C13" s="16" t="s">
        <v>20</v>
      </c>
      <c r="D13" s="17" t="s">
        <v>10</v>
      </c>
      <c r="E13" s="18" t="s">
        <v>11</v>
      </c>
      <c r="F13" s="19">
        <v>91.49</v>
      </c>
      <c r="G13" s="17" t="s">
        <v>12</v>
      </c>
      <c r="H13" s="8" t="s">
        <v>12</v>
      </c>
    </row>
    <row r="14">
      <c r="A14" s="15">
        <v>44566.0</v>
      </c>
      <c r="B14" s="8" t="s">
        <v>8</v>
      </c>
      <c r="C14" s="16" t="s">
        <v>20</v>
      </c>
      <c r="D14" s="17" t="s">
        <v>10</v>
      </c>
      <c r="E14" s="18" t="s">
        <v>15</v>
      </c>
      <c r="F14" s="19">
        <v>10.17</v>
      </c>
      <c r="G14" s="17" t="s">
        <v>12</v>
      </c>
      <c r="H14" s="8" t="s">
        <v>12</v>
      </c>
    </row>
    <row r="15">
      <c r="A15" s="15">
        <v>44566.0</v>
      </c>
      <c r="B15" s="8" t="s">
        <v>8</v>
      </c>
      <c r="C15" s="16" t="s">
        <v>20</v>
      </c>
      <c r="D15" s="17" t="s">
        <v>14</v>
      </c>
      <c r="E15" s="18" t="s">
        <v>19</v>
      </c>
      <c r="F15" s="19">
        <v>53.3</v>
      </c>
      <c r="G15" s="17" t="s">
        <v>12</v>
      </c>
      <c r="H15" s="8" t="s">
        <v>12</v>
      </c>
    </row>
    <row r="16">
      <c r="A16" s="15">
        <v>44566.0</v>
      </c>
      <c r="B16" s="8" t="s">
        <v>8</v>
      </c>
      <c r="C16" s="16" t="s">
        <v>20</v>
      </c>
      <c r="D16" s="17" t="s">
        <v>14</v>
      </c>
      <c r="E16" s="18" t="s">
        <v>15</v>
      </c>
      <c r="F16" s="19">
        <v>47.38</v>
      </c>
      <c r="G16" s="17" t="s">
        <v>12</v>
      </c>
      <c r="H16" s="8" t="s">
        <v>12</v>
      </c>
    </row>
    <row r="17">
      <c r="A17" s="15">
        <v>44566.0</v>
      </c>
      <c r="B17" s="8" t="s">
        <v>8</v>
      </c>
      <c r="C17" s="16" t="s">
        <v>20</v>
      </c>
      <c r="D17" s="17" t="s">
        <v>10</v>
      </c>
      <c r="E17" s="18" t="s">
        <v>19</v>
      </c>
      <c r="F17" s="19">
        <v>117.72</v>
      </c>
      <c r="G17" s="17" t="s">
        <v>12</v>
      </c>
      <c r="H17" s="8" t="s">
        <v>12</v>
      </c>
    </row>
    <row r="18">
      <c r="A18" s="15">
        <v>44567.0</v>
      </c>
      <c r="B18" s="8" t="s">
        <v>8</v>
      </c>
      <c r="C18" s="16" t="s">
        <v>21</v>
      </c>
      <c r="D18" s="17" t="s">
        <v>14</v>
      </c>
      <c r="E18" s="18" t="s">
        <v>19</v>
      </c>
      <c r="F18" s="19">
        <v>64.7</v>
      </c>
      <c r="G18" s="17" t="s">
        <v>12</v>
      </c>
      <c r="H18" s="8" t="s">
        <v>12</v>
      </c>
    </row>
    <row r="19">
      <c r="A19" s="15">
        <v>44567.0</v>
      </c>
      <c r="B19" s="8" t="s">
        <v>8</v>
      </c>
      <c r="C19" s="16" t="s">
        <v>21</v>
      </c>
      <c r="D19" s="17" t="s">
        <v>14</v>
      </c>
      <c r="E19" s="18" t="s">
        <v>17</v>
      </c>
      <c r="F19" s="19">
        <v>64.7</v>
      </c>
      <c r="G19" s="17" t="s">
        <v>12</v>
      </c>
      <c r="H19" s="8" t="s">
        <v>12</v>
      </c>
    </row>
    <row r="20">
      <c r="A20" s="15">
        <v>44568.0</v>
      </c>
      <c r="B20" s="8" t="s">
        <v>8</v>
      </c>
      <c r="C20" s="16" t="s">
        <v>22</v>
      </c>
      <c r="D20" s="17" t="s">
        <v>10</v>
      </c>
      <c r="E20" s="18" t="s">
        <v>11</v>
      </c>
      <c r="F20" s="19">
        <v>91.66</v>
      </c>
      <c r="G20" s="17" t="s">
        <v>12</v>
      </c>
      <c r="H20" s="8" t="s">
        <v>12</v>
      </c>
    </row>
    <row r="21">
      <c r="A21" s="15">
        <v>44568.0</v>
      </c>
      <c r="B21" s="8" t="s">
        <v>8</v>
      </c>
      <c r="C21" s="16" t="s">
        <v>22</v>
      </c>
      <c r="D21" s="17" t="s">
        <v>14</v>
      </c>
      <c r="E21" s="18" t="s">
        <v>19</v>
      </c>
      <c r="F21" s="19">
        <v>100.47</v>
      </c>
      <c r="G21" s="17" t="s">
        <v>12</v>
      </c>
      <c r="H21" s="8" t="s">
        <v>12</v>
      </c>
    </row>
    <row r="22">
      <c r="A22" s="15">
        <v>44568.0</v>
      </c>
      <c r="B22" s="8" t="s">
        <v>8</v>
      </c>
      <c r="C22" s="16" t="s">
        <v>22</v>
      </c>
      <c r="D22" s="17" t="s">
        <v>14</v>
      </c>
      <c r="E22" s="18" t="s">
        <v>15</v>
      </c>
      <c r="F22" s="19">
        <v>100.47</v>
      </c>
      <c r="G22" s="17" t="s">
        <v>12</v>
      </c>
      <c r="H22" s="8" t="s">
        <v>12</v>
      </c>
    </row>
    <row r="23">
      <c r="A23" s="15">
        <v>44568.0</v>
      </c>
      <c r="B23" s="8" t="s">
        <v>8</v>
      </c>
      <c r="C23" s="16" t="s">
        <v>22</v>
      </c>
      <c r="D23" s="17" t="s">
        <v>14</v>
      </c>
      <c r="E23" s="18" t="s">
        <v>13</v>
      </c>
      <c r="F23" s="19">
        <v>100.47</v>
      </c>
      <c r="G23" s="17" t="s">
        <v>12</v>
      </c>
      <c r="H23" s="8" t="s">
        <v>12</v>
      </c>
    </row>
    <row r="24">
      <c r="A24" s="15">
        <v>44569.0</v>
      </c>
      <c r="B24" s="8" t="s">
        <v>8</v>
      </c>
      <c r="C24" s="16" t="s">
        <v>23</v>
      </c>
      <c r="D24" s="17" t="s">
        <v>10</v>
      </c>
      <c r="E24" s="18" t="s">
        <v>11</v>
      </c>
      <c r="F24" s="19">
        <v>141.65</v>
      </c>
      <c r="G24" s="17" t="s">
        <v>12</v>
      </c>
      <c r="H24" s="8" t="s">
        <v>12</v>
      </c>
    </row>
    <row r="25">
      <c r="A25" s="15">
        <v>44569.0</v>
      </c>
      <c r="B25" s="8" t="s">
        <v>8</v>
      </c>
      <c r="C25" s="16" t="s">
        <v>23</v>
      </c>
      <c r="D25" s="17" t="s">
        <v>10</v>
      </c>
      <c r="E25" s="18" t="s">
        <v>13</v>
      </c>
      <c r="F25" s="19">
        <v>101.2</v>
      </c>
      <c r="G25" s="17" t="s">
        <v>12</v>
      </c>
      <c r="H25" s="8" t="s">
        <v>12</v>
      </c>
    </row>
    <row r="26">
      <c r="A26" s="15">
        <v>44569.0</v>
      </c>
      <c r="B26" s="8" t="s">
        <v>8</v>
      </c>
      <c r="C26" s="16" t="s">
        <v>23</v>
      </c>
      <c r="D26" s="17" t="s">
        <v>14</v>
      </c>
      <c r="E26" s="18" t="s">
        <v>11</v>
      </c>
      <c r="F26" s="19">
        <v>80.09</v>
      </c>
      <c r="G26" s="17" t="s">
        <v>12</v>
      </c>
      <c r="H26" s="8" t="s">
        <v>12</v>
      </c>
    </row>
    <row r="27">
      <c r="A27" s="15">
        <v>44569.0</v>
      </c>
      <c r="B27" s="8" t="s">
        <v>8</v>
      </c>
      <c r="C27" s="16" t="s">
        <v>23</v>
      </c>
      <c r="D27" s="17" t="s">
        <v>14</v>
      </c>
      <c r="E27" s="18" t="s">
        <v>13</v>
      </c>
      <c r="F27" s="19">
        <v>80.09</v>
      </c>
      <c r="G27" s="17" t="s">
        <v>12</v>
      </c>
      <c r="H27" s="8" t="s">
        <v>12</v>
      </c>
    </row>
    <row r="28">
      <c r="A28" s="15">
        <v>44569.0</v>
      </c>
      <c r="B28" s="8" t="s">
        <v>8</v>
      </c>
      <c r="C28" s="16" t="s">
        <v>23</v>
      </c>
      <c r="D28" s="17" t="s">
        <v>14</v>
      </c>
      <c r="E28" s="18" t="s">
        <v>17</v>
      </c>
      <c r="F28" s="19">
        <v>80.09</v>
      </c>
      <c r="G28" s="17" t="s">
        <v>12</v>
      </c>
      <c r="H28" s="8" t="s">
        <v>12</v>
      </c>
    </row>
    <row r="29">
      <c r="A29" s="15">
        <v>44570.0</v>
      </c>
      <c r="B29" s="8" t="s">
        <v>8</v>
      </c>
      <c r="C29" s="16" t="s">
        <v>9</v>
      </c>
      <c r="D29" s="17" t="s">
        <v>10</v>
      </c>
      <c r="E29" s="18" t="s">
        <v>19</v>
      </c>
      <c r="F29" s="19">
        <v>122.32</v>
      </c>
      <c r="G29" s="17" t="s">
        <v>12</v>
      </c>
      <c r="H29" s="8" t="s">
        <v>12</v>
      </c>
    </row>
    <row r="30">
      <c r="A30" s="15">
        <v>44570.0</v>
      </c>
      <c r="B30" s="8" t="s">
        <v>8</v>
      </c>
      <c r="C30" s="16" t="s">
        <v>9</v>
      </c>
      <c r="D30" s="17" t="s">
        <v>10</v>
      </c>
      <c r="E30" s="18" t="s">
        <v>13</v>
      </c>
      <c r="F30" s="19">
        <v>78.64</v>
      </c>
      <c r="G30" s="17" t="s">
        <v>12</v>
      </c>
      <c r="H30" s="8" t="s">
        <v>12</v>
      </c>
    </row>
    <row r="31">
      <c r="A31" s="15">
        <v>44570.0</v>
      </c>
      <c r="B31" s="8" t="s">
        <v>8</v>
      </c>
      <c r="C31" s="16" t="s">
        <v>9</v>
      </c>
      <c r="D31" s="17" t="s">
        <v>10</v>
      </c>
      <c r="E31" s="18" t="s">
        <v>17</v>
      </c>
      <c r="F31" s="19">
        <v>78.64</v>
      </c>
      <c r="G31" s="17" t="s">
        <v>12</v>
      </c>
      <c r="H31" s="8" t="s">
        <v>12</v>
      </c>
    </row>
    <row r="32">
      <c r="A32" s="15">
        <v>44570.0</v>
      </c>
      <c r="B32" s="8" t="s">
        <v>8</v>
      </c>
      <c r="C32" s="16" t="s">
        <v>9</v>
      </c>
      <c r="D32" s="17" t="s">
        <v>14</v>
      </c>
      <c r="E32" s="18" t="s">
        <v>13</v>
      </c>
      <c r="F32" s="19">
        <v>22.79</v>
      </c>
      <c r="G32" s="17" t="s">
        <v>12</v>
      </c>
      <c r="H32" s="8" t="s">
        <v>12</v>
      </c>
    </row>
    <row r="33">
      <c r="A33" s="15">
        <v>44570.0</v>
      </c>
      <c r="B33" s="8" t="s">
        <v>8</v>
      </c>
      <c r="C33" s="16" t="s">
        <v>9</v>
      </c>
      <c r="D33" s="17" t="s">
        <v>14</v>
      </c>
      <c r="E33" s="18" t="s">
        <v>17</v>
      </c>
      <c r="F33" s="19">
        <v>68.38</v>
      </c>
      <c r="G33" s="17" t="s">
        <v>12</v>
      </c>
      <c r="H33" s="8" t="s">
        <v>12</v>
      </c>
    </row>
    <row r="34">
      <c r="A34" s="15">
        <v>44570.0</v>
      </c>
      <c r="B34" s="8" t="s">
        <v>8</v>
      </c>
      <c r="C34" s="16" t="s">
        <v>9</v>
      </c>
      <c r="D34" s="17" t="s">
        <v>14</v>
      </c>
      <c r="E34" s="18" t="s">
        <v>11</v>
      </c>
      <c r="F34" s="19">
        <v>68.38</v>
      </c>
      <c r="G34" s="17" t="s">
        <v>12</v>
      </c>
      <c r="H34" s="8" t="s">
        <v>12</v>
      </c>
    </row>
    <row r="35">
      <c r="A35" s="15">
        <v>44571.0</v>
      </c>
      <c r="B35" s="8" t="s">
        <v>8</v>
      </c>
      <c r="C35" s="16" t="s">
        <v>16</v>
      </c>
      <c r="D35" s="17" t="s">
        <v>10</v>
      </c>
      <c r="E35" s="18" t="s">
        <v>24</v>
      </c>
      <c r="F35" s="19">
        <v>44.9</v>
      </c>
      <c r="G35" s="17" t="s">
        <v>12</v>
      </c>
      <c r="H35" s="8" t="s">
        <v>12</v>
      </c>
    </row>
    <row r="36">
      <c r="A36" s="15">
        <v>44571.0</v>
      </c>
      <c r="B36" s="8" t="s">
        <v>8</v>
      </c>
      <c r="C36" s="16" t="s">
        <v>16</v>
      </c>
      <c r="D36" s="17" t="s">
        <v>14</v>
      </c>
      <c r="E36" s="18" t="s">
        <v>19</v>
      </c>
      <c r="F36" s="19">
        <v>70.15</v>
      </c>
      <c r="G36" s="17" t="s">
        <v>12</v>
      </c>
      <c r="H36" s="8" t="s">
        <v>12</v>
      </c>
    </row>
    <row r="37">
      <c r="A37" s="15">
        <v>44571.0</v>
      </c>
      <c r="B37" s="8" t="s">
        <v>8</v>
      </c>
      <c r="C37" s="16" t="s">
        <v>16</v>
      </c>
      <c r="D37" s="17" t="s">
        <v>14</v>
      </c>
      <c r="E37" s="18" t="s">
        <v>17</v>
      </c>
      <c r="F37" s="19">
        <v>70.15</v>
      </c>
      <c r="G37" s="17" t="s">
        <v>12</v>
      </c>
      <c r="H37" s="8" t="s">
        <v>12</v>
      </c>
    </row>
    <row r="38">
      <c r="A38" s="15">
        <v>44572.0</v>
      </c>
      <c r="B38" s="8" t="s">
        <v>8</v>
      </c>
      <c r="C38" s="16" t="s">
        <v>18</v>
      </c>
      <c r="D38" s="17" t="s">
        <v>10</v>
      </c>
      <c r="E38" s="18" t="s">
        <v>19</v>
      </c>
      <c r="F38" s="19">
        <v>82.55</v>
      </c>
      <c r="G38" s="17" t="s">
        <v>12</v>
      </c>
      <c r="H38" s="8" t="s">
        <v>12</v>
      </c>
    </row>
    <row r="39">
      <c r="A39" s="15">
        <v>44572.0</v>
      </c>
      <c r="B39" s="8" t="s">
        <v>8</v>
      </c>
      <c r="C39" s="16" t="s">
        <v>18</v>
      </c>
      <c r="D39" s="17" t="s">
        <v>14</v>
      </c>
      <c r="E39" s="18" t="s">
        <v>11</v>
      </c>
      <c r="F39" s="19">
        <v>21.77</v>
      </c>
      <c r="G39" s="17" t="s">
        <v>12</v>
      </c>
      <c r="H39" s="8" t="s">
        <v>12</v>
      </c>
    </row>
    <row r="40">
      <c r="A40" s="15">
        <v>44572.0</v>
      </c>
      <c r="B40" s="8" t="s">
        <v>8</v>
      </c>
      <c r="C40" s="16" t="s">
        <v>18</v>
      </c>
      <c r="D40" s="17" t="s">
        <v>14</v>
      </c>
      <c r="E40" s="18" t="s">
        <v>15</v>
      </c>
      <c r="F40" s="19">
        <v>14.51</v>
      </c>
      <c r="G40" s="17" t="s">
        <v>12</v>
      </c>
      <c r="H40" s="8" t="s">
        <v>12</v>
      </c>
    </row>
    <row r="41">
      <c r="A41" s="15">
        <v>44573.0</v>
      </c>
      <c r="B41" s="8" t="s">
        <v>8</v>
      </c>
      <c r="C41" s="16" t="s">
        <v>20</v>
      </c>
      <c r="D41" s="17" t="s">
        <v>10</v>
      </c>
      <c r="E41" s="18" t="s">
        <v>11</v>
      </c>
      <c r="F41" s="19">
        <v>76.0</v>
      </c>
      <c r="G41" s="17" t="s">
        <v>12</v>
      </c>
      <c r="H41" s="8" t="s">
        <v>12</v>
      </c>
    </row>
    <row r="42">
      <c r="A42" s="15">
        <v>44573.0</v>
      </c>
      <c r="B42" s="8" t="s">
        <v>8</v>
      </c>
      <c r="C42" s="16" t="s">
        <v>20</v>
      </c>
      <c r="D42" s="17" t="s">
        <v>14</v>
      </c>
      <c r="E42" s="18" t="s">
        <v>19</v>
      </c>
      <c r="F42" s="19">
        <v>81.87</v>
      </c>
      <c r="G42" s="17" t="s">
        <v>12</v>
      </c>
      <c r="H42" s="8" t="s">
        <v>12</v>
      </c>
    </row>
    <row r="43">
      <c r="A43" s="15">
        <v>44573.0</v>
      </c>
      <c r="B43" s="8" t="s">
        <v>8</v>
      </c>
      <c r="C43" s="16" t="s">
        <v>20</v>
      </c>
      <c r="D43" s="17" t="s">
        <v>14</v>
      </c>
      <c r="E43" s="18" t="s">
        <v>15</v>
      </c>
      <c r="F43" s="19">
        <v>81.87</v>
      </c>
      <c r="G43" s="17" t="s">
        <v>12</v>
      </c>
      <c r="H43" s="8" t="s">
        <v>12</v>
      </c>
    </row>
    <row r="44">
      <c r="A44" s="15">
        <v>44574.0</v>
      </c>
      <c r="B44" s="8" t="s">
        <v>8</v>
      </c>
      <c r="C44" s="16" t="s">
        <v>21</v>
      </c>
      <c r="D44" s="17" t="s">
        <v>10</v>
      </c>
      <c r="E44" s="18" t="s">
        <v>19</v>
      </c>
      <c r="F44" s="19">
        <v>88.32</v>
      </c>
      <c r="G44" s="17" t="s">
        <v>12</v>
      </c>
      <c r="H44" s="8" t="s">
        <v>12</v>
      </c>
    </row>
    <row r="45">
      <c r="A45" s="15">
        <v>44574.0</v>
      </c>
      <c r="B45" s="8" t="s">
        <v>8</v>
      </c>
      <c r="C45" s="16" t="s">
        <v>21</v>
      </c>
      <c r="D45" s="17" t="s">
        <v>14</v>
      </c>
      <c r="E45" s="18" t="s">
        <v>19</v>
      </c>
      <c r="F45" s="19">
        <v>44.4</v>
      </c>
      <c r="G45" s="17" t="s">
        <v>12</v>
      </c>
      <c r="H45" s="8" t="s">
        <v>12</v>
      </c>
    </row>
    <row r="46">
      <c r="A46" s="15">
        <v>44574.0</v>
      </c>
      <c r="B46" s="8" t="s">
        <v>8</v>
      </c>
      <c r="C46" s="16" t="s">
        <v>21</v>
      </c>
      <c r="D46" s="17" t="s">
        <v>14</v>
      </c>
      <c r="E46" s="18" t="s">
        <v>13</v>
      </c>
      <c r="F46" s="19">
        <v>34.53</v>
      </c>
      <c r="G46" s="17" t="s">
        <v>12</v>
      </c>
      <c r="H46" s="8" t="s">
        <v>12</v>
      </c>
    </row>
    <row r="47">
      <c r="A47" s="15">
        <v>44574.0</v>
      </c>
      <c r="B47" s="8" t="s">
        <v>8</v>
      </c>
      <c r="C47" s="16" t="s">
        <v>21</v>
      </c>
      <c r="D47" s="17" t="s">
        <v>14</v>
      </c>
      <c r="E47" s="18" t="s">
        <v>17</v>
      </c>
      <c r="F47" s="19">
        <v>19.73</v>
      </c>
      <c r="G47" s="17" t="s">
        <v>12</v>
      </c>
      <c r="H47" s="8" t="s">
        <v>12</v>
      </c>
    </row>
    <row r="48">
      <c r="A48" s="15">
        <v>44575.0</v>
      </c>
      <c r="B48" s="8" t="s">
        <v>8</v>
      </c>
      <c r="C48" s="16" t="s">
        <v>22</v>
      </c>
      <c r="D48" s="17" t="s">
        <v>10</v>
      </c>
      <c r="E48" s="18" t="s">
        <v>11</v>
      </c>
      <c r="F48" s="19">
        <v>106.33</v>
      </c>
      <c r="G48" s="17" t="s">
        <v>12</v>
      </c>
      <c r="H48" s="8" t="s">
        <v>12</v>
      </c>
    </row>
    <row r="49">
      <c r="A49" s="15">
        <v>44575.0</v>
      </c>
      <c r="B49" s="8" t="s">
        <v>8</v>
      </c>
      <c r="C49" s="16" t="s">
        <v>22</v>
      </c>
      <c r="D49" s="17" t="s">
        <v>14</v>
      </c>
      <c r="E49" s="18" t="s">
        <v>11</v>
      </c>
      <c r="F49" s="19">
        <v>70.01</v>
      </c>
      <c r="G49" s="17" t="s">
        <v>12</v>
      </c>
      <c r="H49" s="8" t="s">
        <v>12</v>
      </c>
    </row>
    <row r="50">
      <c r="A50" s="15">
        <v>44575.0</v>
      </c>
      <c r="B50" s="8" t="s">
        <v>8</v>
      </c>
      <c r="C50" s="16" t="s">
        <v>22</v>
      </c>
      <c r="D50" s="17" t="s">
        <v>14</v>
      </c>
      <c r="E50" s="18" t="s">
        <v>24</v>
      </c>
      <c r="F50" s="19">
        <v>70.01</v>
      </c>
      <c r="G50" s="17" t="s">
        <v>12</v>
      </c>
      <c r="H50" s="8" t="s">
        <v>12</v>
      </c>
    </row>
    <row r="51">
      <c r="A51" s="15">
        <v>44575.0</v>
      </c>
      <c r="B51" s="8" t="s">
        <v>8</v>
      </c>
      <c r="C51" s="16" t="s">
        <v>22</v>
      </c>
      <c r="D51" s="17" t="s">
        <v>14</v>
      </c>
      <c r="E51" s="18" t="s">
        <v>13</v>
      </c>
      <c r="F51" s="19">
        <v>70.01</v>
      </c>
      <c r="G51" s="17" t="s">
        <v>12</v>
      </c>
      <c r="H51" s="8" t="s">
        <v>12</v>
      </c>
    </row>
    <row r="52">
      <c r="A52" s="15">
        <v>44576.0</v>
      </c>
      <c r="B52" s="8" t="s">
        <v>8</v>
      </c>
      <c r="C52" s="16" t="s">
        <v>23</v>
      </c>
      <c r="D52" s="17" t="s">
        <v>10</v>
      </c>
      <c r="E52" s="18" t="s">
        <v>11</v>
      </c>
      <c r="F52" s="19">
        <v>156.96</v>
      </c>
      <c r="G52" s="17" t="s">
        <v>12</v>
      </c>
      <c r="H52" s="8" t="s">
        <v>12</v>
      </c>
    </row>
    <row r="53">
      <c r="A53" s="15">
        <v>44576.0</v>
      </c>
      <c r="B53" s="8" t="s">
        <v>8</v>
      </c>
      <c r="C53" s="16" t="s">
        <v>23</v>
      </c>
      <c r="D53" s="17" t="s">
        <v>10</v>
      </c>
      <c r="E53" s="18" t="s">
        <v>13</v>
      </c>
      <c r="F53" s="19">
        <v>112.11</v>
      </c>
      <c r="G53" s="17" t="s">
        <v>12</v>
      </c>
      <c r="H53" s="8" t="s">
        <v>12</v>
      </c>
    </row>
    <row r="54">
      <c r="A54" s="15">
        <v>44576.0</v>
      </c>
      <c r="B54" s="8" t="s">
        <v>8</v>
      </c>
      <c r="C54" s="16" t="s">
        <v>23</v>
      </c>
      <c r="D54" s="17" t="s">
        <v>14</v>
      </c>
      <c r="E54" s="18" t="s">
        <v>11</v>
      </c>
      <c r="F54" s="19">
        <v>16.6</v>
      </c>
      <c r="G54" s="17" t="s">
        <v>12</v>
      </c>
      <c r="H54" s="8" t="s">
        <v>12</v>
      </c>
    </row>
    <row r="55">
      <c r="A55" s="15">
        <v>44576.0</v>
      </c>
      <c r="B55" s="8" t="s">
        <v>8</v>
      </c>
      <c r="C55" s="16" t="s">
        <v>23</v>
      </c>
      <c r="D55" s="17" t="s">
        <v>14</v>
      </c>
      <c r="E55" s="18" t="s">
        <v>13</v>
      </c>
      <c r="F55" s="19">
        <v>16.6</v>
      </c>
      <c r="G55" s="17" t="s">
        <v>12</v>
      </c>
      <c r="H55" s="8" t="s">
        <v>12</v>
      </c>
    </row>
    <row r="56">
      <c r="A56" s="15">
        <v>44576.0</v>
      </c>
      <c r="B56" s="8" t="s">
        <v>8</v>
      </c>
      <c r="C56" s="16" t="s">
        <v>23</v>
      </c>
      <c r="D56" s="17" t="s">
        <v>14</v>
      </c>
      <c r="E56" s="18" t="s">
        <v>24</v>
      </c>
      <c r="F56" s="19">
        <v>45.65</v>
      </c>
      <c r="G56" s="17" t="s">
        <v>12</v>
      </c>
      <c r="H56" s="8" t="s">
        <v>12</v>
      </c>
    </row>
    <row r="57">
      <c r="A57" s="15">
        <v>44576.0</v>
      </c>
      <c r="B57" s="8" t="s">
        <v>8</v>
      </c>
      <c r="C57" s="16" t="s">
        <v>23</v>
      </c>
      <c r="D57" s="17" t="s">
        <v>14</v>
      </c>
      <c r="E57" s="18" t="s">
        <v>15</v>
      </c>
      <c r="F57" s="19">
        <v>24.9</v>
      </c>
      <c r="G57" s="17" t="s">
        <v>12</v>
      </c>
      <c r="H57" s="8" t="s">
        <v>12</v>
      </c>
    </row>
    <row r="58">
      <c r="A58" s="15">
        <v>44577.0</v>
      </c>
      <c r="B58" s="8" t="s">
        <v>8</v>
      </c>
      <c r="C58" s="16" t="s">
        <v>9</v>
      </c>
      <c r="D58" s="17" t="s">
        <v>10</v>
      </c>
      <c r="E58" s="18" t="s">
        <v>19</v>
      </c>
      <c r="F58" s="19">
        <v>76.56</v>
      </c>
      <c r="G58" s="17" t="s">
        <v>12</v>
      </c>
      <c r="H58" s="8" t="s">
        <v>12</v>
      </c>
    </row>
    <row r="59">
      <c r="A59" s="15">
        <v>44577.0</v>
      </c>
      <c r="B59" s="8" t="s">
        <v>8</v>
      </c>
      <c r="C59" s="16" t="s">
        <v>9</v>
      </c>
      <c r="D59" s="17" t="s">
        <v>10</v>
      </c>
      <c r="E59" s="18" t="s">
        <v>13</v>
      </c>
      <c r="F59" s="19">
        <v>63.8</v>
      </c>
      <c r="G59" s="17" t="s">
        <v>12</v>
      </c>
      <c r="H59" s="8" t="s">
        <v>12</v>
      </c>
    </row>
    <row r="60">
      <c r="A60" s="15">
        <v>44577.0</v>
      </c>
      <c r="B60" s="8" t="s">
        <v>8</v>
      </c>
      <c r="C60" s="16" t="s">
        <v>9</v>
      </c>
      <c r="D60" s="17" t="s">
        <v>10</v>
      </c>
      <c r="E60" s="18" t="s">
        <v>24</v>
      </c>
      <c r="F60" s="19">
        <v>63.8</v>
      </c>
      <c r="G60" s="17" t="s">
        <v>12</v>
      </c>
      <c r="H60" s="8" t="s">
        <v>12</v>
      </c>
    </row>
    <row r="61">
      <c r="A61" s="15">
        <v>44577.0</v>
      </c>
      <c r="B61" s="8" t="s">
        <v>8</v>
      </c>
      <c r="C61" s="16" t="s">
        <v>9</v>
      </c>
      <c r="D61" s="17" t="s">
        <v>14</v>
      </c>
      <c r="E61" s="18" t="s">
        <v>13</v>
      </c>
      <c r="F61" s="19">
        <v>110.72</v>
      </c>
      <c r="G61" s="17" t="s">
        <v>12</v>
      </c>
      <c r="H61" s="8" t="s">
        <v>12</v>
      </c>
    </row>
    <row r="62">
      <c r="A62" s="15">
        <v>44577.0</v>
      </c>
      <c r="B62" s="8" t="s">
        <v>8</v>
      </c>
      <c r="C62" s="16" t="s">
        <v>9</v>
      </c>
      <c r="D62" s="17" t="s">
        <v>14</v>
      </c>
      <c r="E62" s="18" t="s">
        <v>24</v>
      </c>
      <c r="F62" s="19">
        <v>110.72</v>
      </c>
      <c r="G62" s="17" t="s">
        <v>12</v>
      </c>
      <c r="H62" s="8" t="s">
        <v>12</v>
      </c>
    </row>
    <row r="63">
      <c r="A63" s="15">
        <v>44578.0</v>
      </c>
      <c r="B63" s="8" t="s">
        <v>8</v>
      </c>
      <c r="C63" s="16" t="s">
        <v>16</v>
      </c>
      <c r="D63" s="17" t="s">
        <v>10</v>
      </c>
      <c r="E63" s="18" t="s">
        <v>15</v>
      </c>
      <c r="F63" s="19">
        <v>129.08</v>
      </c>
      <c r="G63" s="17" t="s">
        <v>12</v>
      </c>
      <c r="H63" s="8" t="s">
        <v>12</v>
      </c>
    </row>
    <row r="64">
      <c r="A64" s="15">
        <v>44578.0</v>
      </c>
      <c r="B64" s="8" t="s">
        <v>8</v>
      </c>
      <c r="C64" s="16" t="s">
        <v>16</v>
      </c>
      <c r="D64" s="17" t="s">
        <v>10</v>
      </c>
      <c r="E64" s="18" t="s">
        <v>24</v>
      </c>
      <c r="F64" s="19">
        <v>90.36</v>
      </c>
      <c r="G64" s="17" t="s">
        <v>12</v>
      </c>
      <c r="H64" s="8" t="s">
        <v>12</v>
      </c>
    </row>
    <row r="65">
      <c r="A65" s="15">
        <v>44578.0</v>
      </c>
      <c r="B65" s="8" t="s">
        <v>8</v>
      </c>
      <c r="C65" s="16" t="s">
        <v>16</v>
      </c>
      <c r="D65" s="17" t="s">
        <v>14</v>
      </c>
      <c r="E65" s="18" t="s">
        <v>19</v>
      </c>
      <c r="F65" s="19">
        <v>86.53</v>
      </c>
      <c r="G65" s="17" t="s">
        <v>12</v>
      </c>
      <c r="H65" s="8" t="s">
        <v>12</v>
      </c>
    </row>
    <row r="66">
      <c r="A66" s="15">
        <v>44578.0</v>
      </c>
      <c r="B66" s="8" t="s">
        <v>8</v>
      </c>
      <c r="C66" s="16" t="s">
        <v>16</v>
      </c>
      <c r="D66" s="17" t="s">
        <v>14</v>
      </c>
      <c r="E66" s="18" t="s">
        <v>15</v>
      </c>
      <c r="F66" s="19">
        <v>86.53</v>
      </c>
      <c r="G66" s="17" t="s">
        <v>12</v>
      </c>
      <c r="H66" s="8" t="s">
        <v>12</v>
      </c>
    </row>
    <row r="67">
      <c r="A67" s="15">
        <v>44579.0</v>
      </c>
      <c r="B67" s="8" t="s">
        <v>8</v>
      </c>
      <c r="C67" s="16" t="s">
        <v>18</v>
      </c>
      <c r="D67" s="17" t="s">
        <v>10</v>
      </c>
      <c r="E67" s="18" t="s">
        <v>11</v>
      </c>
      <c r="F67" s="19">
        <v>52.83</v>
      </c>
      <c r="G67" s="17" t="s">
        <v>12</v>
      </c>
      <c r="H67" s="8" t="s">
        <v>12</v>
      </c>
    </row>
    <row r="68">
      <c r="A68" s="15">
        <v>44579.0</v>
      </c>
      <c r="B68" s="8" t="s">
        <v>8</v>
      </c>
      <c r="C68" s="16" t="s">
        <v>18</v>
      </c>
      <c r="D68" s="17" t="s">
        <v>14</v>
      </c>
      <c r="E68" s="18" t="s">
        <v>11</v>
      </c>
      <c r="F68" s="19">
        <v>29.92</v>
      </c>
      <c r="G68" s="17" t="s">
        <v>12</v>
      </c>
      <c r="H68" s="8" t="s">
        <v>12</v>
      </c>
    </row>
    <row r="69">
      <c r="A69" s="15">
        <v>44579.0</v>
      </c>
      <c r="B69" s="8" t="s">
        <v>8</v>
      </c>
      <c r="C69" s="16" t="s">
        <v>18</v>
      </c>
      <c r="D69" s="17" t="s">
        <v>14</v>
      </c>
      <c r="E69" s="18" t="s">
        <v>25</v>
      </c>
      <c r="F69" s="19">
        <v>0.0</v>
      </c>
      <c r="G69" s="20" t="s">
        <v>26</v>
      </c>
      <c r="H69" s="8" t="s">
        <v>12</v>
      </c>
    </row>
    <row r="70">
      <c r="A70" s="15">
        <v>44579.0</v>
      </c>
      <c r="B70" s="8" t="s">
        <v>8</v>
      </c>
      <c r="C70" s="16" t="s">
        <v>18</v>
      </c>
      <c r="D70" s="17" t="s">
        <v>14</v>
      </c>
      <c r="E70" s="18" t="s">
        <v>15</v>
      </c>
      <c r="F70" s="19">
        <v>9.97</v>
      </c>
      <c r="G70" s="17" t="s">
        <v>12</v>
      </c>
      <c r="H70" s="8" t="s">
        <v>12</v>
      </c>
    </row>
    <row r="71">
      <c r="A71" s="15">
        <v>44580.0</v>
      </c>
      <c r="B71" s="8" t="s">
        <v>8</v>
      </c>
      <c r="C71" s="16" t="s">
        <v>20</v>
      </c>
      <c r="D71" s="17" t="s">
        <v>10</v>
      </c>
      <c r="E71" s="18" t="s">
        <v>19</v>
      </c>
      <c r="F71" s="19">
        <v>86.96</v>
      </c>
      <c r="G71" s="17" t="s">
        <v>12</v>
      </c>
      <c r="H71" s="8" t="s">
        <v>12</v>
      </c>
    </row>
    <row r="72">
      <c r="A72" s="15">
        <v>44580.0</v>
      </c>
      <c r="B72" s="8" t="s">
        <v>8</v>
      </c>
      <c r="C72" s="16" t="s">
        <v>20</v>
      </c>
      <c r="D72" s="17" t="s">
        <v>14</v>
      </c>
      <c r="E72" s="18" t="s">
        <v>19</v>
      </c>
      <c r="F72" s="19">
        <v>91.9</v>
      </c>
      <c r="G72" s="17" t="s">
        <v>12</v>
      </c>
      <c r="H72" s="8" t="s">
        <v>12</v>
      </c>
    </row>
    <row r="73">
      <c r="A73" s="15">
        <v>44580.0</v>
      </c>
      <c r="B73" s="8" t="s">
        <v>8</v>
      </c>
      <c r="C73" s="16" t="s">
        <v>20</v>
      </c>
      <c r="D73" s="17" t="s">
        <v>14</v>
      </c>
      <c r="E73" s="18" t="s">
        <v>17</v>
      </c>
      <c r="F73" s="19">
        <v>61.27</v>
      </c>
      <c r="G73" s="17" t="s">
        <v>12</v>
      </c>
      <c r="H73" s="8" t="s">
        <v>12</v>
      </c>
    </row>
    <row r="74">
      <c r="A74" s="15">
        <v>44581.0</v>
      </c>
      <c r="B74" s="8" t="s">
        <v>8</v>
      </c>
      <c r="C74" s="16" t="s">
        <v>21</v>
      </c>
      <c r="D74" s="17" t="s">
        <v>10</v>
      </c>
      <c r="E74" s="18" t="s">
        <v>11</v>
      </c>
      <c r="F74" s="19">
        <v>64.54</v>
      </c>
      <c r="G74" s="17" t="s">
        <v>12</v>
      </c>
      <c r="H74" s="8" t="s">
        <v>12</v>
      </c>
    </row>
    <row r="75">
      <c r="A75" s="15">
        <v>44581.0</v>
      </c>
      <c r="B75" s="8" t="s">
        <v>8</v>
      </c>
      <c r="C75" s="16" t="s">
        <v>21</v>
      </c>
      <c r="D75" s="17" t="s">
        <v>10</v>
      </c>
      <c r="E75" s="18" t="s">
        <v>27</v>
      </c>
      <c r="F75" s="19">
        <v>0.0</v>
      </c>
      <c r="G75" s="20" t="s">
        <v>26</v>
      </c>
      <c r="H75" s="8" t="s">
        <v>12</v>
      </c>
    </row>
    <row r="76">
      <c r="A76" s="15">
        <v>44581.0</v>
      </c>
      <c r="B76" s="8" t="s">
        <v>8</v>
      </c>
      <c r="C76" s="16" t="s">
        <v>21</v>
      </c>
      <c r="D76" s="17" t="s">
        <v>14</v>
      </c>
      <c r="E76" s="18" t="s">
        <v>11</v>
      </c>
      <c r="F76" s="19">
        <v>74.04</v>
      </c>
      <c r="G76" s="17" t="s">
        <v>12</v>
      </c>
      <c r="H76" s="8" t="s">
        <v>12</v>
      </c>
    </row>
    <row r="77">
      <c r="A77" s="15">
        <v>44581.0</v>
      </c>
      <c r="B77" s="8" t="s">
        <v>8</v>
      </c>
      <c r="C77" s="16" t="s">
        <v>21</v>
      </c>
      <c r="D77" s="17" t="s">
        <v>14</v>
      </c>
      <c r="E77" s="18" t="s">
        <v>17</v>
      </c>
      <c r="F77" s="19">
        <v>41.13</v>
      </c>
      <c r="G77" s="17" t="s">
        <v>12</v>
      </c>
      <c r="H77" s="8" t="s">
        <v>12</v>
      </c>
    </row>
    <row r="78">
      <c r="A78" s="15">
        <v>44582.0</v>
      </c>
      <c r="B78" s="8" t="s">
        <v>8</v>
      </c>
      <c r="C78" s="16" t="s">
        <v>22</v>
      </c>
      <c r="D78" s="17" t="s">
        <v>10</v>
      </c>
      <c r="E78" s="18" t="s">
        <v>11</v>
      </c>
      <c r="F78" s="19">
        <v>45.19</v>
      </c>
      <c r="G78" s="17" t="s">
        <v>12</v>
      </c>
      <c r="H78" s="8" t="s">
        <v>12</v>
      </c>
    </row>
    <row r="79">
      <c r="A79" s="15">
        <v>44582.0</v>
      </c>
      <c r="B79" s="8" t="s">
        <v>8</v>
      </c>
      <c r="C79" s="16" t="s">
        <v>22</v>
      </c>
      <c r="D79" s="17" t="s">
        <v>10</v>
      </c>
      <c r="E79" s="18" t="s">
        <v>27</v>
      </c>
      <c r="F79" s="19">
        <v>0.0</v>
      </c>
      <c r="G79" s="20" t="s">
        <v>26</v>
      </c>
      <c r="H79" s="8" t="s">
        <v>12</v>
      </c>
    </row>
    <row r="80">
      <c r="A80" s="15">
        <v>44582.0</v>
      </c>
      <c r="B80" s="8" t="s">
        <v>8</v>
      </c>
      <c r="C80" s="16" t="s">
        <v>22</v>
      </c>
      <c r="D80" s="17" t="s">
        <v>14</v>
      </c>
      <c r="E80" s="18" t="s">
        <v>11</v>
      </c>
      <c r="F80" s="19">
        <v>84.74</v>
      </c>
      <c r="G80" s="17" t="s">
        <v>12</v>
      </c>
      <c r="H80" s="8" t="s">
        <v>12</v>
      </c>
    </row>
    <row r="81">
      <c r="A81" s="15">
        <v>44582.0</v>
      </c>
      <c r="B81" s="8" t="s">
        <v>8</v>
      </c>
      <c r="C81" s="16" t="s">
        <v>22</v>
      </c>
      <c r="D81" s="17" t="s">
        <v>14</v>
      </c>
      <c r="E81" s="18" t="s">
        <v>13</v>
      </c>
      <c r="F81" s="19">
        <v>75.32</v>
      </c>
      <c r="G81" s="17" t="s">
        <v>12</v>
      </c>
      <c r="H81" s="8" t="s">
        <v>12</v>
      </c>
    </row>
    <row r="82">
      <c r="A82" s="15">
        <v>44582.0</v>
      </c>
      <c r="B82" s="8" t="s">
        <v>8</v>
      </c>
      <c r="C82" s="16" t="s">
        <v>22</v>
      </c>
      <c r="D82" s="17" t="s">
        <v>14</v>
      </c>
      <c r="E82" s="18" t="s">
        <v>25</v>
      </c>
      <c r="F82" s="19">
        <v>0.0</v>
      </c>
      <c r="G82" s="20" t="s">
        <v>26</v>
      </c>
      <c r="H82" s="8" t="s">
        <v>12</v>
      </c>
    </row>
    <row r="83">
      <c r="A83" s="15">
        <v>44583.0</v>
      </c>
      <c r="B83" s="8" t="s">
        <v>8</v>
      </c>
      <c r="C83" s="16" t="s">
        <v>23</v>
      </c>
      <c r="D83" s="17" t="s">
        <v>10</v>
      </c>
      <c r="E83" s="18" t="s">
        <v>11</v>
      </c>
      <c r="F83" s="19">
        <v>65.56</v>
      </c>
      <c r="G83" s="17" t="s">
        <v>12</v>
      </c>
      <c r="H83" s="8" t="s">
        <v>12</v>
      </c>
    </row>
    <row r="84">
      <c r="A84" s="15">
        <v>44583.0</v>
      </c>
      <c r="B84" s="8" t="s">
        <v>8</v>
      </c>
      <c r="C84" s="16" t="s">
        <v>23</v>
      </c>
      <c r="D84" s="17" t="s">
        <v>10</v>
      </c>
      <c r="E84" s="18" t="s">
        <v>13</v>
      </c>
      <c r="F84" s="19">
        <v>50.45</v>
      </c>
      <c r="G84" s="17" t="s">
        <v>12</v>
      </c>
      <c r="H84" s="8" t="s">
        <v>12</v>
      </c>
    </row>
    <row r="85">
      <c r="A85" s="15">
        <v>44583.0</v>
      </c>
      <c r="B85" s="8" t="s">
        <v>8</v>
      </c>
      <c r="C85" s="16" t="s">
        <v>23</v>
      </c>
      <c r="D85" s="17" t="s">
        <v>10</v>
      </c>
      <c r="E85" s="18" t="s">
        <v>25</v>
      </c>
      <c r="F85" s="19">
        <v>50.45</v>
      </c>
      <c r="G85" s="17" t="s">
        <v>12</v>
      </c>
      <c r="H85" s="8" t="s">
        <v>12</v>
      </c>
    </row>
    <row r="86">
      <c r="A86" s="15">
        <v>44583.0</v>
      </c>
      <c r="B86" s="8" t="s">
        <v>8</v>
      </c>
      <c r="C86" s="16" t="s">
        <v>23</v>
      </c>
      <c r="D86" s="17" t="s">
        <v>14</v>
      </c>
      <c r="E86" s="18" t="s">
        <v>13</v>
      </c>
      <c r="F86" s="19">
        <v>118.85</v>
      </c>
      <c r="G86" s="17" t="s">
        <v>12</v>
      </c>
      <c r="H86" s="8" t="s">
        <v>12</v>
      </c>
    </row>
    <row r="87">
      <c r="A87" s="15">
        <v>44583.0</v>
      </c>
      <c r="B87" s="8" t="s">
        <v>8</v>
      </c>
      <c r="C87" s="16" t="s">
        <v>23</v>
      </c>
      <c r="D87" s="17" t="s">
        <v>14</v>
      </c>
      <c r="E87" s="18" t="s">
        <v>17</v>
      </c>
      <c r="F87" s="19">
        <v>118.85</v>
      </c>
      <c r="G87" s="17" t="s">
        <v>12</v>
      </c>
      <c r="H87" s="8" t="s">
        <v>12</v>
      </c>
    </row>
    <row r="88">
      <c r="A88" s="15">
        <v>44583.0</v>
      </c>
      <c r="B88" s="8" t="s">
        <v>8</v>
      </c>
      <c r="C88" s="16" t="s">
        <v>23</v>
      </c>
      <c r="D88" s="17" t="s">
        <v>14</v>
      </c>
      <c r="E88" s="18" t="s">
        <v>19</v>
      </c>
      <c r="F88" s="19">
        <v>79.23</v>
      </c>
      <c r="G88" s="17" t="s">
        <v>12</v>
      </c>
      <c r="H88" s="8" t="s">
        <v>12</v>
      </c>
    </row>
    <row r="89">
      <c r="A89" s="15">
        <v>44584.0</v>
      </c>
      <c r="B89" s="8" t="s">
        <v>8</v>
      </c>
      <c r="C89" s="16" t="s">
        <v>9</v>
      </c>
      <c r="D89" s="17" t="s">
        <v>10</v>
      </c>
      <c r="E89" s="18" t="s">
        <v>19</v>
      </c>
      <c r="F89" s="19">
        <v>114.46</v>
      </c>
      <c r="G89" s="17" t="s">
        <v>12</v>
      </c>
      <c r="H89" s="8" t="s">
        <v>12</v>
      </c>
    </row>
    <row r="90">
      <c r="A90" s="15">
        <v>44584.0</v>
      </c>
      <c r="B90" s="8" t="s">
        <v>8</v>
      </c>
      <c r="C90" s="16" t="s">
        <v>9</v>
      </c>
      <c r="D90" s="17" t="s">
        <v>10</v>
      </c>
      <c r="E90" s="18" t="s">
        <v>27</v>
      </c>
      <c r="F90" s="19">
        <v>114.46</v>
      </c>
      <c r="G90" s="17" t="s">
        <v>12</v>
      </c>
      <c r="H90" s="8" t="s">
        <v>12</v>
      </c>
    </row>
    <row r="91">
      <c r="A91" s="15">
        <v>44585.0</v>
      </c>
      <c r="B91" s="8" t="s">
        <v>8</v>
      </c>
      <c r="C91" s="16" t="s">
        <v>16</v>
      </c>
      <c r="D91" s="17" t="s">
        <v>10</v>
      </c>
      <c r="E91" s="18" t="s">
        <v>11</v>
      </c>
      <c r="F91" s="19">
        <v>89.89</v>
      </c>
      <c r="G91" s="17" t="s">
        <v>12</v>
      </c>
      <c r="H91" s="8" t="s">
        <v>12</v>
      </c>
    </row>
    <row r="92">
      <c r="A92" s="15">
        <v>44585.0</v>
      </c>
      <c r="B92" s="8" t="s">
        <v>8</v>
      </c>
      <c r="C92" s="16" t="s">
        <v>16</v>
      </c>
      <c r="D92" s="17" t="s">
        <v>14</v>
      </c>
      <c r="E92" s="18" t="s">
        <v>11</v>
      </c>
      <c r="F92" s="19">
        <v>63.91</v>
      </c>
      <c r="G92" s="17" t="s">
        <v>12</v>
      </c>
      <c r="H92" s="8" t="s">
        <v>12</v>
      </c>
    </row>
    <row r="93">
      <c r="A93" s="15">
        <v>44585.0</v>
      </c>
      <c r="B93" s="8" t="s">
        <v>8</v>
      </c>
      <c r="C93" s="16" t="s">
        <v>16</v>
      </c>
      <c r="D93" s="17" t="s">
        <v>14</v>
      </c>
      <c r="E93" s="18" t="s">
        <v>27</v>
      </c>
      <c r="F93" s="19">
        <v>56.81</v>
      </c>
      <c r="G93" s="17" t="s">
        <v>12</v>
      </c>
      <c r="H93" s="8" t="s">
        <v>12</v>
      </c>
    </row>
    <row r="94">
      <c r="A94" s="15">
        <v>44585.0</v>
      </c>
      <c r="B94" s="8" t="s">
        <v>8</v>
      </c>
      <c r="C94" s="16" t="s">
        <v>16</v>
      </c>
      <c r="D94" s="17" t="s">
        <v>14</v>
      </c>
      <c r="E94" s="18" t="s">
        <v>17</v>
      </c>
      <c r="F94" s="19">
        <v>21.31</v>
      </c>
      <c r="G94" s="17" t="s">
        <v>12</v>
      </c>
      <c r="H94" s="8" t="s">
        <v>12</v>
      </c>
    </row>
    <row r="95">
      <c r="A95" s="15">
        <v>44586.0</v>
      </c>
      <c r="B95" s="8" t="s">
        <v>8</v>
      </c>
      <c r="C95" s="16" t="s">
        <v>18</v>
      </c>
      <c r="D95" s="17" t="s">
        <v>10</v>
      </c>
      <c r="E95" s="18" t="s">
        <v>19</v>
      </c>
      <c r="F95" s="19">
        <v>39.57</v>
      </c>
      <c r="G95" s="17" t="s">
        <v>12</v>
      </c>
      <c r="H95" s="8" t="s">
        <v>12</v>
      </c>
    </row>
    <row r="96">
      <c r="A96" s="15">
        <v>44586.0</v>
      </c>
      <c r="B96" s="8" t="s">
        <v>8</v>
      </c>
      <c r="C96" s="16" t="s">
        <v>18</v>
      </c>
      <c r="D96" s="17" t="s">
        <v>14</v>
      </c>
      <c r="E96" s="18" t="s">
        <v>11</v>
      </c>
      <c r="F96" s="19">
        <v>56.85</v>
      </c>
      <c r="G96" s="17" t="s">
        <v>12</v>
      </c>
      <c r="H96" s="8" t="s">
        <v>12</v>
      </c>
    </row>
    <row r="97">
      <c r="A97" s="15">
        <v>44586.0</v>
      </c>
      <c r="B97" s="8" t="s">
        <v>8</v>
      </c>
      <c r="C97" s="16" t="s">
        <v>18</v>
      </c>
      <c r="D97" s="17" t="s">
        <v>14</v>
      </c>
      <c r="E97" s="18" t="s">
        <v>15</v>
      </c>
      <c r="F97" s="19">
        <v>34.74</v>
      </c>
      <c r="G97" s="17" t="s">
        <v>12</v>
      </c>
      <c r="H97" s="8" t="s">
        <v>12</v>
      </c>
    </row>
    <row r="98">
      <c r="A98" s="15">
        <v>44586.0</v>
      </c>
      <c r="B98" s="8" t="s">
        <v>8</v>
      </c>
      <c r="C98" s="16" t="s">
        <v>18</v>
      </c>
      <c r="D98" s="17" t="s">
        <v>14</v>
      </c>
      <c r="E98" s="18" t="s">
        <v>28</v>
      </c>
      <c r="F98" s="19">
        <v>0.0</v>
      </c>
      <c r="G98" s="20" t="s">
        <v>26</v>
      </c>
      <c r="H98" s="8" t="s">
        <v>12</v>
      </c>
    </row>
    <row r="99">
      <c r="A99" s="15">
        <v>44587.0</v>
      </c>
      <c r="B99" s="8" t="s">
        <v>8</v>
      </c>
      <c r="C99" s="16" t="s">
        <v>20</v>
      </c>
      <c r="D99" s="17" t="s">
        <v>10</v>
      </c>
      <c r="E99" s="18" t="s">
        <v>19</v>
      </c>
      <c r="F99" s="19">
        <v>56.71</v>
      </c>
      <c r="G99" s="17" t="s">
        <v>12</v>
      </c>
      <c r="H99" s="8" t="s">
        <v>12</v>
      </c>
    </row>
    <row r="100">
      <c r="A100" s="15">
        <v>44587.0</v>
      </c>
      <c r="B100" s="8" t="s">
        <v>8</v>
      </c>
      <c r="C100" s="16" t="s">
        <v>20</v>
      </c>
      <c r="D100" s="17" t="s">
        <v>14</v>
      </c>
      <c r="E100" s="18" t="s">
        <v>19</v>
      </c>
      <c r="F100" s="19">
        <v>75.14</v>
      </c>
      <c r="G100" s="17" t="s">
        <v>12</v>
      </c>
      <c r="H100" s="8" t="s">
        <v>12</v>
      </c>
    </row>
    <row r="101">
      <c r="A101" s="15">
        <v>44587.0</v>
      </c>
      <c r="B101" s="8" t="s">
        <v>8</v>
      </c>
      <c r="C101" s="16" t="s">
        <v>20</v>
      </c>
      <c r="D101" s="17" t="s">
        <v>14</v>
      </c>
      <c r="E101" s="18" t="s">
        <v>15</v>
      </c>
      <c r="F101" s="19">
        <v>58.44</v>
      </c>
      <c r="G101" s="17" t="s">
        <v>12</v>
      </c>
      <c r="H101" s="8" t="s">
        <v>12</v>
      </c>
    </row>
    <row r="102">
      <c r="A102" s="15">
        <v>44587.0</v>
      </c>
      <c r="B102" s="8" t="s">
        <v>8</v>
      </c>
      <c r="C102" s="16" t="s">
        <v>20</v>
      </c>
      <c r="D102" s="17" t="s">
        <v>14</v>
      </c>
      <c r="E102" s="18" t="s">
        <v>28</v>
      </c>
      <c r="F102" s="19">
        <v>0.0</v>
      </c>
      <c r="G102" s="20" t="s">
        <v>26</v>
      </c>
      <c r="H102" s="8" t="s">
        <v>12</v>
      </c>
    </row>
    <row r="103">
      <c r="A103" s="15">
        <v>44588.0</v>
      </c>
      <c r="B103" s="8" t="s">
        <v>8</v>
      </c>
      <c r="C103" s="16" t="s">
        <v>21</v>
      </c>
      <c r="D103" s="17" t="s">
        <v>10</v>
      </c>
      <c r="E103" s="18" t="s">
        <v>19</v>
      </c>
      <c r="F103" s="19">
        <v>103.68</v>
      </c>
      <c r="G103" s="17" t="s">
        <v>12</v>
      </c>
      <c r="H103" s="8" t="s">
        <v>12</v>
      </c>
    </row>
    <row r="104">
      <c r="A104" s="15">
        <v>44588.0</v>
      </c>
      <c r="B104" s="8" t="s">
        <v>8</v>
      </c>
      <c r="C104" s="16" t="s">
        <v>21</v>
      </c>
      <c r="D104" s="17" t="s">
        <v>14</v>
      </c>
      <c r="E104" s="18" t="s">
        <v>11</v>
      </c>
      <c r="F104" s="19">
        <v>57.74</v>
      </c>
      <c r="G104" s="17" t="s">
        <v>12</v>
      </c>
      <c r="H104" s="8" t="s">
        <v>12</v>
      </c>
    </row>
    <row r="105">
      <c r="A105" s="15">
        <v>44588.0</v>
      </c>
      <c r="B105" s="8" t="s">
        <v>8</v>
      </c>
      <c r="C105" s="16" t="s">
        <v>21</v>
      </c>
      <c r="D105" s="17" t="s">
        <v>14</v>
      </c>
      <c r="E105" s="18" t="s">
        <v>27</v>
      </c>
      <c r="F105" s="19">
        <v>44.91</v>
      </c>
      <c r="G105" s="17" t="s">
        <v>12</v>
      </c>
      <c r="H105" s="8" t="s">
        <v>12</v>
      </c>
    </row>
    <row r="106">
      <c r="A106" s="15">
        <v>44588.0</v>
      </c>
      <c r="B106" s="8" t="s">
        <v>8</v>
      </c>
      <c r="C106" s="16" t="s">
        <v>21</v>
      </c>
      <c r="D106" s="17" t="s">
        <v>14</v>
      </c>
      <c r="E106" s="18" t="s">
        <v>17</v>
      </c>
      <c r="F106" s="19">
        <v>35.28</v>
      </c>
      <c r="G106" s="17" t="s">
        <v>12</v>
      </c>
      <c r="H106" s="8" t="s">
        <v>12</v>
      </c>
    </row>
    <row r="107">
      <c r="A107" s="15">
        <v>44589.0</v>
      </c>
      <c r="B107" s="8" t="s">
        <v>8</v>
      </c>
      <c r="C107" s="16" t="s">
        <v>22</v>
      </c>
      <c r="D107" s="17" t="s">
        <v>10</v>
      </c>
      <c r="E107" s="18" t="s">
        <v>11</v>
      </c>
      <c r="F107" s="19">
        <v>66.25</v>
      </c>
      <c r="G107" s="17" t="s">
        <v>12</v>
      </c>
      <c r="H107" s="8" t="s">
        <v>12</v>
      </c>
    </row>
    <row r="108">
      <c r="A108" s="15">
        <v>44589.0</v>
      </c>
      <c r="B108" s="8" t="s">
        <v>8</v>
      </c>
      <c r="C108" s="16" t="s">
        <v>22</v>
      </c>
      <c r="D108" s="17" t="s">
        <v>14</v>
      </c>
      <c r="E108" s="18" t="s">
        <v>19</v>
      </c>
      <c r="F108" s="19">
        <v>59.63</v>
      </c>
      <c r="G108" s="17" t="s">
        <v>12</v>
      </c>
      <c r="H108" s="8" t="s">
        <v>12</v>
      </c>
    </row>
    <row r="109">
      <c r="A109" s="15">
        <v>44589.0</v>
      </c>
      <c r="B109" s="8" t="s">
        <v>8</v>
      </c>
      <c r="C109" s="16" t="s">
        <v>22</v>
      </c>
      <c r="D109" s="17" t="s">
        <v>14</v>
      </c>
      <c r="E109" s="18" t="s">
        <v>13</v>
      </c>
      <c r="F109" s="19">
        <v>59.63</v>
      </c>
      <c r="G109" s="17" t="s">
        <v>12</v>
      </c>
      <c r="H109" s="8" t="s">
        <v>12</v>
      </c>
    </row>
    <row r="110">
      <c r="A110" s="15">
        <v>44589.0</v>
      </c>
      <c r="B110" s="8" t="s">
        <v>8</v>
      </c>
      <c r="C110" s="16" t="s">
        <v>22</v>
      </c>
      <c r="D110" s="17" t="s">
        <v>14</v>
      </c>
      <c r="E110" s="18" t="s">
        <v>17</v>
      </c>
      <c r="F110" s="19">
        <v>46.37</v>
      </c>
      <c r="G110" s="17" t="s">
        <v>12</v>
      </c>
      <c r="H110" s="8" t="s">
        <v>12</v>
      </c>
    </row>
    <row r="111">
      <c r="A111" s="15">
        <v>44590.0</v>
      </c>
      <c r="B111" s="8" t="s">
        <v>8</v>
      </c>
      <c r="C111" s="16" t="s">
        <v>23</v>
      </c>
      <c r="D111" s="17" t="s">
        <v>10</v>
      </c>
      <c r="E111" s="18" t="s">
        <v>11</v>
      </c>
      <c r="F111" s="19">
        <v>133.81</v>
      </c>
      <c r="G111" s="17" t="s">
        <v>12</v>
      </c>
      <c r="H111" s="8" t="s">
        <v>12</v>
      </c>
    </row>
    <row r="112">
      <c r="A112" s="15">
        <v>44590.0</v>
      </c>
      <c r="B112" s="8" t="s">
        <v>8</v>
      </c>
      <c r="C112" s="16" t="s">
        <v>23</v>
      </c>
      <c r="D112" s="17" t="s">
        <v>10</v>
      </c>
      <c r="E112" s="18" t="s">
        <v>13</v>
      </c>
      <c r="F112" s="19">
        <v>102.95</v>
      </c>
      <c r="G112" s="17" t="s">
        <v>12</v>
      </c>
      <c r="H112" s="8" t="s">
        <v>12</v>
      </c>
    </row>
    <row r="113">
      <c r="A113" s="15">
        <v>44590.0</v>
      </c>
      <c r="B113" s="8" t="s">
        <v>8</v>
      </c>
      <c r="C113" s="16" t="s">
        <v>23</v>
      </c>
      <c r="D113" s="17" t="s">
        <v>14</v>
      </c>
      <c r="E113" s="18" t="s">
        <v>13</v>
      </c>
      <c r="F113" s="19">
        <v>50.87</v>
      </c>
      <c r="G113" s="17" t="s">
        <v>12</v>
      </c>
      <c r="H113" s="8" t="s">
        <v>12</v>
      </c>
    </row>
    <row r="114">
      <c r="A114" s="15">
        <v>44590.0</v>
      </c>
      <c r="B114" s="8" t="s">
        <v>8</v>
      </c>
      <c r="C114" s="16" t="s">
        <v>23</v>
      </c>
      <c r="D114" s="17" t="s">
        <v>14</v>
      </c>
      <c r="E114" s="18" t="s">
        <v>25</v>
      </c>
      <c r="F114" s="19">
        <v>65.4</v>
      </c>
      <c r="G114" s="17" t="s">
        <v>12</v>
      </c>
      <c r="H114" s="8" t="s">
        <v>12</v>
      </c>
    </row>
    <row r="115">
      <c r="A115" s="15">
        <v>44590.0</v>
      </c>
      <c r="B115" s="8" t="s">
        <v>8</v>
      </c>
      <c r="C115" s="16" t="s">
        <v>23</v>
      </c>
      <c r="D115" s="17" t="s">
        <v>14</v>
      </c>
      <c r="E115" s="18" t="s">
        <v>19</v>
      </c>
      <c r="F115" s="19">
        <v>58.14</v>
      </c>
      <c r="G115" s="17" t="s">
        <v>12</v>
      </c>
      <c r="H115" s="8" t="s">
        <v>12</v>
      </c>
    </row>
    <row r="116">
      <c r="A116" s="15">
        <v>44591.0</v>
      </c>
      <c r="B116" s="8" t="s">
        <v>8</v>
      </c>
      <c r="C116" s="16" t="s">
        <v>9</v>
      </c>
      <c r="D116" s="17" t="s">
        <v>10</v>
      </c>
      <c r="E116" s="18" t="s">
        <v>11</v>
      </c>
      <c r="F116" s="19">
        <v>33.92</v>
      </c>
      <c r="G116" s="17" t="s">
        <v>12</v>
      </c>
      <c r="H116" s="8" t="s">
        <v>12</v>
      </c>
    </row>
    <row r="117">
      <c r="A117" s="15">
        <v>44591.0</v>
      </c>
      <c r="B117" s="8" t="s">
        <v>8</v>
      </c>
      <c r="C117" s="16" t="s">
        <v>9</v>
      </c>
      <c r="D117" s="17" t="s">
        <v>10</v>
      </c>
      <c r="E117" s="18" t="s">
        <v>25</v>
      </c>
      <c r="F117" s="19">
        <v>62.19</v>
      </c>
      <c r="G117" s="17" t="s">
        <v>12</v>
      </c>
      <c r="H117" s="8" t="s">
        <v>12</v>
      </c>
    </row>
    <row r="118">
      <c r="A118" s="15">
        <v>44591.0</v>
      </c>
      <c r="B118" s="8" t="s">
        <v>8</v>
      </c>
      <c r="C118" s="16" t="s">
        <v>9</v>
      </c>
      <c r="D118" s="17" t="s">
        <v>10</v>
      </c>
      <c r="E118" s="18" t="s">
        <v>19</v>
      </c>
      <c r="F118" s="19">
        <v>33.92</v>
      </c>
      <c r="G118" s="17" t="s">
        <v>12</v>
      </c>
      <c r="H118" s="8" t="s">
        <v>12</v>
      </c>
    </row>
    <row r="119">
      <c r="A119" s="15">
        <v>44591.0</v>
      </c>
      <c r="B119" s="8" t="s">
        <v>8</v>
      </c>
      <c r="C119" s="16" t="s">
        <v>9</v>
      </c>
      <c r="D119" s="17" t="s">
        <v>10</v>
      </c>
      <c r="E119" s="18" t="s">
        <v>13</v>
      </c>
      <c r="F119" s="19">
        <v>22.61</v>
      </c>
      <c r="G119" s="17" t="s">
        <v>12</v>
      </c>
      <c r="H119" s="8" t="s">
        <v>12</v>
      </c>
    </row>
    <row r="120">
      <c r="A120" s="15">
        <v>44591.0</v>
      </c>
      <c r="B120" s="8" t="s">
        <v>8</v>
      </c>
      <c r="C120" s="16" t="s">
        <v>9</v>
      </c>
      <c r="D120" s="17" t="s">
        <v>14</v>
      </c>
      <c r="E120" s="18" t="s">
        <v>19</v>
      </c>
      <c r="F120" s="19">
        <v>13.12</v>
      </c>
      <c r="G120" s="17" t="s">
        <v>12</v>
      </c>
      <c r="H120" s="8" t="s">
        <v>12</v>
      </c>
    </row>
    <row r="121">
      <c r="A121" s="15">
        <v>44591.0</v>
      </c>
      <c r="B121" s="8" t="s">
        <v>8</v>
      </c>
      <c r="C121" s="16" t="s">
        <v>9</v>
      </c>
      <c r="D121" s="17" t="s">
        <v>14</v>
      </c>
      <c r="E121" s="18" t="s">
        <v>27</v>
      </c>
      <c r="F121" s="19">
        <v>59.04</v>
      </c>
      <c r="G121" s="17" t="s">
        <v>12</v>
      </c>
      <c r="H121" s="8" t="s">
        <v>12</v>
      </c>
    </row>
    <row r="122">
      <c r="A122" s="15">
        <v>44591.0</v>
      </c>
      <c r="B122" s="8" t="s">
        <v>8</v>
      </c>
      <c r="C122" s="16" t="s">
        <v>9</v>
      </c>
      <c r="D122" s="17" t="s">
        <v>14</v>
      </c>
      <c r="E122" s="18" t="s">
        <v>13</v>
      </c>
      <c r="F122" s="19">
        <v>59.04</v>
      </c>
      <c r="G122" s="17" t="s">
        <v>12</v>
      </c>
      <c r="H122" s="8" t="s">
        <v>12</v>
      </c>
    </row>
    <row r="123">
      <c r="A123" s="15">
        <v>44591.0</v>
      </c>
      <c r="B123" s="8" t="s">
        <v>8</v>
      </c>
      <c r="C123" s="16" t="s">
        <v>9</v>
      </c>
      <c r="D123" s="17" t="s">
        <v>14</v>
      </c>
      <c r="E123" s="18" t="s">
        <v>17</v>
      </c>
      <c r="F123" s="19">
        <v>13.12</v>
      </c>
      <c r="G123" s="17" t="s">
        <v>12</v>
      </c>
      <c r="H123" s="8" t="s">
        <v>12</v>
      </c>
    </row>
    <row r="124">
      <c r="A124" s="15">
        <v>44592.0</v>
      </c>
      <c r="B124" s="8" t="s">
        <v>8</v>
      </c>
      <c r="C124" s="16" t="s">
        <v>16</v>
      </c>
      <c r="D124" s="17" t="s">
        <v>10</v>
      </c>
      <c r="E124" s="18" t="s">
        <v>19</v>
      </c>
      <c r="F124" s="19">
        <v>76.58</v>
      </c>
      <c r="G124" s="17" t="s">
        <v>12</v>
      </c>
      <c r="H124" s="8" t="s">
        <v>12</v>
      </c>
    </row>
    <row r="125">
      <c r="A125" s="15">
        <v>44592.0</v>
      </c>
      <c r="B125" s="8" t="s">
        <v>8</v>
      </c>
      <c r="C125" s="16" t="s">
        <v>16</v>
      </c>
      <c r="D125" s="17" t="s">
        <v>14</v>
      </c>
      <c r="E125" s="18" t="s">
        <v>19</v>
      </c>
      <c r="F125" s="19">
        <v>24.52</v>
      </c>
      <c r="G125" s="17" t="s">
        <v>12</v>
      </c>
      <c r="H125" s="8" t="s">
        <v>12</v>
      </c>
    </row>
    <row r="126">
      <c r="A126" s="15">
        <v>44592.0</v>
      </c>
      <c r="B126" s="8" t="s">
        <v>8</v>
      </c>
      <c r="C126" s="16" t="s">
        <v>16</v>
      </c>
      <c r="D126" s="17" t="s">
        <v>14</v>
      </c>
      <c r="E126" s="18" t="s">
        <v>25</v>
      </c>
      <c r="F126" s="19">
        <v>19.07</v>
      </c>
      <c r="G126" s="17" t="s">
        <v>12</v>
      </c>
      <c r="H126" s="8" t="s">
        <v>12</v>
      </c>
    </row>
    <row r="127">
      <c r="A127" s="15">
        <v>44592.0</v>
      </c>
      <c r="B127" s="8" t="s">
        <v>8</v>
      </c>
      <c r="C127" s="16" t="s">
        <v>16</v>
      </c>
      <c r="D127" s="17" t="s">
        <v>14</v>
      </c>
      <c r="E127" s="18" t="s">
        <v>28</v>
      </c>
      <c r="F127" s="19">
        <v>19.07</v>
      </c>
      <c r="G127" s="17" t="s">
        <v>12</v>
      </c>
      <c r="H127" s="8" t="s">
        <v>12</v>
      </c>
    </row>
    <row r="128">
      <c r="A128" s="15">
        <v>44593.0</v>
      </c>
      <c r="B128" s="8" t="s">
        <v>29</v>
      </c>
      <c r="C128" s="16" t="s">
        <v>18</v>
      </c>
      <c r="D128" s="17" t="s">
        <v>10</v>
      </c>
      <c r="E128" s="18" t="s">
        <v>19</v>
      </c>
      <c r="F128" s="19">
        <v>110.14</v>
      </c>
      <c r="G128" s="17" t="s">
        <v>12</v>
      </c>
      <c r="H128" s="8" t="s">
        <v>12</v>
      </c>
    </row>
    <row r="129">
      <c r="A129" s="15">
        <v>44593.0</v>
      </c>
      <c r="B129" s="8" t="s">
        <v>29</v>
      </c>
      <c r="C129" s="16" t="s">
        <v>18</v>
      </c>
      <c r="D129" s="17" t="s">
        <v>14</v>
      </c>
      <c r="E129" s="18" t="s">
        <v>11</v>
      </c>
      <c r="F129" s="19">
        <v>31.44</v>
      </c>
      <c r="G129" s="17" t="s">
        <v>12</v>
      </c>
      <c r="H129" s="8" t="s">
        <v>12</v>
      </c>
    </row>
    <row r="130">
      <c r="A130" s="15">
        <v>44593.0</v>
      </c>
      <c r="B130" s="8" t="s">
        <v>29</v>
      </c>
      <c r="C130" s="16" t="s">
        <v>18</v>
      </c>
      <c r="D130" s="17" t="s">
        <v>14</v>
      </c>
      <c r="E130" s="18" t="s">
        <v>15</v>
      </c>
      <c r="F130" s="19">
        <v>26.2</v>
      </c>
      <c r="G130" s="17" t="s">
        <v>12</v>
      </c>
      <c r="H130" s="8" t="s">
        <v>12</v>
      </c>
    </row>
    <row r="131">
      <c r="A131" s="15">
        <v>44593.0</v>
      </c>
      <c r="B131" s="8" t="s">
        <v>29</v>
      </c>
      <c r="C131" s="16" t="s">
        <v>18</v>
      </c>
      <c r="D131" s="17" t="s">
        <v>14</v>
      </c>
      <c r="E131" s="18" t="s">
        <v>28</v>
      </c>
      <c r="F131" s="19">
        <v>17.46</v>
      </c>
      <c r="G131" s="17" t="s">
        <v>12</v>
      </c>
      <c r="H131" s="8" t="s">
        <v>12</v>
      </c>
    </row>
    <row r="132">
      <c r="A132" s="15">
        <v>44594.0</v>
      </c>
      <c r="B132" s="8" t="s">
        <v>29</v>
      </c>
      <c r="C132" s="16" t="s">
        <v>20</v>
      </c>
      <c r="D132" s="17" t="s">
        <v>10</v>
      </c>
      <c r="E132" s="18" t="s">
        <v>11</v>
      </c>
      <c r="F132" s="19">
        <v>75.68</v>
      </c>
      <c r="G132" s="17" t="s">
        <v>12</v>
      </c>
      <c r="H132" s="8" t="s">
        <v>12</v>
      </c>
    </row>
    <row r="133">
      <c r="A133" s="15">
        <v>44594.0</v>
      </c>
      <c r="B133" s="8" t="s">
        <v>29</v>
      </c>
      <c r="C133" s="16" t="s">
        <v>20</v>
      </c>
      <c r="D133" s="17" t="s">
        <v>14</v>
      </c>
      <c r="E133" s="18" t="s">
        <v>11</v>
      </c>
      <c r="F133" s="19">
        <v>92.83</v>
      </c>
      <c r="G133" s="17" t="s">
        <v>12</v>
      </c>
      <c r="H133" s="8" t="s">
        <v>12</v>
      </c>
    </row>
    <row r="134">
      <c r="A134" s="15">
        <v>44594.0</v>
      </c>
      <c r="B134" s="8" t="s">
        <v>29</v>
      </c>
      <c r="C134" s="16" t="s">
        <v>20</v>
      </c>
      <c r="D134" s="17" t="s">
        <v>14</v>
      </c>
      <c r="E134" s="18" t="s">
        <v>15</v>
      </c>
      <c r="F134" s="19">
        <v>67.05</v>
      </c>
      <c r="G134" s="17" t="s">
        <v>12</v>
      </c>
      <c r="H134" s="8" t="s">
        <v>12</v>
      </c>
    </row>
    <row r="135">
      <c r="A135" s="15">
        <v>44594.0</v>
      </c>
      <c r="B135" s="8" t="s">
        <v>29</v>
      </c>
      <c r="C135" s="16" t="s">
        <v>20</v>
      </c>
      <c r="D135" s="17" t="s">
        <v>14</v>
      </c>
      <c r="E135" s="18" t="s">
        <v>28</v>
      </c>
      <c r="F135" s="19">
        <v>72.2</v>
      </c>
      <c r="G135" s="17" t="s">
        <v>12</v>
      </c>
      <c r="H135" s="8" t="s">
        <v>12</v>
      </c>
    </row>
    <row r="136">
      <c r="A136" s="15">
        <v>44595.0</v>
      </c>
      <c r="B136" s="8" t="s">
        <v>29</v>
      </c>
      <c r="C136" s="16" t="s">
        <v>21</v>
      </c>
      <c r="D136" s="17" t="s">
        <v>10</v>
      </c>
      <c r="E136" s="18" t="s">
        <v>19</v>
      </c>
      <c r="F136" s="19">
        <v>87.0</v>
      </c>
      <c r="G136" s="17" t="s">
        <v>12</v>
      </c>
      <c r="H136" s="8" t="s">
        <v>12</v>
      </c>
    </row>
    <row r="137">
      <c r="A137" s="15">
        <v>44595.0</v>
      </c>
      <c r="B137" s="8" t="s">
        <v>29</v>
      </c>
      <c r="C137" s="16" t="s">
        <v>21</v>
      </c>
      <c r="D137" s="17" t="s">
        <v>14</v>
      </c>
      <c r="E137" s="18" t="s">
        <v>19</v>
      </c>
      <c r="F137" s="19">
        <v>48.08</v>
      </c>
      <c r="G137" s="17" t="s">
        <v>12</v>
      </c>
      <c r="H137" s="8" t="s">
        <v>12</v>
      </c>
    </row>
    <row r="138">
      <c r="A138" s="15">
        <v>44595.0</v>
      </c>
      <c r="B138" s="8" t="s">
        <v>29</v>
      </c>
      <c r="C138" s="16" t="s">
        <v>21</v>
      </c>
      <c r="D138" s="17" t="s">
        <v>14</v>
      </c>
      <c r="E138" s="18" t="s">
        <v>25</v>
      </c>
      <c r="F138" s="19">
        <v>42.74</v>
      </c>
      <c r="G138" s="17" t="s">
        <v>12</v>
      </c>
      <c r="H138" s="8" t="s">
        <v>12</v>
      </c>
    </row>
    <row r="139">
      <c r="A139" s="15">
        <v>44595.0</v>
      </c>
      <c r="B139" s="8" t="s">
        <v>29</v>
      </c>
      <c r="C139" s="16" t="s">
        <v>21</v>
      </c>
      <c r="D139" s="17" t="s">
        <v>14</v>
      </c>
      <c r="E139" s="18" t="s">
        <v>17</v>
      </c>
      <c r="F139" s="19">
        <v>26.71</v>
      </c>
      <c r="G139" s="17" t="s">
        <v>12</v>
      </c>
      <c r="H139" s="8" t="s">
        <v>12</v>
      </c>
    </row>
    <row r="140">
      <c r="A140" s="15">
        <v>44596.0</v>
      </c>
      <c r="B140" s="8" t="s">
        <v>29</v>
      </c>
      <c r="C140" s="16" t="s">
        <v>22</v>
      </c>
      <c r="D140" s="17" t="s">
        <v>10</v>
      </c>
      <c r="E140" s="18" t="s">
        <v>11</v>
      </c>
      <c r="F140" s="19">
        <v>69.51</v>
      </c>
      <c r="G140" s="17" t="s">
        <v>12</v>
      </c>
      <c r="H140" s="8" t="s">
        <v>12</v>
      </c>
    </row>
    <row r="141">
      <c r="A141" s="15">
        <v>44596.0</v>
      </c>
      <c r="B141" s="8" t="s">
        <v>29</v>
      </c>
      <c r="C141" s="16" t="s">
        <v>22</v>
      </c>
      <c r="D141" s="17" t="s">
        <v>10</v>
      </c>
      <c r="E141" s="18" t="s">
        <v>25</v>
      </c>
      <c r="F141" s="19">
        <v>69.51</v>
      </c>
      <c r="G141" s="17" t="s">
        <v>12</v>
      </c>
      <c r="H141" s="8" t="s">
        <v>12</v>
      </c>
    </row>
    <row r="142">
      <c r="A142" s="15">
        <v>44596.0</v>
      </c>
      <c r="B142" s="8" t="s">
        <v>29</v>
      </c>
      <c r="C142" s="16" t="s">
        <v>22</v>
      </c>
      <c r="D142" s="17" t="s">
        <v>14</v>
      </c>
      <c r="E142" s="18" t="s">
        <v>11</v>
      </c>
      <c r="F142" s="19">
        <v>75.49</v>
      </c>
      <c r="G142" s="17" t="s">
        <v>12</v>
      </c>
      <c r="H142" s="8" t="s">
        <v>12</v>
      </c>
    </row>
    <row r="143">
      <c r="A143" s="15">
        <v>44596.0</v>
      </c>
      <c r="B143" s="8" t="s">
        <v>29</v>
      </c>
      <c r="C143" s="16" t="s">
        <v>22</v>
      </c>
      <c r="D143" s="17" t="s">
        <v>14</v>
      </c>
      <c r="E143" s="18" t="s">
        <v>25</v>
      </c>
      <c r="F143" s="19">
        <v>67.09</v>
      </c>
      <c r="G143" s="17" t="s">
        <v>12</v>
      </c>
      <c r="H143" s="8" t="s">
        <v>12</v>
      </c>
    </row>
    <row r="144">
      <c r="A144" s="15">
        <v>44596.0</v>
      </c>
      <c r="B144" s="8" t="s">
        <v>29</v>
      </c>
      <c r="C144" s="16" t="s">
        <v>22</v>
      </c>
      <c r="D144" s="17" t="s">
        <v>14</v>
      </c>
      <c r="E144" s="18" t="s">
        <v>13</v>
      </c>
      <c r="F144" s="19">
        <v>67.09</v>
      </c>
      <c r="G144" s="17" t="s">
        <v>12</v>
      </c>
      <c r="H144" s="8" t="s">
        <v>12</v>
      </c>
    </row>
    <row r="145">
      <c r="A145" s="15">
        <v>44597.0</v>
      </c>
      <c r="B145" s="8" t="s">
        <v>29</v>
      </c>
      <c r="C145" s="16" t="s">
        <v>23</v>
      </c>
      <c r="D145" s="17" t="s">
        <v>10</v>
      </c>
      <c r="E145" s="18" t="s">
        <v>13</v>
      </c>
      <c r="F145" s="19">
        <v>63.02</v>
      </c>
      <c r="G145" s="17" t="s">
        <v>12</v>
      </c>
      <c r="H145" s="8" t="s">
        <v>12</v>
      </c>
    </row>
    <row r="146">
      <c r="A146" s="15">
        <v>44597.0</v>
      </c>
      <c r="B146" s="8" t="s">
        <v>29</v>
      </c>
      <c r="C146" s="16" t="s">
        <v>23</v>
      </c>
      <c r="D146" s="17" t="s">
        <v>10</v>
      </c>
      <c r="E146" s="18" t="s">
        <v>11</v>
      </c>
      <c r="F146" s="19">
        <v>48.48</v>
      </c>
      <c r="G146" s="17" t="s">
        <v>12</v>
      </c>
      <c r="H146" s="8" t="s">
        <v>12</v>
      </c>
    </row>
    <row r="147">
      <c r="A147" s="15">
        <v>44597.0</v>
      </c>
      <c r="B147" s="8" t="s">
        <v>29</v>
      </c>
      <c r="C147" s="16" t="s">
        <v>23</v>
      </c>
      <c r="D147" s="17" t="s">
        <v>10</v>
      </c>
      <c r="E147" s="18" t="s">
        <v>17</v>
      </c>
      <c r="F147" s="19">
        <v>48.48</v>
      </c>
      <c r="G147" s="17" t="s">
        <v>12</v>
      </c>
      <c r="H147" s="8" t="s">
        <v>12</v>
      </c>
    </row>
    <row r="148">
      <c r="A148" s="15">
        <v>44597.0</v>
      </c>
      <c r="B148" s="8" t="s">
        <v>29</v>
      </c>
      <c r="C148" s="16" t="s">
        <v>23</v>
      </c>
      <c r="D148" s="17" t="s">
        <v>14</v>
      </c>
      <c r="E148" s="18" t="s">
        <v>11</v>
      </c>
      <c r="F148" s="19">
        <v>61.91</v>
      </c>
      <c r="G148" s="17" t="s">
        <v>12</v>
      </c>
      <c r="H148" s="8" t="s">
        <v>12</v>
      </c>
    </row>
    <row r="149">
      <c r="A149" s="15">
        <v>44597.0</v>
      </c>
      <c r="B149" s="8" t="s">
        <v>29</v>
      </c>
      <c r="C149" s="16" t="s">
        <v>23</v>
      </c>
      <c r="D149" s="17" t="s">
        <v>14</v>
      </c>
      <c r="E149" s="18" t="s">
        <v>17</v>
      </c>
      <c r="F149" s="19">
        <v>34.39</v>
      </c>
      <c r="G149" s="17" t="s">
        <v>12</v>
      </c>
      <c r="H149" s="8" t="s">
        <v>12</v>
      </c>
    </row>
    <row r="150">
      <c r="A150" s="15">
        <v>44597.0</v>
      </c>
      <c r="B150" s="8" t="s">
        <v>29</v>
      </c>
      <c r="C150" s="16" t="s">
        <v>23</v>
      </c>
      <c r="D150" s="17" t="s">
        <v>14</v>
      </c>
      <c r="E150" s="18" t="s">
        <v>25</v>
      </c>
      <c r="F150" s="19">
        <v>55.03</v>
      </c>
      <c r="G150" s="17" t="s">
        <v>12</v>
      </c>
      <c r="H150" s="8" t="s">
        <v>12</v>
      </c>
    </row>
    <row r="151">
      <c r="A151" s="15">
        <v>44598.0</v>
      </c>
      <c r="B151" s="8" t="s">
        <v>29</v>
      </c>
      <c r="C151" s="16" t="s">
        <v>9</v>
      </c>
      <c r="D151" s="17" t="s">
        <v>10</v>
      </c>
      <c r="E151" s="18" t="s">
        <v>11</v>
      </c>
      <c r="F151" s="19">
        <v>26.24</v>
      </c>
      <c r="G151" s="17" t="s">
        <v>12</v>
      </c>
      <c r="H151" s="8" t="s">
        <v>12</v>
      </c>
    </row>
    <row r="152">
      <c r="A152" s="15">
        <v>44598.0</v>
      </c>
      <c r="B152" s="8" t="s">
        <v>29</v>
      </c>
      <c r="C152" s="16" t="s">
        <v>9</v>
      </c>
      <c r="D152" s="17" t="s">
        <v>10</v>
      </c>
      <c r="E152" s="18" t="s">
        <v>13</v>
      </c>
      <c r="F152" s="19">
        <v>75.1</v>
      </c>
      <c r="G152" s="17" t="s">
        <v>12</v>
      </c>
      <c r="H152" s="8" t="s">
        <v>12</v>
      </c>
    </row>
    <row r="153">
      <c r="A153" s="15">
        <v>44598.0</v>
      </c>
      <c r="B153" s="8" t="s">
        <v>29</v>
      </c>
      <c r="C153" s="16" t="s">
        <v>9</v>
      </c>
      <c r="D153" s="17" t="s">
        <v>10</v>
      </c>
      <c r="E153" s="18" t="s">
        <v>17</v>
      </c>
      <c r="F153" s="19">
        <v>75.1</v>
      </c>
      <c r="G153" s="17" t="s">
        <v>12</v>
      </c>
      <c r="H153" s="8" t="s">
        <v>12</v>
      </c>
    </row>
    <row r="154">
      <c r="A154" s="15">
        <v>44598.0</v>
      </c>
      <c r="B154" s="8" t="s">
        <v>29</v>
      </c>
      <c r="C154" s="16" t="s">
        <v>9</v>
      </c>
      <c r="D154" s="17" t="s">
        <v>10</v>
      </c>
      <c r="E154" s="18" t="s">
        <v>25</v>
      </c>
      <c r="F154" s="19">
        <v>60.08</v>
      </c>
      <c r="G154" s="17" t="s">
        <v>12</v>
      </c>
      <c r="H154" s="8" t="s">
        <v>12</v>
      </c>
    </row>
    <row r="155">
      <c r="A155" s="15">
        <v>44598.0</v>
      </c>
      <c r="B155" s="8" t="s">
        <v>29</v>
      </c>
      <c r="C155" s="16" t="s">
        <v>9</v>
      </c>
      <c r="D155" s="17" t="s">
        <v>14</v>
      </c>
      <c r="E155" s="18" t="s">
        <v>13</v>
      </c>
      <c r="F155" s="19">
        <v>53.24</v>
      </c>
      <c r="G155" s="17" t="s">
        <v>12</v>
      </c>
      <c r="H155" s="8" t="s">
        <v>12</v>
      </c>
    </row>
    <row r="156">
      <c r="A156" s="15">
        <v>44598.0</v>
      </c>
      <c r="B156" s="8" t="s">
        <v>29</v>
      </c>
      <c r="C156" s="16" t="s">
        <v>9</v>
      </c>
      <c r="D156" s="17" t="s">
        <v>14</v>
      </c>
      <c r="E156" s="18" t="s">
        <v>17</v>
      </c>
      <c r="F156" s="19">
        <v>53.24</v>
      </c>
      <c r="G156" s="17" t="s">
        <v>12</v>
      </c>
      <c r="H156" s="8" t="s">
        <v>12</v>
      </c>
    </row>
    <row r="157">
      <c r="A157" s="15">
        <v>44598.0</v>
      </c>
      <c r="B157" s="8" t="s">
        <v>29</v>
      </c>
      <c r="C157" s="16" t="s">
        <v>9</v>
      </c>
      <c r="D157" s="17" t="s">
        <v>14</v>
      </c>
      <c r="E157" s="18" t="s">
        <v>28</v>
      </c>
      <c r="F157" s="19">
        <v>41.43</v>
      </c>
      <c r="G157" s="17" t="s">
        <v>12</v>
      </c>
      <c r="H157" s="8" t="s">
        <v>12</v>
      </c>
    </row>
    <row r="158">
      <c r="A158" s="15">
        <v>44599.0</v>
      </c>
      <c r="B158" s="8" t="s">
        <v>29</v>
      </c>
      <c r="C158" s="16" t="s">
        <v>16</v>
      </c>
      <c r="D158" s="17" t="s">
        <v>10</v>
      </c>
      <c r="E158" s="18" t="s">
        <v>19</v>
      </c>
      <c r="F158" s="19">
        <v>116.36</v>
      </c>
      <c r="G158" s="17" t="s">
        <v>12</v>
      </c>
      <c r="H158" s="8" t="s">
        <v>12</v>
      </c>
    </row>
    <row r="159">
      <c r="A159" s="15">
        <v>44599.0</v>
      </c>
      <c r="B159" s="8" t="s">
        <v>29</v>
      </c>
      <c r="C159" s="16" t="s">
        <v>16</v>
      </c>
      <c r="D159" s="17" t="s">
        <v>14</v>
      </c>
      <c r="E159" s="18" t="s">
        <v>19</v>
      </c>
      <c r="F159" s="19">
        <v>45.02</v>
      </c>
      <c r="G159" s="17" t="s">
        <v>12</v>
      </c>
      <c r="H159" s="8" t="s">
        <v>12</v>
      </c>
    </row>
    <row r="160">
      <c r="A160" s="15">
        <v>44599.0</v>
      </c>
      <c r="B160" s="8" t="s">
        <v>29</v>
      </c>
      <c r="C160" s="16" t="s">
        <v>16</v>
      </c>
      <c r="D160" s="17" t="s">
        <v>14</v>
      </c>
      <c r="E160" s="18" t="s">
        <v>25</v>
      </c>
      <c r="F160" s="19">
        <v>35.01</v>
      </c>
      <c r="G160" s="17" t="s">
        <v>12</v>
      </c>
      <c r="H160" s="8" t="s">
        <v>12</v>
      </c>
    </row>
    <row r="161">
      <c r="A161" s="15">
        <v>44599.0</v>
      </c>
      <c r="B161" s="8" t="s">
        <v>29</v>
      </c>
      <c r="C161" s="16" t="s">
        <v>16</v>
      </c>
      <c r="D161" s="17" t="s">
        <v>14</v>
      </c>
      <c r="E161" s="18" t="s">
        <v>28</v>
      </c>
      <c r="F161" s="19">
        <v>20.01</v>
      </c>
      <c r="G161" s="17" t="s">
        <v>12</v>
      </c>
      <c r="H161" s="8" t="s">
        <v>12</v>
      </c>
    </row>
    <row r="162">
      <c r="A162" s="15">
        <v>44600.0</v>
      </c>
      <c r="B162" s="8" t="s">
        <v>29</v>
      </c>
      <c r="C162" s="16" t="s">
        <v>18</v>
      </c>
      <c r="D162" s="17" t="s">
        <v>10</v>
      </c>
      <c r="E162" s="18" t="s">
        <v>19</v>
      </c>
      <c r="F162" s="19">
        <v>69.26</v>
      </c>
      <c r="G162" s="17" t="s">
        <v>12</v>
      </c>
      <c r="H162" s="8" t="s">
        <v>12</v>
      </c>
    </row>
    <row r="163">
      <c r="A163" s="15">
        <v>44600.0</v>
      </c>
      <c r="B163" s="8" t="s">
        <v>29</v>
      </c>
      <c r="C163" s="16" t="s">
        <v>18</v>
      </c>
      <c r="D163" s="17" t="s">
        <v>14</v>
      </c>
      <c r="E163" s="18" t="s">
        <v>19</v>
      </c>
      <c r="F163" s="19">
        <v>62.22</v>
      </c>
      <c r="G163" s="17" t="s">
        <v>12</v>
      </c>
      <c r="H163" s="8" t="s">
        <v>12</v>
      </c>
    </row>
    <row r="164">
      <c r="A164" s="15">
        <v>44600.0</v>
      </c>
      <c r="B164" s="8" t="s">
        <v>29</v>
      </c>
      <c r="C164" s="16" t="s">
        <v>18</v>
      </c>
      <c r="D164" s="17" t="s">
        <v>14</v>
      </c>
      <c r="E164" s="18" t="s">
        <v>15</v>
      </c>
      <c r="F164" s="19">
        <v>48.39</v>
      </c>
      <c r="G164" s="17" t="s">
        <v>12</v>
      </c>
      <c r="H164" s="8" t="s">
        <v>12</v>
      </c>
    </row>
    <row r="165">
      <c r="A165" s="15">
        <v>44600.0</v>
      </c>
      <c r="B165" s="8" t="s">
        <v>29</v>
      </c>
      <c r="C165" s="16" t="s">
        <v>18</v>
      </c>
      <c r="D165" s="17" t="s">
        <v>14</v>
      </c>
      <c r="E165" s="18" t="s">
        <v>28</v>
      </c>
      <c r="F165" s="19">
        <v>41.48</v>
      </c>
      <c r="G165" s="17" t="s">
        <v>12</v>
      </c>
      <c r="H165" s="8" t="s">
        <v>12</v>
      </c>
    </row>
    <row r="166">
      <c r="A166" s="15">
        <v>44601.0</v>
      </c>
      <c r="B166" s="8" t="s">
        <v>29</v>
      </c>
      <c r="C166" s="16" t="s">
        <v>20</v>
      </c>
      <c r="D166" s="17" t="s">
        <v>10</v>
      </c>
      <c r="E166" s="18" t="s">
        <v>11</v>
      </c>
      <c r="F166" s="19">
        <v>44.33</v>
      </c>
      <c r="G166" s="17" t="s">
        <v>12</v>
      </c>
      <c r="H166" s="8" t="s">
        <v>12</v>
      </c>
    </row>
    <row r="167">
      <c r="A167" s="15">
        <v>44601.0</v>
      </c>
      <c r="B167" s="8" t="s">
        <v>29</v>
      </c>
      <c r="C167" s="16" t="s">
        <v>20</v>
      </c>
      <c r="D167" s="17" t="s">
        <v>14</v>
      </c>
      <c r="E167" s="18" t="s">
        <v>11</v>
      </c>
      <c r="F167" s="19">
        <v>62.1</v>
      </c>
      <c r="G167" s="17" t="s">
        <v>12</v>
      </c>
      <c r="H167" s="8" t="s">
        <v>12</v>
      </c>
    </row>
    <row r="168">
      <c r="A168" s="15">
        <v>44601.0</v>
      </c>
      <c r="B168" s="8" t="s">
        <v>29</v>
      </c>
      <c r="C168" s="16" t="s">
        <v>20</v>
      </c>
      <c r="D168" s="17" t="s">
        <v>14</v>
      </c>
      <c r="E168" s="18" t="s">
        <v>15</v>
      </c>
      <c r="F168" s="19">
        <v>55.2</v>
      </c>
      <c r="G168" s="17" t="s">
        <v>12</v>
      </c>
      <c r="H168" s="8" t="s">
        <v>12</v>
      </c>
    </row>
    <row r="169">
      <c r="A169" s="15">
        <v>44601.0</v>
      </c>
      <c r="B169" s="8" t="s">
        <v>29</v>
      </c>
      <c r="C169" s="16" t="s">
        <v>20</v>
      </c>
      <c r="D169" s="17" t="s">
        <v>14</v>
      </c>
      <c r="E169" s="18" t="s">
        <v>28</v>
      </c>
      <c r="F169" s="19">
        <v>41.41</v>
      </c>
      <c r="G169" s="17" t="s">
        <v>12</v>
      </c>
      <c r="H169" s="8" t="s">
        <v>12</v>
      </c>
    </row>
    <row r="170">
      <c r="A170" s="15">
        <v>44602.0</v>
      </c>
      <c r="B170" s="8" t="s">
        <v>29</v>
      </c>
      <c r="C170" s="16" t="s">
        <v>21</v>
      </c>
      <c r="D170" s="17" t="s">
        <v>10</v>
      </c>
      <c r="E170" s="18" t="s">
        <v>19</v>
      </c>
      <c r="F170" s="19">
        <v>78.67</v>
      </c>
      <c r="G170" s="17" t="s">
        <v>12</v>
      </c>
      <c r="H170" s="8" t="s">
        <v>12</v>
      </c>
    </row>
    <row r="171">
      <c r="A171" s="15">
        <v>44602.0</v>
      </c>
      <c r="B171" s="8" t="s">
        <v>29</v>
      </c>
      <c r="C171" s="16" t="s">
        <v>21</v>
      </c>
      <c r="D171" s="17" t="s">
        <v>14</v>
      </c>
      <c r="E171" s="18" t="s">
        <v>11</v>
      </c>
      <c r="F171" s="19">
        <v>72.0</v>
      </c>
      <c r="G171" s="17" t="s">
        <v>12</v>
      </c>
      <c r="H171" s="8" t="s">
        <v>12</v>
      </c>
    </row>
    <row r="172">
      <c r="A172" s="15">
        <v>44602.0</v>
      </c>
      <c r="B172" s="8" t="s">
        <v>29</v>
      </c>
      <c r="C172" s="16" t="s">
        <v>21</v>
      </c>
      <c r="D172" s="17" t="s">
        <v>14</v>
      </c>
      <c r="E172" s="18" t="s">
        <v>25</v>
      </c>
      <c r="F172" s="19">
        <v>40.01</v>
      </c>
      <c r="G172" s="17" t="s">
        <v>12</v>
      </c>
      <c r="H172" s="8" t="s">
        <v>12</v>
      </c>
    </row>
    <row r="173">
      <c r="A173" s="15">
        <v>44602.0</v>
      </c>
      <c r="B173" s="8" t="s">
        <v>29</v>
      </c>
      <c r="C173" s="16" t="s">
        <v>21</v>
      </c>
      <c r="D173" s="17" t="s">
        <v>14</v>
      </c>
      <c r="E173" s="18" t="s">
        <v>28</v>
      </c>
      <c r="F173" s="19">
        <v>48.0</v>
      </c>
      <c r="G173" s="17" t="s">
        <v>12</v>
      </c>
      <c r="H173" s="8" t="s">
        <v>12</v>
      </c>
    </row>
    <row r="174">
      <c r="A174" s="15">
        <v>44603.0</v>
      </c>
      <c r="B174" s="8" t="s">
        <v>29</v>
      </c>
      <c r="C174" s="16" t="s">
        <v>22</v>
      </c>
      <c r="D174" s="17" t="s">
        <v>10</v>
      </c>
      <c r="E174" s="18" t="s">
        <v>11</v>
      </c>
      <c r="F174" s="19">
        <v>33.43</v>
      </c>
      <c r="G174" s="17" t="s">
        <v>12</v>
      </c>
      <c r="H174" s="8" t="s">
        <v>12</v>
      </c>
    </row>
    <row r="175">
      <c r="A175" s="15">
        <v>44603.0</v>
      </c>
      <c r="B175" s="8" t="s">
        <v>29</v>
      </c>
      <c r="C175" s="16" t="s">
        <v>22</v>
      </c>
      <c r="D175" s="17" t="s">
        <v>10</v>
      </c>
      <c r="E175" s="18" t="s">
        <v>25</v>
      </c>
      <c r="F175" s="19">
        <v>30.08</v>
      </c>
      <c r="G175" s="17" t="s">
        <v>12</v>
      </c>
      <c r="H175" s="8" t="s">
        <v>12</v>
      </c>
    </row>
    <row r="176">
      <c r="A176" s="15">
        <v>44603.0</v>
      </c>
      <c r="B176" s="8" t="s">
        <v>29</v>
      </c>
      <c r="C176" s="16" t="s">
        <v>22</v>
      </c>
      <c r="D176" s="17" t="s">
        <v>14</v>
      </c>
      <c r="E176" s="18" t="s">
        <v>19</v>
      </c>
      <c r="F176" s="19">
        <v>98.6</v>
      </c>
      <c r="G176" s="17" t="s">
        <v>12</v>
      </c>
      <c r="H176" s="8" t="s">
        <v>12</v>
      </c>
    </row>
    <row r="177">
      <c r="A177" s="15">
        <v>44603.0</v>
      </c>
      <c r="B177" s="8" t="s">
        <v>29</v>
      </c>
      <c r="C177" s="16" t="s">
        <v>22</v>
      </c>
      <c r="D177" s="17" t="s">
        <v>14</v>
      </c>
      <c r="E177" s="18" t="s">
        <v>25</v>
      </c>
      <c r="F177" s="19">
        <v>87.64</v>
      </c>
      <c r="G177" s="17" t="s">
        <v>12</v>
      </c>
      <c r="H177" s="8" t="s">
        <v>12</v>
      </c>
    </row>
    <row r="178">
      <c r="A178" s="15">
        <v>44603.0</v>
      </c>
      <c r="B178" s="8" t="s">
        <v>29</v>
      </c>
      <c r="C178" s="16" t="s">
        <v>22</v>
      </c>
      <c r="D178" s="17" t="s">
        <v>14</v>
      </c>
      <c r="E178" s="18" t="s">
        <v>13</v>
      </c>
      <c r="F178" s="19">
        <v>98.6</v>
      </c>
      <c r="G178" s="17" t="s">
        <v>12</v>
      </c>
      <c r="H178" s="8" t="s">
        <v>12</v>
      </c>
    </row>
    <row r="179">
      <c r="A179" s="15">
        <v>44604.0</v>
      </c>
      <c r="B179" s="8" t="s">
        <v>29</v>
      </c>
      <c r="C179" s="16" t="s">
        <v>23</v>
      </c>
      <c r="D179" s="17" t="s">
        <v>10</v>
      </c>
      <c r="E179" s="18" t="s">
        <v>13</v>
      </c>
      <c r="F179" s="19">
        <v>150.92</v>
      </c>
      <c r="G179" s="17" t="s">
        <v>12</v>
      </c>
      <c r="H179" s="8" t="s">
        <v>12</v>
      </c>
    </row>
    <row r="180">
      <c r="A180" s="15">
        <v>44604.0</v>
      </c>
      <c r="B180" s="8" t="s">
        <v>29</v>
      </c>
      <c r="C180" s="16" t="s">
        <v>23</v>
      </c>
      <c r="D180" s="17" t="s">
        <v>10</v>
      </c>
      <c r="E180" s="18" t="s">
        <v>25</v>
      </c>
      <c r="F180" s="19">
        <v>107.8</v>
      </c>
      <c r="G180" s="17" t="s">
        <v>12</v>
      </c>
      <c r="H180" s="8" t="s">
        <v>12</v>
      </c>
    </row>
    <row r="181">
      <c r="A181" s="15">
        <v>44604.0</v>
      </c>
      <c r="B181" s="8" t="s">
        <v>29</v>
      </c>
      <c r="C181" s="16" t="s">
        <v>23</v>
      </c>
      <c r="D181" s="17" t="s">
        <v>10</v>
      </c>
      <c r="E181" s="18" t="s">
        <v>15</v>
      </c>
      <c r="F181" s="19">
        <v>53.84</v>
      </c>
      <c r="G181" s="17" t="s">
        <v>12</v>
      </c>
      <c r="H181" s="8" t="s">
        <v>12</v>
      </c>
    </row>
    <row r="182">
      <c r="A182" s="15">
        <v>44604.0</v>
      </c>
      <c r="B182" s="8" t="s">
        <v>29</v>
      </c>
      <c r="C182" s="16" t="s">
        <v>23</v>
      </c>
      <c r="D182" s="17" t="s">
        <v>14</v>
      </c>
      <c r="E182" s="18" t="s">
        <v>19</v>
      </c>
      <c r="F182" s="19">
        <v>99.81</v>
      </c>
      <c r="G182" s="17" t="s">
        <v>12</v>
      </c>
      <c r="H182" s="8" t="s">
        <v>12</v>
      </c>
    </row>
    <row r="183">
      <c r="A183" s="15">
        <v>44604.0</v>
      </c>
      <c r="B183" s="8" t="s">
        <v>29</v>
      </c>
      <c r="C183" s="16" t="s">
        <v>23</v>
      </c>
      <c r="D183" s="17" t="s">
        <v>14</v>
      </c>
      <c r="E183" s="18" t="s">
        <v>25</v>
      </c>
      <c r="F183" s="19">
        <v>66.53</v>
      </c>
      <c r="G183" s="17" t="s">
        <v>12</v>
      </c>
      <c r="H183" s="8" t="s">
        <v>12</v>
      </c>
    </row>
    <row r="184">
      <c r="A184" s="15">
        <v>44604.0</v>
      </c>
      <c r="B184" s="8" t="s">
        <v>29</v>
      </c>
      <c r="C184" s="16" t="s">
        <v>23</v>
      </c>
      <c r="D184" s="17" t="s">
        <v>14</v>
      </c>
      <c r="E184" s="18" t="s">
        <v>17</v>
      </c>
      <c r="F184" s="19">
        <v>99.81</v>
      </c>
      <c r="G184" s="17" t="s">
        <v>12</v>
      </c>
      <c r="H184" s="8" t="s">
        <v>12</v>
      </c>
    </row>
    <row r="185">
      <c r="A185" s="15">
        <v>44605.0</v>
      </c>
      <c r="B185" s="8" t="s">
        <v>29</v>
      </c>
      <c r="C185" s="16" t="s">
        <v>9</v>
      </c>
      <c r="D185" s="17" t="s">
        <v>10</v>
      </c>
      <c r="E185" s="18" t="s">
        <v>11</v>
      </c>
      <c r="F185" s="19">
        <v>81.6</v>
      </c>
      <c r="G185" s="17" t="s">
        <v>12</v>
      </c>
      <c r="H185" s="8" t="s">
        <v>12</v>
      </c>
    </row>
    <row r="186">
      <c r="A186" s="15">
        <v>44605.0</v>
      </c>
      <c r="B186" s="8" t="s">
        <v>29</v>
      </c>
      <c r="C186" s="16" t="s">
        <v>9</v>
      </c>
      <c r="D186" s="17" t="s">
        <v>10</v>
      </c>
      <c r="E186" s="18" t="s">
        <v>25</v>
      </c>
      <c r="F186" s="19">
        <v>76.5</v>
      </c>
      <c r="G186" s="17" t="s">
        <v>12</v>
      </c>
      <c r="H186" s="8" t="s">
        <v>12</v>
      </c>
    </row>
    <row r="187">
      <c r="A187" s="15">
        <v>44605.0</v>
      </c>
      <c r="B187" s="8" t="s">
        <v>29</v>
      </c>
      <c r="C187" s="16" t="s">
        <v>9</v>
      </c>
      <c r="D187" s="17" t="s">
        <v>10</v>
      </c>
      <c r="E187" s="18" t="s">
        <v>13</v>
      </c>
      <c r="F187" s="19">
        <v>102.0</v>
      </c>
      <c r="G187" s="17" t="s">
        <v>12</v>
      </c>
      <c r="H187" s="8" t="s">
        <v>12</v>
      </c>
    </row>
    <row r="188">
      <c r="A188" s="15">
        <v>44605.0</v>
      </c>
      <c r="B188" s="8" t="s">
        <v>29</v>
      </c>
      <c r="C188" s="16" t="s">
        <v>9</v>
      </c>
      <c r="D188" s="17" t="s">
        <v>14</v>
      </c>
      <c r="E188" s="18" t="s">
        <v>19</v>
      </c>
      <c r="F188" s="19">
        <v>11.04</v>
      </c>
      <c r="G188" s="17" t="s">
        <v>12</v>
      </c>
      <c r="H188" s="8" t="s">
        <v>12</v>
      </c>
    </row>
    <row r="189">
      <c r="A189" s="15">
        <v>44605.0</v>
      </c>
      <c r="B189" s="8" t="s">
        <v>29</v>
      </c>
      <c r="C189" s="16" t="s">
        <v>9</v>
      </c>
      <c r="D189" s="17" t="s">
        <v>14</v>
      </c>
      <c r="E189" s="18" t="s">
        <v>13</v>
      </c>
      <c r="F189" s="19">
        <v>3.68</v>
      </c>
      <c r="G189" s="17" t="s">
        <v>12</v>
      </c>
      <c r="H189" s="8" t="s">
        <v>12</v>
      </c>
    </row>
    <row r="190">
      <c r="A190" s="15">
        <v>44605.0</v>
      </c>
      <c r="B190" s="8" t="s">
        <v>29</v>
      </c>
      <c r="C190" s="16" t="s">
        <v>9</v>
      </c>
      <c r="D190" s="17" t="s">
        <v>14</v>
      </c>
      <c r="E190" s="18" t="s">
        <v>17</v>
      </c>
      <c r="F190" s="19">
        <v>7.36</v>
      </c>
      <c r="G190" s="17" t="s">
        <v>12</v>
      </c>
      <c r="H190" s="8" t="s">
        <v>12</v>
      </c>
    </row>
    <row r="191">
      <c r="A191" s="15">
        <v>44606.0</v>
      </c>
      <c r="B191" s="8" t="s">
        <v>29</v>
      </c>
      <c r="C191" s="16" t="s">
        <v>16</v>
      </c>
      <c r="D191" s="17" t="s">
        <v>10</v>
      </c>
      <c r="E191" s="18" t="s">
        <v>11</v>
      </c>
      <c r="F191" s="19">
        <v>83.95</v>
      </c>
      <c r="G191" s="17" t="s">
        <v>12</v>
      </c>
      <c r="H191" s="8" t="s">
        <v>12</v>
      </c>
    </row>
    <row r="192">
      <c r="A192" s="15">
        <v>44606.0</v>
      </c>
      <c r="B192" s="8" t="s">
        <v>29</v>
      </c>
      <c r="C192" s="16" t="s">
        <v>16</v>
      </c>
      <c r="D192" s="17" t="s">
        <v>10</v>
      </c>
      <c r="E192" s="18" t="s">
        <v>13</v>
      </c>
      <c r="F192" s="19">
        <v>8.4</v>
      </c>
      <c r="G192" s="17" t="s">
        <v>12</v>
      </c>
      <c r="H192" s="8" t="s">
        <v>12</v>
      </c>
    </row>
    <row r="193">
      <c r="A193" s="15">
        <v>44606.0</v>
      </c>
      <c r="B193" s="8" t="s">
        <v>29</v>
      </c>
      <c r="C193" s="16" t="s">
        <v>16</v>
      </c>
      <c r="D193" s="17" t="s">
        <v>14</v>
      </c>
      <c r="E193" s="18" t="s">
        <v>11</v>
      </c>
      <c r="F193" s="19">
        <v>84.97</v>
      </c>
      <c r="G193" s="17" t="s">
        <v>12</v>
      </c>
      <c r="H193" s="8" t="s">
        <v>12</v>
      </c>
    </row>
    <row r="194">
      <c r="A194" s="15">
        <v>44606.0</v>
      </c>
      <c r="B194" s="8" t="s">
        <v>29</v>
      </c>
      <c r="C194" s="16" t="s">
        <v>16</v>
      </c>
      <c r="D194" s="17" t="s">
        <v>14</v>
      </c>
      <c r="E194" s="18" t="s">
        <v>25</v>
      </c>
      <c r="F194" s="19">
        <v>66.1</v>
      </c>
      <c r="G194" s="17" t="s">
        <v>12</v>
      </c>
      <c r="H194" s="8" t="s">
        <v>12</v>
      </c>
    </row>
    <row r="195">
      <c r="A195" s="15">
        <v>44606.0</v>
      </c>
      <c r="B195" s="8" t="s">
        <v>29</v>
      </c>
      <c r="C195" s="16" t="s">
        <v>16</v>
      </c>
      <c r="D195" s="17" t="s">
        <v>14</v>
      </c>
      <c r="E195" s="18" t="s">
        <v>28</v>
      </c>
      <c r="F195" s="19">
        <v>66.1</v>
      </c>
      <c r="G195" s="17" t="s">
        <v>12</v>
      </c>
      <c r="H195" s="8" t="s">
        <v>12</v>
      </c>
    </row>
    <row r="196">
      <c r="A196" s="15">
        <v>44607.0</v>
      </c>
      <c r="B196" s="8" t="s">
        <v>29</v>
      </c>
      <c r="C196" s="16" t="s">
        <v>18</v>
      </c>
      <c r="D196" s="17" t="s">
        <v>10</v>
      </c>
      <c r="E196" s="18" t="s">
        <v>19</v>
      </c>
      <c r="F196" s="19">
        <v>58.25</v>
      </c>
      <c r="G196" s="17" t="s">
        <v>12</v>
      </c>
      <c r="H196" s="8" t="s">
        <v>12</v>
      </c>
    </row>
    <row r="197">
      <c r="A197" s="15">
        <v>44607.0</v>
      </c>
      <c r="B197" s="8" t="s">
        <v>29</v>
      </c>
      <c r="C197" s="16" t="s">
        <v>18</v>
      </c>
      <c r="D197" s="17" t="s">
        <v>14</v>
      </c>
      <c r="E197" s="18" t="s">
        <v>19</v>
      </c>
      <c r="F197" s="19">
        <v>55.89</v>
      </c>
      <c r="G197" s="17" t="s">
        <v>12</v>
      </c>
      <c r="H197" s="8" t="s">
        <v>12</v>
      </c>
    </row>
    <row r="198">
      <c r="A198" s="15">
        <v>44607.0</v>
      </c>
      <c r="B198" s="8" t="s">
        <v>29</v>
      </c>
      <c r="C198" s="16" t="s">
        <v>18</v>
      </c>
      <c r="D198" s="17" t="s">
        <v>14</v>
      </c>
      <c r="E198" s="18" t="s">
        <v>15</v>
      </c>
      <c r="F198" s="19">
        <v>55.89</v>
      </c>
      <c r="G198" s="17" t="s">
        <v>12</v>
      </c>
      <c r="H198" s="8" t="s">
        <v>12</v>
      </c>
    </row>
    <row r="199">
      <c r="A199" s="15">
        <v>44607.0</v>
      </c>
      <c r="B199" s="8" t="s">
        <v>29</v>
      </c>
      <c r="C199" s="16" t="s">
        <v>18</v>
      </c>
      <c r="D199" s="17" t="s">
        <v>14</v>
      </c>
      <c r="E199" s="18" t="s">
        <v>28</v>
      </c>
      <c r="F199" s="19">
        <v>37.25</v>
      </c>
      <c r="G199" s="17" t="s">
        <v>12</v>
      </c>
      <c r="H199" s="8" t="s">
        <v>12</v>
      </c>
    </row>
    <row r="200">
      <c r="A200" s="15">
        <v>44608.0</v>
      </c>
      <c r="B200" s="8" t="s">
        <v>29</v>
      </c>
      <c r="C200" s="16" t="s">
        <v>20</v>
      </c>
      <c r="D200" s="17" t="s">
        <v>10</v>
      </c>
      <c r="E200" s="18" t="s">
        <v>11</v>
      </c>
      <c r="F200" s="19">
        <v>61.29</v>
      </c>
      <c r="G200" s="17" t="s">
        <v>12</v>
      </c>
      <c r="H200" s="8" t="s">
        <v>12</v>
      </c>
    </row>
    <row r="201">
      <c r="A201" s="15">
        <v>44608.0</v>
      </c>
      <c r="B201" s="8" t="s">
        <v>29</v>
      </c>
      <c r="C201" s="16" t="s">
        <v>20</v>
      </c>
      <c r="D201" s="17" t="s">
        <v>14</v>
      </c>
      <c r="E201" s="18" t="s">
        <v>11</v>
      </c>
      <c r="F201" s="19">
        <v>65.66</v>
      </c>
      <c r="G201" s="17" t="s">
        <v>12</v>
      </c>
      <c r="H201" s="8" t="s">
        <v>12</v>
      </c>
    </row>
    <row r="202">
      <c r="A202" s="15">
        <v>44608.0</v>
      </c>
      <c r="B202" s="8" t="s">
        <v>29</v>
      </c>
      <c r="C202" s="16" t="s">
        <v>20</v>
      </c>
      <c r="D202" s="17" t="s">
        <v>14</v>
      </c>
      <c r="E202" s="18" t="s">
        <v>15</v>
      </c>
      <c r="F202" s="19">
        <v>54.72</v>
      </c>
      <c r="G202" s="17" t="s">
        <v>12</v>
      </c>
      <c r="H202" s="8" t="s">
        <v>12</v>
      </c>
    </row>
    <row r="203">
      <c r="A203" s="15">
        <v>44608.0</v>
      </c>
      <c r="B203" s="8" t="s">
        <v>29</v>
      </c>
      <c r="C203" s="16" t="s">
        <v>20</v>
      </c>
      <c r="D203" s="17" t="s">
        <v>14</v>
      </c>
      <c r="E203" s="18" t="s">
        <v>28</v>
      </c>
      <c r="F203" s="19">
        <v>43.78</v>
      </c>
      <c r="G203" s="17" t="s">
        <v>12</v>
      </c>
      <c r="H203" s="8" t="s">
        <v>12</v>
      </c>
    </row>
    <row r="204">
      <c r="A204" s="15">
        <v>44609.0</v>
      </c>
      <c r="B204" s="8" t="s">
        <v>29</v>
      </c>
      <c r="C204" s="16" t="s">
        <v>21</v>
      </c>
      <c r="D204" s="17" t="s">
        <v>10</v>
      </c>
      <c r="E204" s="18" t="s">
        <v>15</v>
      </c>
      <c r="F204" s="19">
        <v>65.97</v>
      </c>
      <c r="G204" s="17" t="s">
        <v>12</v>
      </c>
      <c r="H204" s="8" t="s">
        <v>12</v>
      </c>
    </row>
    <row r="205">
      <c r="A205" s="15">
        <v>44609.0</v>
      </c>
      <c r="B205" s="8" t="s">
        <v>29</v>
      </c>
      <c r="C205" s="16" t="s">
        <v>21</v>
      </c>
      <c r="D205" s="17" t="s">
        <v>14</v>
      </c>
      <c r="E205" s="18" t="s">
        <v>15</v>
      </c>
      <c r="F205" s="19">
        <v>30.01</v>
      </c>
      <c r="G205" s="17" t="s">
        <v>12</v>
      </c>
      <c r="H205" s="8" t="s">
        <v>12</v>
      </c>
    </row>
    <row r="206">
      <c r="A206" s="15">
        <v>44609.0</v>
      </c>
      <c r="B206" s="8" t="s">
        <v>29</v>
      </c>
      <c r="C206" s="16" t="s">
        <v>21</v>
      </c>
      <c r="D206" s="17" t="s">
        <v>14</v>
      </c>
      <c r="E206" s="18" t="s">
        <v>19</v>
      </c>
      <c r="F206" s="19">
        <v>54.01</v>
      </c>
      <c r="G206" s="17" t="s">
        <v>12</v>
      </c>
      <c r="H206" s="8" t="s">
        <v>12</v>
      </c>
    </row>
    <row r="207">
      <c r="A207" s="15">
        <v>44609.0</v>
      </c>
      <c r="B207" s="8" t="s">
        <v>29</v>
      </c>
      <c r="C207" s="16" t="s">
        <v>21</v>
      </c>
      <c r="D207" s="17" t="s">
        <v>14</v>
      </c>
      <c r="E207" s="18" t="s">
        <v>28</v>
      </c>
      <c r="F207" s="19">
        <v>42.01</v>
      </c>
      <c r="G207" s="17" t="s">
        <v>12</v>
      </c>
      <c r="H207" s="8" t="s">
        <v>12</v>
      </c>
    </row>
    <row r="208">
      <c r="A208" s="15">
        <v>44610.0</v>
      </c>
      <c r="B208" s="8" t="s">
        <v>29</v>
      </c>
      <c r="C208" s="16" t="s">
        <v>22</v>
      </c>
      <c r="D208" s="17" t="s">
        <v>10</v>
      </c>
      <c r="E208" s="18" t="s">
        <v>19</v>
      </c>
      <c r="F208" s="19">
        <v>121.64</v>
      </c>
      <c r="G208" s="17" t="s">
        <v>12</v>
      </c>
      <c r="H208" s="8" t="s">
        <v>12</v>
      </c>
    </row>
    <row r="209">
      <c r="A209" s="15">
        <v>44610.0</v>
      </c>
      <c r="B209" s="8" t="s">
        <v>29</v>
      </c>
      <c r="C209" s="16" t="s">
        <v>22</v>
      </c>
      <c r="D209" s="17" t="s">
        <v>14</v>
      </c>
      <c r="E209" s="18" t="s">
        <v>11</v>
      </c>
      <c r="F209" s="19">
        <v>76.14</v>
      </c>
      <c r="G209" s="17" t="s">
        <v>12</v>
      </c>
      <c r="H209" s="8" t="s">
        <v>12</v>
      </c>
    </row>
    <row r="210">
      <c r="A210" s="15">
        <v>44610.0</v>
      </c>
      <c r="B210" s="8" t="s">
        <v>29</v>
      </c>
      <c r="C210" s="16" t="s">
        <v>22</v>
      </c>
      <c r="D210" s="17" t="s">
        <v>14</v>
      </c>
      <c r="E210" s="18" t="s">
        <v>13</v>
      </c>
      <c r="F210" s="19">
        <v>67.67</v>
      </c>
      <c r="G210" s="17" t="s">
        <v>12</v>
      </c>
      <c r="H210" s="8" t="s">
        <v>12</v>
      </c>
    </row>
    <row r="211">
      <c r="A211" s="15">
        <v>44610.0</v>
      </c>
      <c r="B211" s="8" t="s">
        <v>29</v>
      </c>
      <c r="C211" s="16" t="s">
        <v>22</v>
      </c>
      <c r="D211" s="17" t="s">
        <v>14</v>
      </c>
      <c r="E211" s="18" t="s">
        <v>28</v>
      </c>
      <c r="F211" s="19">
        <v>33.84</v>
      </c>
      <c r="G211" s="17" t="s">
        <v>12</v>
      </c>
      <c r="H211" s="8" t="s">
        <v>12</v>
      </c>
    </row>
    <row r="212">
      <c r="A212" s="15">
        <v>44611.0</v>
      </c>
      <c r="B212" s="8" t="s">
        <v>29</v>
      </c>
      <c r="C212" s="16" t="s">
        <v>23</v>
      </c>
      <c r="D212" s="17" t="s">
        <v>10</v>
      </c>
      <c r="E212" s="18" t="s">
        <v>11</v>
      </c>
      <c r="F212" s="19">
        <v>95.85</v>
      </c>
      <c r="G212" s="17" t="s">
        <v>12</v>
      </c>
      <c r="H212" s="8" t="s">
        <v>12</v>
      </c>
    </row>
    <row r="213">
      <c r="A213" s="15">
        <v>44611.0</v>
      </c>
      <c r="B213" s="8" t="s">
        <v>29</v>
      </c>
      <c r="C213" s="16" t="s">
        <v>23</v>
      </c>
      <c r="D213" s="17" t="s">
        <v>10</v>
      </c>
      <c r="E213" s="18" t="s">
        <v>13</v>
      </c>
      <c r="F213" s="19">
        <v>73.7</v>
      </c>
      <c r="G213" s="17" t="s">
        <v>12</v>
      </c>
      <c r="H213" s="8" t="s">
        <v>12</v>
      </c>
    </row>
    <row r="214">
      <c r="A214" s="15">
        <v>44611.0</v>
      </c>
      <c r="B214" s="8" t="s">
        <v>29</v>
      </c>
      <c r="C214" s="16" t="s">
        <v>23</v>
      </c>
      <c r="D214" s="17" t="s">
        <v>10</v>
      </c>
      <c r="E214" s="18" t="s">
        <v>15</v>
      </c>
      <c r="F214" s="19">
        <v>73.7</v>
      </c>
      <c r="G214" s="17" t="s">
        <v>12</v>
      </c>
      <c r="H214" s="8" t="s">
        <v>12</v>
      </c>
    </row>
    <row r="215">
      <c r="A215" s="15">
        <v>44611.0</v>
      </c>
      <c r="B215" s="8" t="s">
        <v>29</v>
      </c>
      <c r="C215" s="16" t="s">
        <v>23</v>
      </c>
      <c r="D215" s="17" t="s">
        <v>14</v>
      </c>
      <c r="E215" s="18" t="s">
        <v>19</v>
      </c>
      <c r="F215" s="19">
        <v>63.12</v>
      </c>
      <c r="G215" s="17" t="s">
        <v>12</v>
      </c>
      <c r="H215" s="8" t="s">
        <v>12</v>
      </c>
    </row>
    <row r="216">
      <c r="A216" s="15">
        <v>44611.0</v>
      </c>
      <c r="B216" s="8" t="s">
        <v>29</v>
      </c>
      <c r="C216" s="16" t="s">
        <v>23</v>
      </c>
      <c r="D216" s="17" t="s">
        <v>14</v>
      </c>
      <c r="E216" s="18" t="s">
        <v>13</v>
      </c>
      <c r="F216" s="19">
        <v>49.09</v>
      </c>
      <c r="G216" s="17" t="s">
        <v>12</v>
      </c>
      <c r="H216" s="8" t="s">
        <v>12</v>
      </c>
    </row>
    <row r="217">
      <c r="A217" s="15">
        <v>44611.0</v>
      </c>
      <c r="B217" s="8" t="s">
        <v>29</v>
      </c>
      <c r="C217" s="16" t="s">
        <v>23</v>
      </c>
      <c r="D217" s="17" t="s">
        <v>14</v>
      </c>
      <c r="E217" s="18" t="s">
        <v>15</v>
      </c>
      <c r="F217" s="19">
        <v>63.12</v>
      </c>
      <c r="G217" s="17" t="s">
        <v>12</v>
      </c>
      <c r="H217" s="8" t="s">
        <v>12</v>
      </c>
    </row>
    <row r="218">
      <c r="A218" s="15">
        <v>44612.0</v>
      </c>
      <c r="B218" s="8" t="s">
        <v>29</v>
      </c>
      <c r="C218" s="16" t="s">
        <v>9</v>
      </c>
      <c r="D218" s="17" t="s">
        <v>10</v>
      </c>
      <c r="E218" s="18" t="s">
        <v>11</v>
      </c>
      <c r="F218" s="19">
        <v>28.01</v>
      </c>
      <c r="G218" s="17" t="s">
        <v>12</v>
      </c>
      <c r="H218" s="8" t="s">
        <v>12</v>
      </c>
    </row>
    <row r="219">
      <c r="A219" s="15">
        <v>44612.0</v>
      </c>
      <c r="B219" s="8" t="s">
        <v>29</v>
      </c>
      <c r="C219" s="16" t="s">
        <v>9</v>
      </c>
      <c r="D219" s="17" t="s">
        <v>10</v>
      </c>
      <c r="E219" s="18" t="s">
        <v>13</v>
      </c>
      <c r="F219" s="19">
        <v>70.05</v>
      </c>
      <c r="G219" s="17" t="s">
        <v>12</v>
      </c>
      <c r="H219" s="8" t="s">
        <v>12</v>
      </c>
    </row>
    <row r="220">
      <c r="A220" s="15">
        <v>44612.0</v>
      </c>
      <c r="B220" s="8" t="s">
        <v>29</v>
      </c>
      <c r="C220" s="16" t="s">
        <v>9</v>
      </c>
      <c r="D220" s="17" t="s">
        <v>10</v>
      </c>
      <c r="E220" s="18" t="s">
        <v>15</v>
      </c>
      <c r="F220" s="19">
        <v>70.05</v>
      </c>
      <c r="G220" s="17" t="s">
        <v>12</v>
      </c>
      <c r="H220" s="8" t="s">
        <v>12</v>
      </c>
    </row>
    <row r="221">
      <c r="A221" s="15">
        <v>44612.0</v>
      </c>
      <c r="B221" s="8" t="s">
        <v>29</v>
      </c>
      <c r="C221" s="16" t="s">
        <v>9</v>
      </c>
      <c r="D221" s="17" t="s">
        <v>10</v>
      </c>
      <c r="E221" s="18" t="s">
        <v>28</v>
      </c>
      <c r="F221" s="19">
        <v>70.05</v>
      </c>
      <c r="G221" s="17" t="s">
        <v>12</v>
      </c>
      <c r="H221" s="8" t="s">
        <v>12</v>
      </c>
    </row>
    <row r="222">
      <c r="A222" s="15">
        <v>44612.0</v>
      </c>
      <c r="B222" s="8" t="s">
        <v>29</v>
      </c>
      <c r="C222" s="16" t="s">
        <v>9</v>
      </c>
      <c r="D222" s="17" t="s">
        <v>14</v>
      </c>
      <c r="E222" s="18" t="s">
        <v>28</v>
      </c>
      <c r="F222" s="19">
        <v>34.37</v>
      </c>
      <c r="G222" s="17" t="s">
        <v>12</v>
      </c>
      <c r="H222" s="8" t="s">
        <v>12</v>
      </c>
    </row>
    <row r="223">
      <c r="A223" s="15">
        <v>44612.0</v>
      </c>
      <c r="B223" s="8" t="s">
        <v>29</v>
      </c>
      <c r="C223" s="16" t="s">
        <v>9</v>
      </c>
      <c r="D223" s="17" t="s">
        <v>14</v>
      </c>
      <c r="E223" s="18" t="s">
        <v>13</v>
      </c>
      <c r="F223" s="19">
        <v>44.19</v>
      </c>
      <c r="G223" s="17" t="s">
        <v>12</v>
      </c>
      <c r="H223" s="8" t="s">
        <v>12</v>
      </c>
    </row>
    <row r="224">
      <c r="A224" s="15">
        <v>44612.0</v>
      </c>
      <c r="B224" s="8" t="s">
        <v>29</v>
      </c>
      <c r="C224" s="16" t="s">
        <v>9</v>
      </c>
      <c r="D224" s="17" t="s">
        <v>14</v>
      </c>
      <c r="E224" s="18" t="s">
        <v>15</v>
      </c>
      <c r="F224" s="19">
        <v>19.64</v>
      </c>
      <c r="G224" s="17" t="s">
        <v>12</v>
      </c>
      <c r="H224" s="8" t="s">
        <v>12</v>
      </c>
    </row>
    <row r="225">
      <c r="A225" s="15">
        <v>44613.0</v>
      </c>
      <c r="B225" s="8" t="s">
        <v>29</v>
      </c>
      <c r="C225" s="16" t="s">
        <v>16</v>
      </c>
      <c r="D225" s="17" t="s">
        <v>10</v>
      </c>
      <c r="E225" s="18" t="s">
        <v>11</v>
      </c>
      <c r="F225" s="19">
        <v>138.95</v>
      </c>
      <c r="G225" s="17" t="s">
        <v>12</v>
      </c>
      <c r="H225" s="8" t="s">
        <v>12</v>
      </c>
    </row>
    <row r="226">
      <c r="A226" s="15">
        <v>44613.0</v>
      </c>
      <c r="B226" s="8" t="s">
        <v>29</v>
      </c>
      <c r="C226" s="16" t="s">
        <v>16</v>
      </c>
      <c r="D226" s="17" t="s">
        <v>10</v>
      </c>
      <c r="E226" s="18" t="s">
        <v>28</v>
      </c>
      <c r="F226" s="19">
        <v>48.63</v>
      </c>
      <c r="G226" s="17" t="s">
        <v>12</v>
      </c>
      <c r="H226" s="8" t="s">
        <v>12</v>
      </c>
    </row>
    <row r="227">
      <c r="A227" s="15">
        <v>44613.0</v>
      </c>
      <c r="B227" s="8" t="s">
        <v>29</v>
      </c>
      <c r="C227" s="16" t="s">
        <v>16</v>
      </c>
      <c r="D227" s="17" t="s">
        <v>14</v>
      </c>
      <c r="E227" s="18" t="s">
        <v>11</v>
      </c>
      <c r="F227" s="19">
        <v>85.96</v>
      </c>
      <c r="G227" s="17" t="s">
        <v>12</v>
      </c>
      <c r="H227" s="8" t="s">
        <v>12</v>
      </c>
    </row>
    <row r="228">
      <c r="A228" s="15">
        <v>44613.0</v>
      </c>
      <c r="B228" s="8" t="s">
        <v>29</v>
      </c>
      <c r="C228" s="16" t="s">
        <v>16</v>
      </c>
      <c r="D228" s="17" t="s">
        <v>14</v>
      </c>
      <c r="E228" s="18" t="s">
        <v>28</v>
      </c>
      <c r="F228" s="19">
        <v>76.41</v>
      </c>
      <c r="G228" s="17" t="s">
        <v>12</v>
      </c>
      <c r="H228" s="8" t="s">
        <v>12</v>
      </c>
    </row>
    <row r="229">
      <c r="A229" s="15">
        <v>44613.0</v>
      </c>
      <c r="B229" s="8" t="s">
        <v>29</v>
      </c>
      <c r="C229" s="16" t="s">
        <v>16</v>
      </c>
      <c r="D229" s="17" t="s">
        <v>14</v>
      </c>
      <c r="E229" s="18" t="s">
        <v>15</v>
      </c>
      <c r="F229" s="19">
        <v>38.57</v>
      </c>
      <c r="G229" s="17" t="s">
        <v>12</v>
      </c>
      <c r="H229" s="8" t="s">
        <v>12</v>
      </c>
    </row>
    <row r="230">
      <c r="A230" s="15">
        <v>44614.0</v>
      </c>
      <c r="B230" s="8" t="s">
        <v>29</v>
      </c>
      <c r="C230" s="16" t="s">
        <v>18</v>
      </c>
      <c r="D230" s="17" t="s">
        <v>10</v>
      </c>
      <c r="E230" s="18" t="s">
        <v>19</v>
      </c>
      <c r="F230" s="19">
        <v>41.94</v>
      </c>
      <c r="G230" s="17" t="s">
        <v>12</v>
      </c>
      <c r="H230" s="8" t="s">
        <v>12</v>
      </c>
    </row>
    <row r="231">
      <c r="A231" s="15">
        <v>44614.0</v>
      </c>
      <c r="B231" s="8" t="s">
        <v>29</v>
      </c>
      <c r="C231" s="16" t="s">
        <v>18</v>
      </c>
      <c r="D231" s="17" t="s">
        <v>14</v>
      </c>
      <c r="E231" s="18" t="s">
        <v>11</v>
      </c>
      <c r="F231" s="19">
        <v>44.04</v>
      </c>
      <c r="G231" s="17" t="s">
        <v>12</v>
      </c>
      <c r="H231" s="8" t="s">
        <v>12</v>
      </c>
    </row>
    <row r="232">
      <c r="A232" s="15">
        <v>44614.0</v>
      </c>
      <c r="B232" s="8" t="s">
        <v>29</v>
      </c>
      <c r="C232" s="16" t="s">
        <v>18</v>
      </c>
      <c r="D232" s="17" t="s">
        <v>14</v>
      </c>
      <c r="E232" s="18" t="s">
        <v>15</v>
      </c>
      <c r="F232" s="19">
        <v>19.57</v>
      </c>
      <c r="G232" s="17" t="s">
        <v>12</v>
      </c>
      <c r="H232" s="8" t="s">
        <v>12</v>
      </c>
    </row>
    <row r="233">
      <c r="A233" s="15">
        <v>44614.0</v>
      </c>
      <c r="B233" s="8" t="s">
        <v>29</v>
      </c>
      <c r="C233" s="16" t="s">
        <v>18</v>
      </c>
      <c r="D233" s="17" t="s">
        <v>14</v>
      </c>
      <c r="E233" s="18" t="s">
        <v>28</v>
      </c>
      <c r="F233" s="19">
        <v>29.36</v>
      </c>
      <c r="G233" s="17" t="s">
        <v>12</v>
      </c>
      <c r="H233" s="8" t="s">
        <v>12</v>
      </c>
    </row>
    <row r="234">
      <c r="A234" s="15">
        <v>44615.0</v>
      </c>
      <c r="B234" s="8" t="s">
        <v>29</v>
      </c>
      <c r="C234" s="16" t="s">
        <v>20</v>
      </c>
      <c r="D234" s="17" t="s">
        <v>10</v>
      </c>
      <c r="E234" s="18" t="s">
        <v>11</v>
      </c>
      <c r="F234" s="19">
        <v>96.45</v>
      </c>
      <c r="G234" s="17" t="s">
        <v>12</v>
      </c>
      <c r="H234" s="8" t="s">
        <v>12</v>
      </c>
    </row>
    <row r="235">
      <c r="A235" s="15">
        <v>44615.0</v>
      </c>
      <c r="B235" s="8" t="s">
        <v>29</v>
      </c>
      <c r="C235" s="16" t="s">
        <v>20</v>
      </c>
      <c r="D235" s="17" t="s">
        <v>10</v>
      </c>
      <c r="E235" s="18" t="s">
        <v>13</v>
      </c>
      <c r="F235" s="19">
        <v>19.29</v>
      </c>
      <c r="G235" s="17" t="s">
        <v>12</v>
      </c>
      <c r="H235" s="8" t="s">
        <v>12</v>
      </c>
    </row>
    <row r="236">
      <c r="A236" s="15">
        <v>44615.0</v>
      </c>
      <c r="B236" s="8" t="s">
        <v>29</v>
      </c>
      <c r="C236" s="16" t="s">
        <v>20</v>
      </c>
      <c r="D236" s="17" t="s">
        <v>14</v>
      </c>
      <c r="E236" s="18" t="s">
        <v>11</v>
      </c>
      <c r="F236" s="19">
        <v>37.88</v>
      </c>
      <c r="G236" s="17" t="s">
        <v>12</v>
      </c>
      <c r="H236" s="8" t="s">
        <v>12</v>
      </c>
    </row>
    <row r="237">
      <c r="A237" s="15">
        <v>44615.0</v>
      </c>
      <c r="B237" s="8" t="s">
        <v>29</v>
      </c>
      <c r="C237" s="16" t="s">
        <v>20</v>
      </c>
      <c r="D237" s="17" t="s">
        <v>14</v>
      </c>
      <c r="E237" s="18" t="s">
        <v>15</v>
      </c>
      <c r="F237" s="19">
        <v>27.36</v>
      </c>
      <c r="G237" s="17" t="s">
        <v>12</v>
      </c>
      <c r="H237" s="8" t="s">
        <v>12</v>
      </c>
    </row>
    <row r="238">
      <c r="A238" s="15">
        <v>44615.0</v>
      </c>
      <c r="B238" s="8" t="s">
        <v>29</v>
      </c>
      <c r="C238" s="16" t="s">
        <v>20</v>
      </c>
      <c r="D238" s="17" t="s">
        <v>14</v>
      </c>
      <c r="E238" s="18" t="s">
        <v>28</v>
      </c>
      <c r="F238" s="19">
        <v>31.57</v>
      </c>
      <c r="G238" s="17" t="s">
        <v>12</v>
      </c>
      <c r="H238" s="8" t="s">
        <v>12</v>
      </c>
    </row>
    <row r="239">
      <c r="A239" s="15">
        <v>44616.0</v>
      </c>
      <c r="B239" s="8" t="s">
        <v>29</v>
      </c>
      <c r="C239" s="16" t="s">
        <v>21</v>
      </c>
      <c r="D239" s="17" t="s">
        <v>10</v>
      </c>
      <c r="E239" s="18" t="s">
        <v>19</v>
      </c>
      <c r="F239" s="19">
        <v>100.24</v>
      </c>
      <c r="G239" s="17" t="s">
        <v>12</v>
      </c>
      <c r="H239" s="8" t="s">
        <v>12</v>
      </c>
    </row>
    <row r="240">
      <c r="A240" s="15">
        <v>44616.0</v>
      </c>
      <c r="B240" s="8" t="s">
        <v>29</v>
      </c>
      <c r="C240" s="16" t="s">
        <v>21</v>
      </c>
      <c r="D240" s="17" t="s">
        <v>14</v>
      </c>
      <c r="E240" s="18" t="s">
        <v>19</v>
      </c>
      <c r="F240" s="19">
        <v>59.12</v>
      </c>
      <c r="G240" s="17" t="s">
        <v>12</v>
      </c>
      <c r="H240" s="8" t="s">
        <v>12</v>
      </c>
    </row>
    <row r="241">
      <c r="A241" s="15">
        <v>44616.0</v>
      </c>
      <c r="B241" s="8" t="s">
        <v>29</v>
      </c>
      <c r="C241" s="16" t="s">
        <v>21</v>
      </c>
      <c r="D241" s="17" t="s">
        <v>14</v>
      </c>
      <c r="E241" s="18" t="s">
        <v>15</v>
      </c>
      <c r="F241" s="19">
        <v>39.41</v>
      </c>
      <c r="G241" s="17" t="s">
        <v>12</v>
      </c>
      <c r="H241" s="8" t="s">
        <v>12</v>
      </c>
    </row>
    <row r="242">
      <c r="A242" s="15">
        <v>44616.0</v>
      </c>
      <c r="B242" s="8" t="s">
        <v>29</v>
      </c>
      <c r="C242" s="16" t="s">
        <v>21</v>
      </c>
      <c r="D242" s="17" t="s">
        <v>14</v>
      </c>
      <c r="E242" s="18" t="s">
        <v>28</v>
      </c>
      <c r="F242" s="19">
        <v>32.84</v>
      </c>
      <c r="G242" s="17" t="s">
        <v>12</v>
      </c>
      <c r="H242" s="8" t="s">
        <v>12</v>
      </c>
    </row>
    <row r="243">
      <c r="A243" s="15">
        <v>44617.0</v>
      </c>
      <c r="B243" s="8" t="s">
        <v>29</v>
      </c>
      <c r="C243" s="16" t="s">
        <v>22</v>
      </c>
      <c r="D243" s="17" t="s">
        <v>10</v>
      </c>
      <c r="E243" s="18" t="s">
        <v>19</v>
      </c>
      <c r="F243" s="19">
        <v>58.54</v>
      </c>
      <c r="G243" s="17" t="s">
        <v>12</v>
      </c>
      <c r="H243" s="8" t="s">
        <v>12</v>
      </c>
    </row>
    <row r="244">
      <c r="A244" s="15">
        <v>44617.0</v>
      </c>
      <c r="B244" s="8" t="s">
        <v>29</v>
      </c>
      <c r="C244" s="16" t="s">
        <v>22</v>
      </c>
      <c r="D244" s="17" t="s">
        <v>10</v>
      </c>
      <c r="E244" s="18" t="s">
        <v>13</v>
      </c>
      <c r="F244" s="19">
        <v>25.1</v>
      </c>
      <c r="G244" s="17" t="s">
        <v>12</v>
      </c>
      <c r="H244" s="8" t="s">
        <v>12</v>
      </c>
    </row>
    <row r="245">
      <c r="A245" s="15">
        <v>44617.0</v>
      </c>
      <c r="B245" s="8" t="s">
        <v>29</v>
      </c>
      <c r="C245" s="16" t="s">
        <v>22</v>
      </c>
      <c r="D245" s="17" t="s">
        <v>14</v>
      </c>
      <c r="E245" s="18" t="s">
        <v>19</v>
      </c>
      <c r="F245" s="19">
        <v>47.95</v>
      </c>
      <c r="G245" s="17" t="s">
        <v>12</v>
      </c>
      <c r="H245" s="8" t="s">
        <v>12</v>
      </c>
    </row>
    <row r="246">
      <c r="A246" s="15">
        <v>44617.0</v>
      </c>
      <c r="B246" s="8" t="s">
        <v>29</v>
      </c>
      <c r="C246" s="16" t="s">
        <v>22</v>
      </c>
      <c r="D246" s="17" t="s">
        <v>14</v>
      </c>
      <c r="E246" s="18" t="s">
        <v>13</v>
      </c>
      <c r="F246" s="19">
        <v>55.94</v>
      </c>
      <c r="G246" s="17" t="s">
        <v>12</v>
      </c>
      <c r="H246" s="8" t="s">
        <v>12</v>
      </c>
    </row>
    <row r="247">
      <c r="A247" s="15">
        <v>44617.0</v>
      </c>
      <c r="B247" s="8" t="s">
        <v>29</v>
      </c>
      <c r="C247" s="16" t="s">
        <v>22</v>
      </c>
      <c r="D247" s="17" t="s">
        <v>14</v>
      </c>
      <c r="E247" s="18" t="s">
        <v>28</v>
      </c>
      <c r="F247" s="19">
        <v>63.93</v>
      </c>
      <c r="G247" s="17" t="s">
        <v>12</v>
      </c>
      <c r="H247" s="8" t="s">
        <v>12</v>
      </c>
    </row>
    <row r="248">
      <c r="A248" s="15">
        <v>44618.0</v>
      </c>
      <c r="B248" s="8" t="s">
        <v>29</v>
      </c>
      <c r="C248" s="16" t="s">
        <v>23</v>
      </c>
      <c r="D248" s="17" t="s">
        <v>10</v>
      </c>
      <c r="E248" s="18" t="s">
        <v>13</v>
      </c>
      <c r="F248" s="19">
        <v>90.93</v>
      </c>
      <c r="G248" s="17" t="s">
        <v>12</v>
      </c>
      <c r="H248" s="8" t="s">
        <v>12</v>
      </c>
    </row>
    <row r="249">
      <c r="A249" s="15">
        <v>44618.0</v>
      </c>
      <c r="B249" s="8" t="s">
        <v>29</v>
      </c>
      <c r="C249" s="16" t="s">
        <v>23</v>
      </c>
      <c r="D249" s="17" t="s">
        <v>10</v>
      </c>
      <c r="E249" s="18" t="s">
        <v>15</v>
      </c>
      <c r="F249" s="19">
        <v>77.94</v>
      </c>
      <c r="G249" s="17" t="s">
        <v>12</v>
      </c>
      <c r="H249" s="8" t="s">
        <v>12</v>
      </c>
    </row>
    <row r="250">
      <c r="A250" s="15">
        <v>44618.0</v>
      </c>
      <c r="B250" s="8" t="s">
        <v>29</v>
      </c>
      <c r="C250" s="16" t="s">
        <v>23</v>
      </c>
      <c r="D250" s="17" t="s">
        <v>10</v>
      </c>
      <c r="E250" s="18" t="s">
        <v>25</v>
      </c>
      <c r="F250" s="19">
        <v>65.02</v>
      </c>
      <c r="G250" s="17" t="s">
        <v>12</v>
      </c>
      <c r="H250" s="8" t="s">
        <v>12</v>
      </c>
    </row>
    <row r="251">
      <c r="A251" s="15">
        <v>44618.0</v>
      </c>
      <c r="B251" s="8" t="s">
        <v>29</v>
      </c>
      <c r="C251" s="16" t="s">
        <v>23</v>
      </c>
      <c r="D251" s="17" t="s">
        <v>14</v>
      </c>
      <c r="E251" s="18" t="s">
        <v>19</v>
      </c>
      <c r="F251" s="19">
        <v>77.16</v>
      </c>
      <c r="G251" s="17" t="s">
        <v>12</v>
      </c>
      <c r="H251" s="8" t="s">
        <v>12</v>
      </c>
    </row>
    <row r="252">
      <c r="A252" s="15">
        <v>44618.0</v>
      </c>
      <c r="B252" s="8" t="s">
        <v>29</v>
      </c>
      <c r="C252" s="16" t="s">
        <v>23</v>
      </c>
      <c r="D252" s="17" t="s">
        <v>14</v>
      </c>
      <c r="E252" s="18" t="s">
        <v>17</v>
      </c>
      <c r="F252" s="19">
        <v>77.16</v>
      </c>
      <c r="G252" s="17" t="s">
        <v>12</v>
      </c>
      <c r="H252" s="8" t="s">
        <v>12</v>
      </c>
    </row>
    <row r="253">
      <c r="A253" s="15">
        <v>44618.0</v>
      </c>
      <c r="B253" s="8" t="s">
        <v>29</v>
      </c>
      <c r="C253" s="16" t="s">
        <v>23</v>
      </c>
      <c r="D253" s="17" t="s">
        <v>14</v>
      </c>
      <c r="E253" s="18" t="s">
        <v>25</v>
      </c>
      <c r="F253" s="19">
        <v>77.16</v>
      </c>
      <c r="G253" s="17" t="s">
        <v>12</v>
      </c>
      <c r="H253" s="8" t="s">
        <v>12</v>
      </c>
    </row>
    <row r="254">
      <c r="A254" s="15">
        <v>44619.0</v>
      </c>
      <c r="B254" s="8" t="s">
        <v>29</v>
      </c>
      <c r="C254" s="16" t="s">
        <v>9</v>
      </c>
      <c r="D254" s="17" t="s">
        <v>10</v>
      </c>
      <c r="E254" s="18" t="s">
        <v>19</v>
      </c>
      <c r="F254" s="19">
        <v>106.76</v>
      </c>
      <c r="G254" s="17" t="s">
        <v>12</v>
      </c>
      <c r="H254" s="8" t="s">
        <v>12</v>
      </c>
    </row>
    <row r="255">
      <c r="A255" s="15">
        <v>44619.0</v>
      </c>
      <c r="B255" s="8" t="s">
        <v>29</v>
      </c>
      <c r="C255" s="16" t="s">
        <v>9</v>
      </c>
      <c r="D255" s="17" t="s">
        <v>10</v>
      </c>
      <c r="E255" s="18" t="s">
        <v>25</v>
      </c>
      <c r="F255" s="19">
        <v>68.63</v>
      </c>
      <c r="G255" s="17" t="s">
        <v>12</v>
      </c>
      <c r="H255" s="8" t="s">
        <v>12</v>
      </c>
    </row>
    <row r="256">
      <c r="A256" s="15">
        <v>44619.0</v>
      </c>
      <c r="B256" s="8" t="s">
        <v>29</v>
      </c>
      <c r="C256" s="16" t="s">
        <v>9</v>
      </c>
      <c r="D256" s="17" t="s">
        <v>10</v>
      </c>
      <c r="E256" s="18" t="s">
        <v>13</v>
      </c>
      <c r="F256" s="19">
        <v>38.12</v>
      </c>
      <c r="G256" s="17" t="s">
        <v>12</v>
      </c>
      <c r="H256" s="8" t="s">
        <v>12</v>
      </c>
    </row>
    <row r="257">
      <c r="A257" s="15">
        <v>44619.0</v>
      </c>
      <c r="B257" s="8" t="s">
        <v>29</v>
      </c>
      <c r="C257" s="16" t="s">
        <v>9</v>
      </c>
      <c r="D257" s="17" t="s">
        <v>14</v>
      </c>
      <c r="E257" s="18" t="s">
        <v>13</v>
      </c>
      <c r="F257" s="19">
        <v>36.17</v>
      </c>
      <c r="G257" s="17" t="s">
        <v>12</v>
      </c>
      <c r="H257" s="8" t="s">
        <v>12</v>
      </c>
    </row>
    <row r="258">
      <c r="A258" s="15">
        <v>44619.0</v>
      </c>
      <c r="B258" s="8" t="s">
        <v>29</v>
      </c>
      <c r="C258" s="16" t="s">
        <v>9</v>
      </c>
      <c r="D258" s="17" t="s">
        <v>14</v>
      </c>
      <c r="E258" s="18" t="s">
        <v>17</v>
      </c>
      <c r="F258" s="19">
        <v>54.26</v>
      </c>
      <c r="G258" s="17" t="s">
        <v>12</v>
      </c>
      <c r="H258" s="8" t="s">
        <v>12</v>
      </c>
    </row>
    <row r="259">
      <c r="A259" s="15">
        <v>44619.0</v>
      </c>
      <c r="B259" s="8" t="s">
        <v>29</v>
      </c>
      <c r="C259" s="16" t="s">
        <v>9</v>
      </c>
      <c r="D259" s="17" t="s">
        <v>14</v>
      </c>
      <c r="E259" s="18" t="s">
        <v>15</v>
      </c>
      <c r="F259" s="19">
        <v>54.26</v>
      </c>
      <c r="G259" s="17" t="s">
        <v>12</v>
      </c>
      <c r="H259" s="8" t="s">
        <v>12</v>
      </c>
    </row>
    <row r="260">
      <c r="A260" s="15">
        <v>44620.0</v>
      </c>
      <c r="B260" s="8" t="s">
        <v>29</v>
      </c>
      <c r="C260" s="16" t="s">
        <v>16</v>
      </c>
      <c r="D260" s="17" t="s">
        <v>10</v>
      </c>
      <c r="E260" s="18" t="s">
        <v>19</v>
      </c>
      <c r="F260" s="19">
        <v>107.55</v>
      </c>
      <c r="G260" s="17" t="s">
        <v>12</v>
      </c>
      <c r="H260" s="8" t="s">
        <v>12</v>
      </c>
    </row>
    <row r="261">
      <c r="A261" s="15">
        <v>44620.0</v>
      </c>
      <c r="B261" s="8" t="s">
        <v>29</v>
      </c>
      <c r="C261" s="16" t="s">
        <v>16</v>
      </c>
      <c r="D261" s="17" t="s">
        <v>14</v>
      </c>
      <c r="E261" s="18" t="s">
        <v>19</v>
      </c>
      <c r="F261" s="19">
        <v>70.05</v>
      </c>
      <c r="G261" s="17" t="s">
        <v>12</v>
      </c>
      <c r="H261" s="8" t="s">
        <v>12</v>
      </c>
    </row>
    <row r="262">
      <c r="A262" s="15">
        <v>44620.0</v>
      </c>
      <c r="B262" s="8" t="s">
        <v>29</v>
      </c>
      <c r="C262" s="16" t="s">
        <v>16</v>
      </c>
      <c r="D262" s="17" t="s">
        <v>14</v>
      </c>
      <c r="E262" s="18" t="s">
        <v>25</v>
      </c>
      <c r="F262" s="19">
        <v>70.05</v>
      </c>
      <c r="G262" s="17" t="s">
        <v>12</v>
      </c>
      <c r="H262" s="8" t="s">
        <v>12</v>
      </c>
    </row>
    <row r="263">
      <c r="A263" s="15">
        <v>44620.0</v>
      </c>
      <c r="B263" s="8" t="s">
        <v>29</v>
      </c>
      <c r="C263" s="16" t="s">
        <v>16</v>
      </c>
      <c r="D263" s="17" t="s">
        <v>14</v>
      </c>
      <c r="E263" s="18" t="s">
        <v>28</v>
      </c>
      <c r="F263" s="19">
        <v>54.47</v>
      </c>
      <c r="G263" s="17" t="s">
        <v>12</v>
      </c>
      <c r="H263" s="8" t="s">
        <v>12</v>
      </c>
    </row>
    <row r="264">
      <c r="A264" s="15">
        <v>44621.0</v>
      </c>
      <c r="B264" s="8" t="s">
        <v>30</v>
      </c>
      <c r="C264" s="16" t="s">
        <v>18</v>
      </c>
      <c r="D264" s="17" t="s">
        <v>10</v>
      </c>
      <c r="E264" s="18" t="s">
        <v>19</v>
      </c>
      <c r="F264" s="19">
        <v>42.92</v>
      </c>
      <c r="G264" s="17" t="s">
        <v>12</v>
      </c>
      <c r="H264" s="8" t="s">
        <v>12</v>
      </c>
    </row>
    <row r="265">
      <c r="A265" s="15">
        <v>44621.0</v>
      </c>
      <c r="B265" s="8" t="s">
        <v>30</v>
      </c>
      <c r="C265" s="16" t="s">
        <v>18</v>
      </c>
      <c r="D265" s="17" t="s">
        <v>14</v>
      </c>
      <c r="E265" s="18" t="s">
        <v>11</v>
      </c>
      <c r="F265" s="19">
        <v>67.11</v>
      </c>
      <c r="G265" s="17" t="s">
        <v>12</v>
      </c>
      <c r="H265" s="8" t="s">
        <v>12</v>
      </c>
    </row>
    <row r="266">
      <c r="A266" s="15">
        <v>44621.0</v>
      </c>
      <c r="B266" s="8" t="s">
        <v>30</v>
      </c>
      <c r="C266" s="16" t="s">
        <v>18</v>
      </c>
      <c r="D266" s="17" t="s">
        <v>14</v>
      </c>
      <c r="E266" s="18" t="s">
        <v>15</v>
      </c>
      <c r="F266" s="19">
        <v>67.11</v>
      </c>
      <c r="G266" s="17" t="s">
        <v>12</v>
      </c>
      <c r="H266" s="8" t="s">
        <v>12</v>
      </c>
    </row>
    <row r="267">
      <c r="A267" s="15">
        <v>44621.0</v>
      </c>
      <c r="B267" s="8" t="s">
        <v>30</v>
      </c>
      <c r="C267" s="16" t="s">
        <v>18</v>
      </c>
      <c r="D267" s="17" t="s">
        <v>14</v>
      </c>
      <c r="E267" s="18" t="s">
        <v>25</v>
      </c>
      <c r="F267" s="19">
        <v>0.0</v>
      </c>
      <c r="G267" s="17" t="s">
        <v>12</v>
      </c>
      <c r="H267" s="8" t="s">
        <v>12</v>
      </c>
    </row>
    <row r="268">
      <c r="A268" s="15">
        <v>44622.0</v>
      </c>
      <c r="B268" s="8" t="s">
        <v>30</v>
      </c>
      <c r="C268" s="16" t="s">
        <v>20</v>
      </c>
      <c r="D268" s="17" t="s">
        <v>10</v>
      </c>
      <c r="E268" s="18" t="s">
        <v>19</v>
      </c>
      <c r="F268" s="19">
        <v>93.11</v>
      </c>
      <c r="G268" s="17" t="s">
        <v>12</v>
      </c>
      <c r="H268" s="8" t="s">
        <v>12</v>
      </c>
    </row>
    <row r="269">
      <c r="A269" s="15">
        <v>44622.0</v>
      </c>
      <c r="B269" s="8" t="s">
        <v>30</v>
      </c>
      <c r="C269" s="16" t="s">
        <v>20</v>
      </c>
      <c r="D269" s="17" t="s">
        <v>14</v>
      </c>
      <c r="E269" s="18" t="s">
        <v>11</v>
      </c>
      <c r="F269" s="19">
        <v>44.52</v>
      </c>
      <c r="G269" s="17" t="s">
        <v>12</v>
      </c>
      <c r="H269" s="8" t="s">
        <v>12</v>
      </c>
    </row>
    <row r="270">
      <c r="A270" s="15">
        <v>44622.0</v>
      </c>
      <c r="B270" s="8" t="s">
        <v>30</v>
      </c>
      <c r="C270" s="16" t="s">
        <v>20</v>
      </c>
      <c r="D270" s="17" t="s">
        <v>14</v>
      </c>
      <c r="E270" s="18" t="s">
        <v>15</v>
      </c>
      <c r="F270" s="19">
        <v>34.63</v>
      </c>
      <c r="G270" s="17" t="s">
        <v>12</v>
      </c>
      <c r="H270" s="8" t="s">
        <v>12</v>
      </c>
    </row>
    <row r="271">
      <c r="A271" s="15">
        <v>44622.0</v>
      </c>
      <c r="B271" s="8" t="s">
        <v>30</v>
      </c>
      <c r="C271" s="16" t="s">
        <v>20</v>
      </c>
      <c r="D271" s="17" t="s">
        <v>14</v>
      </c>
      <c r="E271" s="18" t="s">
        <v>28</v>
      </c>
      <c r="F271" s="19">
        <v>32.16</v>
      </c>
      <c r="G271" s="17" t="s">
        <v>12</v>
      </c>
      <c r="H271" s="8" t="s">
        <v>12</v>
      </c>
    </row>
    <row r="272">
      <c r="A272" s="15">
        <v>44623.0</v>
      </c>
      <c r="B272" s="8" t="s">
        <v>30</v>
      </c>
      <c r="C272" s="16" t="s">
        <v>21</v>
      </c>
      <c r="D272" s="17" t="s">
        <v>10</v>
      </c>
      <c r="E272" s="18" t="s">
        <v>11</v>
      </c>
      <c r="F272" s="19">
        <v>94.9</v>
      </c>
      <c r="G272" s="17" t="s">
        <v>12</v>
      </c>
      <c r="H272" s="8" t="s">
        <v>12</v>
      </c>
    </row>
    <row r="273">
      <c r="A273" s="15">
        <v>44623.0</v>
      </c>
      <c r="B273" s="8" t="s">
        <v>30</v>
      </c>
      <c r="C273" s="16" t="s">
        <v>21</v>
      </c>
      <c r="D273" s="17" t="s">
        <v>14</v>
      </c>
      <c r="E273" s="18" t="s">
        <v>13</v>
      </c>
      <c r="F273" s="19">
        <v>86.9</v>
      </c>
      <c r="G273" s="17" t="s">
        <v>12</v>
      </c>
      <c r="H273" s="8" t="s">
        <v>12</v>
      </c>
    </row>
    <row r="274">
      <c r="A274" s="15">
        <v>44623.0</v>
      </c>
      <c r="B274" s="8" t="s">
        <v>30</v>
      </c>
      <c r="C274" s="16" t="s">
        <v>21</v>
      </c>
      <c r="D274" s="17" t="s">
        <v>14</v>
      </c>
      <c r="E274" s="18" t="s">
        <v>15</v>
      </c>
      <c r="F274" s="19">
        <v>82.09</v>
      </c>
      <c r="G274" s="17" t="s">
        <v>12</v>
      </c>
      <c r="H274" s="8" t="s">
        <v>12</v>
      </c>
    </row>
    <row r="275">
      <c r="A275" s="15">
        <v>44623.0</v>
      </c>
      <c r="B275" s="8" t="s">
        <v>30</v>
      </c>
      <c r="C275" s="16" t="s">
        <v>21</v>
      </c>
      <c r="D275" s="17" t="s">
        <v>14</v>
      </c>
      <c r="E275" s="18" t="s">
        <v>28</v>
      </c>
      <c r="F275" s="19">
        <v>67.59</v>
      </c>
      <c r="G275" s="17" t="s">
        <v>12</v>
      </c>
      <c r="H275" s="8" t="s">
        <v>12</v>
      </c>
    </row>
    <row r="276">
      <c r="A276" s="15">
        <v>44624.0</v>
      </c>
      <c r="B276" s="8" t="s">
        <v>30</v>
      </c>
      <c r="C276" s="16" t="s">
        <v>22</v>
      </c>
      <c r="D276" s="17" t="s">
        <v>10</v>
      </c>
      <c r="E276" s="18" t="s">
        <v>11</v>
      </c>
      <c r="F276" s="19">
        <v>65.95</v>
      </c>
      <c r="G276" s="17" t="s">
        <v>12</v>
      </c>
      <c r="H276" s="8" t="s">
        <v>12</v>
      </c>
    </row>
    <row r="277">
      <c r="A277" s="15">
        <v>44624.0</v>
      </c>
      <c r="B277" s="8" t="s">
        <v>30</v>
      </c>
      <c r="C277" s="16" t="s">
        <v>22</v>
      </c>
      <c r="D277" s="17" t="s">
        <v>10</v>
      </c>
      <c r="E277" s="18" t="s">
        <v>25</v>
      </c>
      <c r="F277" s="19">
        <v>65.95</v>
      </c>
      <c r="G277" s="17" t="s">
        <v>12</v>
      </c>
      <c r="H277" s="8" t="s">
        <v>12</v>
      </c>
    </row>
    <row r="278">
      <c r="A278" s="15">
        <v>44624.0</v>
      </c>
      <c r="B278" s="8" t="s">
        <v>30</v>
      </c>
      <c r="C278" s="16" t="s">
        <v>22</v>
      </c>
      <c r="D278" s="17" t="s">
        <v>14</v>
      </c>
      <c r="E278" s="18" t="s">
        <v>11</v>
      </c>
      <c r="F278" s="19">
        <v>115.09</v>
      </c>
      <c r="G278" s="17" t="s">
        <v>12</v>
      </c>
      <c r="H278" s="8" t="s">
        <v>12</v>
      </c>
    </row>
    <row r="279">
      <c r="A279" s="15">
        <v>44624.0</v>
      </c>
      <c r="B279" s="8" t="s">
        <v>30</v>
      </c>
      <c r="C279" s="16" t="s">
        <v>22</v>
      </c>
      <c r="D279" s="17" t="s">
        <v>14</v>
      </c>
      <c r="E279" s="18" t="s">
        <v>25</v>
      </c>
      <c r="F279" s="19">
        <v>115.09</v>
      </c>
      <c r="G279" s="17" t="s">
        <v>12</v>
      </c>
      <c r="H279" s="8" t="s">
        <v>12</v>
      </c>
    </row>
    <row r="280">
      <c r="A280" s="15">
        <v>44624.0</v>
      </c>
      <c r="B280" s="8" t="s">
        <v>30</v>
      </c>
      <c r="C280" s="16" t="s">
        <v>22</v>
      </c>
      <c r="D280" s="17" t="s">
        <v>14</v>
      </c>
      <c r="E280" s="18" t="s">
        <v>13</v>
      </c>
      <c r="F280" s="19">
        <v>115.09</v>
      </c>
      <c r="G280" s="17" t="s">
        <v>12</v>
      </c>
      <c r="H280" s="8" t="s">
        <v>12</v>
      </c>
    </row>
    <row r="281">
      <c r="A281" s="15">
        <v>44625.0</v>
      </c>
      <c r="B281" s="8" t="s">
        <v>30</v>
      </c>
      <c r="C281" s="16" t="s">
        <v>23</v>
      </c>
      <c r="D281" s="17" t="s">
        <v>10</v>
      </c>
      <c r="E281" s="18" t="s">
        <v>11</v>
      </c>
      <c r="F281" s="19">
        <v>18.39</v>
      </c>
      <c r="G281" s="17" t="s">
        <v>12</v>
      </c>
      <c r="H281" s="8" t="s">
        <v>12</v>
      </c>
    </row>
    <row r="282">
      <c r="A282" s="15">
        <v>44625.0</v>
      </c>
      <c r="B282" s="8" t="s">
        <v>30</v>
      </c>
      <c r="C282" s="16" t="s">
        <v>23</v>
      </c>
      <c r="D282" s="17" t="s">
        <v>10</v>
      </c>
      <c r="E282" s="18" t="s">
        <v>19</v>
      </c>
      <c r="F282" s="19">
        <v>41.37</v>
      </c>
      <c r="G282" s="17" t="s">
        <v>12</v>
      </c>
      <c r="H282" s="8" t="s">
        <v>12</v>
      </c>
    </row>
    <row r="283">
      <c r="A283" s="15">
        <v>44625.0</v>
      </c>
      <c r="B283" s="8" t="s">
        <v>30</v>
      </c>
      <c r="C283" s="16" t="s">
        <v>23</v>
      </c>
      <c r="D283" s="17" t="s">
        <v>10</v>
      </c>
      <c r="E283" s="18" t="s">
        <v>13</v>
      </c>
      <c r="F283" s="19">
        <v>45.97</v>
      </c>
      <c r="G283" s="17" t="s">
        <v>12</v>
      </c>
      <c r="H283" s="8" t="s">
        <v>12</v>
      </c>
    </row>
    <row r="284">
      <c r="A284" s="15">
        <v>44625.0</v>
      </c>
      <c r="B284" s="8" t="s">
        <v>30</v>
      </c>
      <c r="C284" s="16" t="s">
        <v>23</v>
      </c>
      <c r="D284" s="17" t="s">
        <v>10</v>
      </c>
      <c r="E284" s="18" t="s">
        <v>25</v>
      </c>
      <c r="F284" s="19">
        <v>45.97</v>
      </c>
      <c r="G284" s="17" t="s">
        <v>12</v>
      </c>
      <c r="H284" s="8" t="s">
        <v>12</v>
      </c>
    </row>
    <row r="285">
      <c r="A285" s="15">
        <v>44625.0</v>
      </c>
      <c r="B285" s="8" t="s">
        <v>30</v>
      </c>
      <c r="C285" s="16" t="s">
        <v>23</v>
      </c>
      <c r="D285" s="17" t="s">
        <v>14</v>
      </c>
      <c r="E285" s="18" t="s">
        <v>19</v>
      </c>
      <c r="F285" s="19">
        <v>93.35</v>
      </c>
      <c r="G285" s="17" t="s">
        <v>12</v>
      </c>
      <c r="H285" s="8" t="s">
        <v>12</v>
      </c>
    </row>
    <row r="286">
      <c r="A286" s="15">
        <v>44625.0</v>
      </c>
      <c r="B286" s="8" t="s">
        <v>30</v>
      </c>
      <c r="C286" s="16" t="s">
        <v>23</v>
      </c>
      <c r="D286" s="17" t="s">
        <v>14</v>
      </c>
      <c r="E286" s="18" t="s">
        <v>13</v>
      </c>
      <c r="F286" s="19">
        <v>93.35</v>
      </c>
      <c r="G286" s="17" t="s">
        <v>12</v>
      </c>
      <c r="H286" s="8" t="s">
        <v>12</v>
      </c>
    </row>
    <row r="287">
      <c r="A287" s="15">
        <v>44625.0</v>
      </c>
      <c r="B287" s="8" t="s">
        <v>30</v>
      </c>
      <c r="C287" s="16" t="s">
        <v>23</v>
      </c>
      <c r="D287" s="17" t="s">
        <v>14</v>
      </c>
      <c r="E287" s="18" t="s">
        <v>17</v>
      </c>
      <c r="F287" s="19">
        <v>93.35</v>
      </c>
      <c r="G287" s="17" t="s">
        <v>12</v>
      </c>
      <c r="H287" s="8" t="s">
        <v>12</v>
      </c>
    </row>
    <row r="288">
      <c r="A288" s="15">
        <v>44626.0</v>
      </c>
      <c r="B288" s="8" t="s">
        <v>30</v>
      </c>
      <c r="C288" s="16" t="s">
        <v>9</v>
      </c>
      <c r="D288" s="17" t="s">
        <v>10</v>
      </c>
      <c r="E288" s="18" t="s">
        <v>11</v>
      </c>
      <c r="F288" s="19">
        <v>18.25</v>
      </c>
      <c r="G288" s="17" t="s">
        <v>12</v>
      </c>
      <c r="H288" s="8" t="s">
        <v>12</v>
      </c>
    </row>
    <row r="289">
      <c r="A289" s="15">
        <v>44626.0</v>
      </c>
      <c r="B289" s="8" t="s">
        <v>30</v>
      </c>
      <c r="C289" s="16" t="s">
        <v>9</v>
      </c>
      <c r="D289" s="17" t="s">
        <v>10</v>
      </c>
      <c r="E289" s="18" t="s">
        <v>19</v>
      </c>
      <c r="F289" s="19">
        <v>52.14</v>
      </c>
      <c r="G289" s="17" t="s">
        <v>12</v>
      </c>
      <c r="H289" s="8" t="s">
        <v>12</v>
      </c>
    </row>
    <row r="290">
      <c r="A290" s="15">
        <v>44626.0</v>
      </c>
      <c r="B290" s="8" t="s">
        <v>30</v>
      </c>
      <c r="C290" s="16" t="s">
        <v>9</v>
      </c>
      <c r="D290" s="17" t="s">
        <v>10</v>
      </c>
      <c r="E290" s="18" t="s">
        <v>13</v>
      </c>
      <c r="F290" s="19">
        <v>57.35</v>
      </c>
      <c r="G290" s="17" t="s">
        <v>12</v>
      </c>
      <c r="H290" s="8" t="s">
        <v>12</v>
      </c>
    </row>
    <row r="291">
      <c r="A291" s="15">
        <v>44626.0</v>
      </c>
      <c r="B291" s="8" t="s">
        <v>30</v>
      </c>
      <c r="C291" s="16" t="s">
        <v>9</v>
      </c>
      <c r="D291" s="17" t="s">
        <v>10</v>
      </c>
      <c r="E291" s="18" t="s">
        <v>25</v>
      </c>
      <c r="F291" s="19">
        <v>41.71</v>
      </c>
      <c r="G291" s="17" t="s">
        <v>12</v>
      </c>
      <c r="H291" s="8" t="s">
        <v>12</v>
      </c>
    </row>
    <row r="292">
      <c r="A292" s="15">
        <v>44626.0</v>
      </c>
      <c r="B292" s="8" t="s">
        <v>30</v>
      </c>
      <c r="C292" s="16" t="s">
        <v>9</v>
      </c>
      <c r="D292" s="17" t="s">
        <v>14</v>
      </c>
      <c r="E292" s="18" t="s">
        <v>13</v>
      </c>
      <c r="F292" s="19">
        <v>62.51</v>
      </c>
      <c r="G292" s="17" t="s">
        <v>12</v>
      </c>
      <c r="H292" s="8" t="s">
        <v>12</v>
      </c>
    </row>
    <row r="293">
      <c r="A293" s="15">
        <v>44626.0</v>
      </c>
      <c r="B293" s="8" t="s">
        <v>30</v>
      </c>
      <c r="C293" s="16" t="s">
        <v>9</v>
      </c>
      <c r="D293" s="17" t="s">
        <v>14</v>
      </c>
      <c r="E293" s="18" t="s">
        <v>17</v>
      </c>
      <c r="F293" s="19">
        <v>48.61</v>
      </c>
      <c r="G293" s="17" t="s">
        <v>12</v>
      </c>
      <c r="H293" s="8" t="s">
        <v>12</v>
      </c>
    </row>
    <row r="294">
      <c r="A294" s="15">
        <v>44626.0</v>
      </c>
      <c r="B294" s="8" t="s">
        <v>30</v>
      </c>
      <c r="C294" s="16" t="s">
        <v>9</v>
      </c>
      <c r="D294" s="17" t="s">
        <v>14</v>
      </c>
      <c r="E294" s="18" t="s">
        <v>28</v>
      </c>
      <c r="F294" s="19">
        <v>55.56</v>
      </c>
      <c r="G294" s="17" t="s">
        <v>12</v>
      </c>
      <c r="H294" s="8" t="s">
        <v>12</v>
      </c>
    </row>
    <row r="295">
      <c r="A295" s="15">
        <v>44627.0</v>
      </c>
      <c r="B295" s="8" t="s">
        <v>30</v>
      </c>
      <c r="C295" s="16" t="s">
        <v>16</v>
      </c>
      <c r="D295" s="17" t="s">
        <v>10</v>
      </c>
      <c r="E295" s="18" t="s">
        <v>11</v>
      </c>
      <c r="F295" s="19">
        <v>142.08</v>
      </c>
      <c r="G295" s="17" t="s">
        <v>12</v>
      </c>
      <c r="H295" s="8" t="s">
        <v>12</v>
      </c>
    </row>
    <row r="296">
      <c r="A296" s="15">
        <v>44627.0</v>
      </c>
      <c r="B296" s="8" t="s">
        <v>30</v>
      </c>
      <c r="C296" s="16" t="s">
        <v>16</v>
      </c>
      <c r="D296" s="17" t="s">
        <v>14</v>
      </c>
      <c r="E296" s="18" t="s">
        <v>11</v>
      </c>
      <c r="F296" s="19">
        <v>111.2</v>
      </c>
      <c r="G296" s="17" t="s">
        <v>12</v>
      </c>
      <c r="H296" s="8" t="s">
        <v>12</v>
      </c>
    </row>
    <row r="297">
      <c r="A297" s="15">
        <v>44627.0</v>
      </c>
      <c r="B297" s="8" t="s">
        <v>30</v>
      </c>
      <c r="C297" s="16" t="s">
        <v>16</v>
      </c>
      <c r="D297" s="17" t="s">
        <v>14</v>
      </c>
      <c r="E297" s="18" t="s">
        <v>28</v>
      </c>
      <c r="F297" s="19">
        <v>98.84</v>
      </c>
      <c r="G297" s="17" t="s">
        <v>12</v>
      </c>
      <c r="H297" s="8" t="s">
        <v>12</v>
      </c>
    </row>
    <row r="298">
      <c r="A298" s="15">
        <v>44628.0</v>
      </c>
      <c r="B298" s="8" t="s">
        <v>30</v>
      </c>
      <c r="C298" s="16" t="s">
        <v>18</v>
      </c>
      <c r="D298" s="17" t="s">
        <v>10</v>
      </c>
      <c r="E298" s="18" t="s">
        <v>19</v>
      </c>
      <c r="F298" s="19">
        <v>82.45</v>
      </c>
      <c r="G298" s="17" t="s">
        <v>12</v>
      </c>
      <c r="H298" s="8" t="s">
        <v>12</v>
      </c>
    </row>
    <row r="299">
      <c r="A299" s="15">
        <v>44628.0</v>
      </c>
      <c r="B299" s="8" t="s">
        <v>30</v>
      </c>
      <c r="C299" s="16" t="s">
        <v>18</v>
      </c>
      <c r="D299" s="17" t="s">
        <v>14</v>
      </c>
      <c r="E299" s="18" t="s">
        <v>11</v>
      </c>
      <c r="F299" s="19">
        <v>50.09</v>
      </c>
      <c r="G299" s="17" t="s">
        <v>12</v>
      </c>
      <c r="H299" s="8" t="s">
        <v>12</v>
      </c>
    </row>
    <row r="300">
      <c r="A300" s="15">
        <v>44628.0</v>
      </c>
      <c r="B300" s="8" t="s">
        <v>30</v>
      </c>
      <c r="C300" s="16" t="s">
        <v>18</v>
      </c>
      <c r="D300" s="17" t="s">
        <v>14</v>
      </c>
      <c r="E300" s="18" t="s">
        <v>15</v>
      </c>
      <c r="F300" s="19">
        <v>50.09</v>
      </c>
      <c r="G300" s="17" t="s">
        <v>12</v>
      </c>
      <c r="H300" s="8" t="s">
        <v>12</v>
      </c>
    </row>
    <row r="301">
      <c r="A301" s="15">
        <v>44628.0</v>
      </c>
      <c r="B301" s="8" t="s">
        <v>30</v>
      </c>
      <c r="C301" s="16" t="s">
        <v>18</v>
      </c>
      <c r="D301" s="17" t="s">
        <v>14</v>
      </c>
      <c r="E301" s="18" t="s">
        <v>28</v>
      </c>
      <c r="F301" s="19">
        <v>38.97</v>
      </c>
      <c r="G301" s="17" t="s">
        <v>12</v>
      </c>
      <c r="H301" s="8" t="s">
        <v>12</v>
      </c>
    </row>
    <row r="302">
      <c r="A302" s="15">
        <v>44629.0</v>
      </c>
      <c r="B302" s="8" t="s">
        <v>30</v>
      </c>
      <c r="C302" s="16" t="s">
        <v>20</v>
      </c>
      <c r="D302" s="17" t="s">
        <v>10</v>
      </c>
      <c r="E302" s="18" t="s">
        <v>19</v>
      </c>
      <c r="F302" s="19">
        <v>79.98</v>
      </c>
      <c r="G302" s="17" t="s">
        <v>12</v>
      </c>
      <c r="H302" s="8" t="s">
        <v>12</v>
      </c>
    </row>
    <row r="303">
      <c r="A303" s="15">
        <v>44629.0</v>
      </c>
      <c r="B303" s="8" t="s">
        <v>30</v>
      </c>
      <c r="C303" s="16" t="s">
        <v>20</v>
      </c>
      <c r="D303" s="17" t="s">
        <v>10</v>
      </c>
      <c r="E303" s="18" t="s">
        <v>15</v>
      </c>
      <c r="F303" s="19">
        <v>6.84</v>
      </c>
      <c r="G303" s="17" t="s">
        <v>12</v>
      </c>
      <c r="H303" s="8" t="s">
        <v>12</v>
      </c>
    </row>
    <row r="304">
      <c r="A304" s="15">
        <v>44629.0</v>
      </c>
      <c r="B304" s="8" t="s">
        <v>30</v>
      </c>
      <c r="C304" s="16" t="s">
        <v>20</v>
      </c>
      <c r="D304" s="17" t="s">
        <v>14</v>
      </c>
      <c r="E304" s="18" t="s">
        <v>15</v>
      </c>
      <c r="F304" s="19">
        <v>36.17</v>
      </c>
      <c r="G304" s="17" t="s">
        <v>12</v>
      </c>
      <c r="H304" s="8" t="s">
        <v>12</v>
      </c>
    </row>
    <row r="305">
      <c r="A305" s="15">
        <v>44629.0</v>
      </c>
      <c r="B305" s="8" t="s">
        <v>30</v>
      </c>
      <c r="C305" s="16" t="s">
        <v>20</v>
      </c>
      <c r="D305" s="17" t="s">
        <v>14</v>
      </c>
      <c r="E305" s="18" t="s">
        <v>11</v>
      </c>
      <c r="F305" s="19">
        <v>54.25</v>
      </c>
      <c r="G305" s="17" t="s">
        <v>12</v>
      </c>
      <c r="H305" s="8" t="s">
        <v>12</v>
      </c>
    </row>
    <row r="306">
      <c r="A306" s="15">
        <v>44629.0</v>
      </c>
      <c r="B306" s="8" t="s">
        <v>30</v>
      </c>
      <c r="C306" s="16" t="s">
        <v>20</v>
      </c>
      <c r="D306" s="17" t="s">
        <v>14</v>
      </c>
      <c r="E306" s="18" t="s">
        <v>28</v>
      </c>
      <c r="F306" s="19">
        <v>42.2</v>
      </c>
      <c r="G306" s="17" t="s">
        <v>12</v>
      </c>
      <c r="H306" s="8" t="s">
        <v>12</v>
      </c>
    </row>
    <row r="307">
      <c r="A307" s="15">
        <v>44630.0</v>
      </c>
      <c r="B307" s="8" t="s">
        <v>30</v>
      </c>
      <c r="C307" s="16" t="s">
        <v>21</v>
      </c>
      <c r="D307" s="17" t="s">
        <v>10</v>
      </c>
      <c r="E307" s="18" t="s">
        <v>11</v>
      </c>
      <c r="F307" s="19">
        <v>84.47</v>
      </c>
      <c r="G307" s="17" t="s">
        <v>12</v>
      </c>
      <c r="H307" s="8" t="s">
        <v>12</v>
      </c>
    </row>
    <row r="308">
      <c r="A308" s="15">
        <v>44630.0</v>
      </c>
      <c r="B308" s="8" t="s">
        <v>30</v>
      </c>
      <c r="C308" s="16" t="s">
        <v>21</v>
      </c>
      <c r="D308" s="17" t="s">
        <v>14</v>
      </c>
      <c r="E308" s="18" t="s">
        <v>13</v>
      </c>
      <c r="F308" s="19">
        <v>67.01</v>
      </c>
      <c r="G308" s="17" t="s">
        <v>12</v>
      </c>
      <c r="H308" s="8" t="s">
        <v>12</v>
      </c>
    </row>
    <row r="309">
      <c r="A309" s="15">
        <v>44630.0</v>
      </c>
      <c r="B309" s="8" t="s">
        <v>30</v>
      </c>
      <c r="C309" s="16" t="s">
        <v>21</v>
      </c>
      <c r="D309" s="17" t="s">
        <v>14</v>
      </c>
      <c r="E309" s="18" t="s">
        <v>15</v>
      </c>
      <c r="F309" s="19">
        <v>59.54</v>
      </c>
      <c r="G309" s="17" t="s">
        <v>12</v>
      </c>
      <c r="H309" s="8" t="s">
        <v>12</v>
      </c>
    </row>
    <row r="310">
      <c r="A310" s="15">
        <v>44630.0</v>
      </c>
      <c r="B310" s="8" t="s">
        <v>30</v>
      </c>
      <c r="C310" s="16" t="s">
        <v>21</v>
      </c>
      <c r="D310" s="17" t="s">
        <v>14</v>
      </c>
      <c r="E310" s="18" t="s">
        <v>28</v>
      </c>
      <c r="F310" s="19">
        <v>52.12</v>
      </c>
      <c r="G310" s="17" t="s">
        <v>12</v>
      </c>
      <c r="H310" s="8" t="s">
        <v>12</v>
      </c>
    </row>
    <row r="311">
      <c r="A311" s="15">
        <v>44631.0</v>
      </c>
      <c r="B311" s="8" t="s">
        <v>30</v>
      </c>
      <c r="C311" s="16" t="s">
        <v>22</v>
      </c>
      <c r="D311" s="17" t="s">
        <v>10</v>
      </c>
      <c r="E311" s="18" t="s">
        <v>19</v>
      </c>
      <c r="F311" s="19">
        <v>140.78</v>
      </c>
      <c r="G311" s="17" t="s">
        <v>12</v>
      </c>
      <c r="H311" s="8" t="s">
        <v>12</v>
      </c>
    </row>
    <row r="312">
      <c r="A312" s="15">
        <v>44631.0</v>
      </c>
      <c r="B312" s="8" t="s">
        <v>30</v>
      </c>
      <c r="C312" s="16" t="s">
        <v>22</v>
      </c>
      <c r="D312" s="17" t="s">
        <v>14</v>
      </c>
      <c r="E312" s="18" t="s">
        <v>19</v>
      </c>
      <c r="F312" s="19">
        <v>56.61</v>
      </c>
      <c r="G312" s="17" t="s">
        <v>12</v>
      </c>
      <c r="H312" s="8" t="s">
        <v>12</v>
      </c>
    </row>
    <row r="313">
      <c r="A313" s="15">
        <v>44631.0</v>
      </c>
      <c r="B313" s="8" t="s">
        <v>30</v>
      </c>
      <c r="C313" s="16" t="s">
        <v>22</v>
      </c>
      <c r="D313" s="17" t="s">
        <v>14</v>
      </c>
      <c r="E313" s="18" t="s">
        <v>13</v>
      </c>
      <c r="F313" s="19">
        <v>56.61</v>
      </c>
      <c r="G313" s="17" t="s">
        <v>12</v>
      </c>
      <c r="H313" s="8" t="s">
        <v>12</v>
      </c>
    </row>
    <row r="314">
      <c r="A314" s="15">
        <v>44631.0</v>
      </c>
      <c r="B314" s="8" t="s">
        <v>30</v>
      </c>
      <c r="C314" s="16" t="s">
        <v>22</v>
      </c>
      <c r="D314" s="17" t="s">
        <v>14</v>
      </c>
      <c r="E314" s="18" t="s">
        <v>15</v>
      </c>
      <c r="F314" s="19">
        <v>37.74</v>
      </c>
      <c r="G314" s="17" t="s">
        <v>12</v>
      </c>
      <c r="H314" s="8" t="s">
        <v>12</v>
      </c>
    </row>
    <row r="315">
      <c r="A315" s="15">
        <v>44632.0</v>
      </c>
      <c r="B315" s="8" t="s">
        <v>30</v>
      </c>
      <c r="C315" s="16" t="s">
        <v>23</v>
      </c>
      <c r="D315" s="17" t="s">
        <v>10</v>
      </c>
      <c r="E315" s="18" t="s">
        <v>11</v>
      </c>
      <c r="F315" s="19">
        <v>88.88</v>
      </c>
      <c r="G315" s="17" t="s">
        <v>12</v>
      </c>
      <c r="H315" s="8" t="s">
        <v>12</v>
      </c>
    </row>
    <row r="316">
      <c r="A316" s="15">
        <v>44632.0</v>
      </c>
      <c r="B316" s="8" t="s">
        <v>30</v>
      </c>
      <c r="C316" s="16" t="s">
        <v>23</v>
      </c>
      <c r="D316" s="17" t="s">
        <v>10</v>
      </c>
      <c r="E316" s="18" t="s">
        <v>13</v>
      </c>
      <c r="F316" s="19">
        <v>98.75</v>
      </c>
      <c r="G316" s="17" t="s">
        <v>12</v>
      </c>
      <c r="H316" s="8" t="s">
        <v>12</v>
      </c>
    </row>
    <row r="317">
      <c r="A317" s="15">
        <v>44632.0</v>
      </c>
      <c r="B317" s="8" t="s">
        <v>30</v>
      </c>
      <c r="C317" s="16" t="s">
        <v>23</v>
      </c>
      <c r="D317" s="17" t="s">
        <v>10</v>
      </c>
      <c r="E317" s="18" t="s">
        <v>15</v>
      </c>
      <c r="F317" s="19">
        <v>88.89</v>
      </c>
      <c r="G317" s="17" t="s">
        <v>12</v>
      </c>
      <c r="H317" s="8" t="s">
        <v>12</v>
      </c>
    </row>
    <row r="318">
      <c r="A318" s="15">
        <v>44632.0</v>
      </c>
      <c r="B318" s="8" t="s">
        <v>30</v>
      </c>
      <c r="C318" s="16" t="s">
        <v>23</v>
      </c>
      <c r="D318" s="17" t="s">
        <v>10</v>
      </c>
      <c r="E318" s="18" t="s">
        <v>31</v>
      </c>
      <c r="F318" s="19">
        <v>0.0</v>
      </c>
      <c r="G318" s="20" t="s">
        <v>26</v>
      </c>
      <c r="H318" s="8" t="s">
        <v>12</v>
      </c>
    </row>
    <row r="319">
      <c r="A319" s="15">
        <v>44632.0</v>
      </c>
      <c r="B319" s="8" t="s">
        <v>30</v>
      </c>
      <c r="C319" s="16" t="s">
        <v>23</v>
      </c>
      <c r="D319" s="17" t="s">
        <v>14</v>
      </c>
      <c r="E319" s="18" t="s">
        <v>19</v>
      </c>
      <c r="F319" s="19">
        <v>85.74</v>
      </c>
      <c r="G319" s="17" t="s">
        <v>12</v>
      </c>
      <c r="H319" s="8" t="s">
        <v>12</v>
      </c>
    </row>
    <row r="320">
      <c r="A320" s="15">
        <v>44632.0</v>
      </c>
      <c r="B320" s="8" t="s">
        <v>30</v>
      </c>
      <c r="C320" s="16" t="s">
        <v>23</v>
      </c>
      <c r="D320" s="17" t="s">
        <v>14</v>
      </c>
      <c r="E320" s="18" t="s">
        <v>13</v>
      </c>
      <c r="F320" s="19">
        <v>85.74</v>
      </c>
      <c r="G320" s="17" t="s">
        <v>12</v>
      </c>
      <c r="H320" s="8" t="s">
        <v>12</v>
      </c>
    </row>
    <row r="321">
      <c r="A321" s="15">
        <v>44632.0</v>
      </c>
      <c r="B321" s="8" t="s">
        <v>30</v>
      </c>
      <c r="C321" s="16" t="s">
        <v>23</v>
      </c>
      <c r="D321" s="17" t="s">
        <v>14</v>
      </c>
      <c r="E321" s="18" t="s">
        <v>28</v>
      </c>
      <c r="F321" s="19">
        <v>85.74</v>
      </c>
      <c r="G321" s="17" t="s">
        <v>12</v>
      </c>
      <c r="H321" s="8" t="s">
        <v>12</v>
      </c>
    </row>
    <row r="322">
      <c r="A322" s="15">
        <v>44633.0</v>
      </c>
      <c r="B322" s="8" t="s">
        <v>30</v>
      </c>
      <c r="C322" s="16" t="s">
        <v>9</v>
      </c>
      <c r="D322" s="17" t="s">
        <v>10</v>
      </c>
      <c r="E322" s="18" t="s">
        <v>11</v>
      </c>
      <c r="F322" s="19">
        <v>46.73</v>
      </c>
      <c r="G322" s="17" t="s">
        <v>12</v>
      </c>
      <c r="H322" s="8" t="s">
        <v>12</v>
      </c>
    </row>
    <row r="323">
      <c r="A323" s="15">
        <v>44633.0</v>
      </c>
      <c r="B323" s="8" t="s">
        <v>30</v>
      </c>
      <c r="C323" s="16" t="s">
        <v>9</v>
      </c>
      <c r="D323" s="17" t="s">
        <v>10</v>
      </c>
      <c r="E323" s="18" t="s">
        <v>19</v>
      </c>
      <c r="F323" s="19">
        <v>98.66</v>
      </c>
      <c r="G323" s="17" t="s">
        <v>12</v>
      </c>
      <c r="H323" s="8" t="s">
        <v>12</v>
      </c>
    </row>
    <row r="324">
      <c r="A324" s="15">
        <v>44633.0</v>
      </c>
      <c r="B324" s="8" t="s">
        <v>30</v>
      </c>
      <c r="C324" s="16" t="s">
        <v>9</v>
      </c>
      <c r="D324" s="17" t="s">
        <v>10</v>
      </c>
      <c r="E324" s="18" t="s">
        <v>13</v>
      </c>
      <c r="F324" s="19">
        <v>98.66</v>
      </c>
      <c r="G324" s="17" t="s">
        <v>12</v>
      </c>
      <c r="H324" s="8" t="s">
        <v>12</v>
      </c>
    </row>
    <row r="325">
      <c r="A325" s="15">
        <v>44633.0</v>
      </c>
      <c r="B325" s="8" t="s">
        <v>30</v>
      </c>
      <c r="C325" s="16" t="s">
        <v>9</v>
      </c>
      <c r="D325" s="17" t="s">
        <v>10</v>
      </c>
      <c r="E325" s="18" t="s">
        <v>31</v>
      </c>
      <c r="F325" s="19">
        <v>0.0</v>
      </c>
      <c r="G325" s="20" t="s">
        <v>26</v>
      </c>
      <c r="H325" s="8" t="s">
        <v>12</v>
      </c>
    </row>
    <row r="326">
      <c r="A326" s="15">
        <v>44633.0</v>
      </c>
      <c r="B326" s="8" t="s">
        <v>30</v>
      </c>
      <c r="C326" s="16" t="s">
        <v>9</v>
      </c>
      <c r="D326" s="17" t="s">
        <v>14</v>
      </c>
      <c r="E326" s="18" t="s">
        <v>19</v>
      </c>
      <c r="F326" s="19">
        <v>55.51</v>
      </c>
      <c r="G326" s="17" t="s">
        <v>12</v>
      </c>
      <c r="H326" s="8" t="s">
        <v>12</v>
      </c>
    </row>
    <row r="327">
      <c r="A327" s="15">
        <v>44633.0</v>
      </c>
      <c r="B327" s="8" t="s">
        <v>30</v>
      </c>
      <c r="C327" s="16" t="s">
        <v>9</v>
      </c>
      <c r="D327" s="17" t="s">
        <v>14</v>
      </c>
      <c r="E327" s="18" t="s">
        <v>13</v>
      </c>
      <c r="F327" s="19">
        <v>37.01</v>
      </c>
      <c r="G327" s="17" t="s">
        <v>12</v>
      </c>
      <c r="H327" s="8" t="s">
        <v>12</v>
      </c>
    </row>
    <row r="328">
      <c r="A328" s="15">
        <v>44633.0</v>
      </c>
      <c r="B328" s="8" t="s">
        <v>30</v>
      </c>
      <c r="C328" s="16" t="s">
        <v>9</v>
      </c>
      <c r="D328" s="17" t="s">
        <v>14</v>
      </c>
      <c r="E328" s="18" t="s">
        <v>28</v>
      </c>
      <c r="F328" s="19">
        <v>38.86</v>
      </c>
      <c r="G328" s="17" t="s">
        <v>12</v>
      </c>
      <c r="H328" s="8" t="s">
        <v>12</v>
      </c>
    </row>
    <row r="329">
      <c r="A329" s="15">
        <v>44634.0</v>
      </c>
      <c r="B329" s="8" t="s">
        <v>30</v>
      </c>
      <c r="C329" s="16" t="s">
        <v>16</v>
      </c>
      <c r="D329" s="17" t="s">
        <v>10</v>
      </c>
      <c r="E329" s="18" t="s">
        <v>11</v>
      </c>
      <c r="F329" s="19">
        <v>86.15</v>
      </c>
      <c r="G329" s="17" t="s">
        <v>12</v>
      </c>
      <c r="H329" s="8" t="s">
        <v>12</v>
      </c>
    </row>
    <row r="330">
      <c r="A330" s="15">
        <v>44634.0</v>
      </c>
      <c r="B330" s="8" t="s">
        <v>30</v>
      </c>
      <c r="C330" s="16" t="s">
        <v>16</v>
      </c>
      <c r="D330" s="17" t="s">
        <v>14</v>
      </c>
      <c r="E330" s="18" t="s">
        <v>11</v>
      </c>
      <c r="F330" s="19">
        <v>85.88</v>
      </c>
      <c r="G330" s="17" t="s">
        <v>12</v>
      </c>
      <c r="H330" s="8" t="s">
        <v>12</v>
      </c>
    </row>
    <row r="331">
      <c r="A331" s="15">
        <v>44634.0</v>
      </c>
      <c r="B331" s="8" t="s">
        <v>30</v>
      </c>
      <c r="C331" s="16" t="s">
        <v>16</v>
      </c>
      <c r="D331" s="17" t="s">
        <v>14</v>
      </c>
      <c r="E331" s="18" t="s">
        <v>19</v>
      </c>
      <c r="F331" s="19">
        <v>96.61</v>
      </c>
      <c r="G331" s="17" t="s">
        <v>12</v>
      </c>
      <c r="H331" s="8" t="s">
        <v>12</v>
      </c>
    </row>
    <row r="332">
      <c r="A332" s="15">
        <v>44634.0</v>
      </c>
      <c r="B332" s="8" t="s">
        <v>30</v>
      </c>
      <c r="C332" s="16" t="s">
        <v>16</v>
      </c>
      <c r="D332" s="17" t="s">
        <v>14</v>
      </c>
      <c r="E332" s="18" t="s">
        <v>28</v>
      </c>
      <c r="F332" s="19">
        <v>75.14</v>
      </c>
      <c r="G332" s="17" t="s">
        <v>12</v>
      </c>
      <c r="H332" s="8" t="s">
        <v>12</v>
      </c>
    </row>
    <row r="333">
      <c r="A333" s="15">
        <v>44635.0</v>
      </c>
      <c r="B333" s="8" t="s">
        <v>30</v>
      </c>
      <c r="C333" s="16" t="s">
        <v>18</v>
      </c>
      <c r="D333" s="17" t="s">
        <v>10</v>
      </c>
      <c r="E333" s="18" t="s">
        <v>19</v>
      </c>
      <c r="F333" s="19">
        <v>84.54</v>
      </c>
      <c r="G333" s="17" t="s">
        <v>12</v>
      </c>
      <c r="H333" s="8" t="s">
        <v>12</v>
      </c>
    </row>
    <row r="334">
      <c r="A334" s="15">
        <v>44635.0</v>
      </c>
      <c r="B334" s="8" t="s">
        <v>30</v>
      </c>
      <c r="C334" s="16" t="s">
        <v>18</v>
      </c>
      <c r="D334" s="17" t="s">
        <v>14</v>
      </c>
      <c r="E334" s="18" t="s">
        <v>19</v>
      </c>
      <c r="F334" s="19">
        <v>52.14</v>
      </c>
      <c r="G334" s="17" t="s">
        <v>12</v>
      </c>
      <c r="H334" s="8" t="s">
        <v>12</v>
      </c>
    </row>
    <row r="335">
      <c r="A335" s="15">
        <v>44635.0</v>
      </c>
      <c r="B335" s="8" t="s">
        <v>30</v>
      </c>
      <c r="C335" s="16" t="s">
        <v>18</v>
      </c>
      <c r="D335" s="17" t="s">
        <v>14</v>
      </c>
      <c r="E335" s="18" t="s">
        <v>15</v>
      </c>
      <c r="F335" s="19">
        <v>52.14</v>
      </c>
      <c r="G335" s="17" t="s">
        <v>12</v>
      </c>
      <c r="H335" s="8" t="s">
        <v>12</v>
      </c>
    </row>
    <row r="336">
      <c r="A336" s="15">
        <v>44635.0</v>
      </c>
      <c r="B336" s="8" t="s">
        <v>30</v>
      </c>
      <c r="C336" s="16" t="s">
        <v>18</v>
      </c>
      <c r="D336" s="17" t="s">
        <v>14</v>
      </c>
      <c r="E336" s="18" t="s">
        <v>28</v>
      </c>
      <c r="F336" s="19">
        <v>40.56</v>
      </c>
      <c r="G336" s="17" t="s">
        <v>12</v>
      </c>
      <c r="H336" s="8" t="s">
        <v>12</v>
      </c>
    </row>
    <row r="337">
      <c r="A337" s="15">
        <v>44636.0</v>
      </c>
      <c r="B337" s="8" t="s">
        <v>30</v>
      </c>
      <c r="C337" s="16" t="s">
        <v>20</v>
      </c>
      <c r="D337" s="17" t="s">
        <v>10</v>
      </c>
      <c r="E337" s="18" t="s">
        <v>11</v>
      </c>
      <c r="F337" s="19">
        <v>63.34</v>
      </c>
      <c r="G337" s="17" t="s">
        <v>12</v>
      </c>
      <c r="H337" s="8" t="s">
        <v>12</v>
      </c>
    </row>
    <row r="338">
      <c r="A338" s="15">
        <v>44636.0</v>
      </c>
      <c r="B338" s="8" t="s">
        <v>30</v>
      </c>
      <c r="C338" s="16" t="s">
        <v>20</v>
      </c>
      <c r="D338" s="17" t="s">
        <v>14</v>
      </c>
      <c r="E338" s="18" t="s">
        <v>19</v>
      </c>
      <c r="F338" s="19">
        <v>96.16</v>
      </c>
      <c r="G338" s="17" t="s">
        <v>12</v>
      </c>
      <c r="H338" s="8" t="s">
        <v>12</v>
      </c>
    </row>
    <row r="339">
      <c r="A339" s="15">
        <v>44636.0</v>
      </c>
      <c r="B339" s="8" t="s">
        <v>30</v>
      </c>
      <c r="C339" s="16" t="s">
        <v>20</v>
      </c>
      <c r="D339" s="17" t="s">
        <v>14</v>
      </c>
      <c r="E339" s="18" t="s">
        <v>15</v>
      </c>
      <c r="F339" s="19">
        <v>96.16</v>
      </c>
      <c r="G339" s="17" t="s">
        <v>12</v>
      </c>
      <c r="H339" s="8" t="s">
        <v>12</v>
      </c>
    </row>
    <row r="340">
      <c r="A340" s="15">
        <v>44636.0</v>
      </c>
      <c r="B340" s="8" t="s">
        <v>30</v>
      </c>
      <c r="C340" s="16" t="s">
        <v>20</v>
      </c>
      <c r="D340" s="17" t="s">
        <v>14</v>
      </c>
      <c r="E340" s="18" t="s">
        <v>28</v>
      </c>
      <c r="F340" s="19">
        <v>58.1</v>
      </c>
      <c r="G340" s="17" t="s">
        <v>12</v>
      </c>
      <c r="H340" s="8" t="s">
        <v>12</v>
      </c>
    </row>
    <row r="341">
      <c r="A341" s="15">
        <v>44637.0</v>
      </c>
      <c r="B341" s="8" t="s">
        <v>30</v>
      </c>
      <c r="C341" s="16" t="s">
        <v>21</v>
      </c>
      <c r="D341" s="17" t="s">
        <v>10</v>
      </c>
      <c r="E341" s="18" t="s">
        <v>19</v>
      </c>
      <c r="F341" s="19">
        <v>51.24</v>
      </c>
      <c r="G341" s="17" t="s">
        <v>12</v>
      </c>
      <c r="H341" s="8" t="s">
        <v>12</v>
      </c>
    </row>
    <row r="342">
      <c r="A342" s="15">
        <v>44637.0</v>
      </c>
      <c r="B342" s="8" t="s">
        <v>30</v>
      </c>
      <c r="C342" s="16" t="s">
        <v>21</v>
      </c>
      <c r="D342" s="17" t="s">
        <v>14</v>
      </c>
      <c r="E342" s="18" t="s">
        <v>13</v>
      </c>
      <c r="F342" s="19">
        <v>67.85</v>
      </c>
      <c r="G342" s="17" t="s">
        <v>12</v>
      </c>
      <c r="H342" s="8" t="s">
        <v>12</v>
      </c>
    </row>
    <row r="343">
      <c r="A343" s="15">
        <v>44637.0</v>
      </c>
      <c r="B343" s="8" t="s">
        <v>30</v>
      </c>
      <c r="C343" s="16" t="s">
        <v>21</v>
      </c>
      <c r="D343" s="17" t="s">
        <v>14</v>
      </c>
      <c r="E343" s="18" t="s">
        <v>15</v>
      </c>
      <c r="F343" s="19">
        <v>45.3</v>
      </c>
      <c r="G343" s="17" t="s">
        <v>12</v>
      </c>
      <c r="H343" s="8" t="s">
        <v>12</v>
      </c>
    </row>
    <row r="344">
      <c r="A344" s="15">
        <v>44637.0</v>
      </c>
      <c r="B344" s="8" t="s">
        <v>30</v>
      </c>
      <c r="C344" s="16" t="s">
        <v>21</v>
      </c>
      <c r="D344" s="17" t="s">
        <v>14</v>
      </c>
      <c r="E344" s="18" t="s">
        <v>28</v>
      </c>
      <c r="F344" s="19">
        <v>52.85</v>
      </c>
      <c r="G344" s="17" t="s">
        <v>12</v>
      </c>
      <c r="H344" s="8" t="s">
        <v>12</v>
      </c>
    </row>
    <row r="345">
      <c r="A345" s="15">
        <v>44638.0</v>
      </c>
      <c r="B345" s="8" t="s">
        <v>30</v>
      </c>
      <c r="C345" s="16" t="s">
        <v>22</v>
      </c>
      <c r="D345" s="17" t="s">
        <v>10</v>
      </c>
      <c r="E345" s="18" t="s">
        <v>11</v>
      </c>
      <c r="F345" s="19">
        <v>58.58</v>
      </c>
      <c r="G345" s="17" t="s">
        <v>12</v>
      </c>
      <c r="H345" s="8" t="s">
        <v>12</v>
      </c>
    </row>
    <row r="346">
      <c r="A346" s="15">
        <v>44638.0</v>
      </c>
      <c r="B346" s="8" t="s">
        <v>30</v>
      </c>
      <c r="C346" s="16" t="s">
        <v>22</v>
      </c>
      <c r="D346" s="17" t="s">
        <v>14</v>
      </c>
      <c r="E346" s="18" t="s">
        <v>11</v>
      </c>
      <c r="F346" s="19">
        <v>54.7</v>
      </c>
      <c r="G346" s="17" t="s">
        <v>12</v>
      </c>
      <c r="H346" s="8" t="s">
        <v>12</v>
      </c>
    </row>
    <row r="347">
      <c r="A347" s="15">
        <v>44638.0</v>
      </c>
      <c r="B347" s="8" t="s">
        <v>30</v>
      </c>
      <c r="C347" s="16" t="s">
        <v>22</v>
      </c>
      <c r="D347" s="17" t="s">
        <v>14</v>
      </c>
      <c r="E347" s="18" t="s">
        <v>13</v>
      </c>
      <c r="F347" s="19">
        <v>33.43</v>
      </c>
      <c r="G347" s="17" t="s">
        <v>12</v>
      </c>
      <c r="H347" s="8" t="s">
        <v>12</v>
      </c>
    </row>
    <row r="348">
      <c r="A348" s="15">
        <v>44638.0</v>
      </c>
      <c r="B348" s="8" t="s">
        <v>30</v>
      </c>
      <c r="C348" s="16" t="s">
        <v>22</v>
      </c>
      <c r="D348" s="17" t="s">
        <v>14</v>
      </c>
      <c r="E348" s="18" t="s">
        <v>31</v>
      </c>
      <c r="F348" s="19">
        <v>39.5</v>
      </c>
      <c r="G348" s="17" t="s">
        <v>12</v>
      </c>
      <c r="H348" s="8" t="s">
        <v>12</v>
      </c>
    </row>
    <row r="349">
      <c r="A349" s="15">
        <v>44639.0</v>
      </c>
      <c r="B349" s="8" t="s">
        <v>30</v>
      </c>
      <c r="C349" s="16" t="s">
        <v>23</v>
      </c>
      <c r="D349" s="17" t="s">
        <v>10</v>
      </c>
      <c r="E349" s="18" t="s">
        <v>11</v>
      </c>
      <c r="F349" s="19">
        <v>40.74</v>
      </c>
      <c r="G349" s="17" t="s">
        <v>12</v>
      </c>
      <c r="H349" s="8" t="s">
        <v>12</v>
      </c>
    </row>
    <row r="350">
      <c r="A350" s="15">
        <v>44639.0</v>
      </c>
      <c r="B350" s="8" t="s">
        <v>30</v>
      </c>
      <c r="C350" s="16" t="s">
        <v>23</v>
      </c>
      <c r="D350" s="17" t="s">
        <v>10</v>
      </c>
      <c r="E350" s="18" t="s">
        <v>19</v>
      </c>
      <c r="F350" s="19">
        <v>81.49</v>
      </c>
      <c r="G350" s="17" t="s">
        <v>12</v>
      </c>
      <c r="H350" s="8" t="s">
        <v>12</v>
      </c>
    </row>
    <row r="351">
      <c r="A351" s="15">
        <v>44639.0</v>
      </c>
      <c r="B351" s="8" t="s">
        <v>30</v>
      </c>
      <c r="C351" s="16" t="s">
        <v>23</v>
      </c>
      <c r="D351" s="17" t="s">
        <v>10</v>
      </c>
      <c r="E351" s="18" t="s">
        <v>31</v>
      </c>
      <c r="F351" s="19">
        <v>90.54</v>
      </c>
      <c r="G351" s="17" t="s">
        <v>12</v>
      </c>
      <c r="H351" s="8" t="s">
        <v>12</v>
      </c>
    </row>
    <row r="352">
      <c r="A352" s="15">
        <v>44639.0</v>
      </c>
      <c r="B352" s="8" t="s">
        <v>30</v>
      </c>
      <c r="C352" s="16" t="s">
        <v>23</v>
      </c>
      <c r="D352" s="17" t="s">
        <v>14</v>
      </c>
      <c r="E352" s="18" t="s">
        <v>19</v>
      </c>
      <c r="F352" s="19">
        <v>59.6</v>
      </c>
      <c r="G352" s="17" t="s">
        <v>12</v>
      </c>
      <c r="H352" s="8" t="s">
        <v>12</v>
      </c>
    </row>
    <row r="353">
      <c r="A353" s="15">
        <v>44639.0</v>
      </c>
      <c r="B353" s="8" t="s">
        <v>30</v>
      </c>
      <c r="C353" s="16" t="s">
        <v>23</v>
      </c>
      <c r="D353" s="17" t="s">
        <v>14</v>
      </c>
      <c r="E353" s="18" t="s">
        <v>31</v>
      </c>
      <c r="F353" s="19">
        <v>59.6</v>
      </c>
      <c r="G353" s="17" t="s">
        <v>12</v>
      </c>
      <c r="H353" s="8" t="s">
        <v>12</v>
      </c>
    </row>
    <row r="354">
      <c r="A354" s="15">
        <v>44639.0</v>
      </c>
      <c r="B354" s="8" t="s">
        <v>30</v>
      </c>
      <c r="C354" s="16" t="s">
        <v>23</v>
      </c>
      <c r="D354" s="17" t="s">
        <v>14</v>
      </c>
      <c r="E354" s="18" t="s">
        <v>13</v>
      </c>
      <c r="F354" s="19">
        <v>59.6</v>
      </c>
      <c r="G354" s="17" t="s">
        <v>12</v>
      </c>
      <c r="H354" s="8" t="s">
        <v>12</v>
      </c>
    </row>
    <row r="355">
      <c r="A355" s="15">
        <v>44640.0</v>
      </c>
      <c r="B355" s="8" t="s">
        <v>30</v>
      </c>
      <c r="C355" s="16" t="s">
        <v>9</v>
      </c>
      <c r="D355" s="17" t="s">
        <v>10</v>
      </c>
      <c r="E355" s="18" t="s">
        <v>11</v>
      </c>
      <c r="F355" s="19">
        <v>43.9</v>
      </c>
      <c r="G355" s="17" t="s">
        <v>12</v>
      </c>
      <c r="H355" s="8" t="s">
        <v>12</v>
      </c>
    </row>
    <row r="356">
      <c r="A356" s="15">
        <v>44640.0</v>
      </c>
      <c r="B356" s="8" t="s">
        <v>30</v>
      </c>
      <c r="C356" s="16" t="s">
        <v>9</v>
      </c>
      <c r="D356" s="17" t="s">
        <v>10</v>
      </c>
      <c r="E356" s="18" t="s">
        <v>13</v>
      </c>
      <c r="F356" s="19">
        <v>79.85</v>
      </c>
      <c r="G356" s="17" t="s">
        <v>12</v>
      </c>
      <c r="H356" s="8" t="s">
        <v>12</v>
      </c>
    </row>
    <row r="357">
      <c r="A357" s="15">
        <v>44640.0</v>
      </c>
      <c r="B357" s="8" t="s">
        <v>30</v>
      </c>
      <c r="C357" s="16" t="s">
        <v>9</v>
      </c>
      <c r="D357" s="17" t="s">
        <v>10</v>
      </c>
      <c r="E357" s="18" t="s">
        <v>31</v>
      </c>
      <c r="F357" s="19">
        <v>99.81</v>
      </c>
      <c r="G357" s="17" t="s">
        <v>12</v>
      </c>
      <c r="H357" s="8" t="s">
        <v>12</v>
      </c>
    </row>
    <row r="358">
      <c r="A358" s="15">
        <v>44640.0</v>
      </c>
      <c r="B358" s="8" t="s">
        <v>30</v>
      </c>
      <c r="C358" s="16" t="s">
        <v>9</v>
      </c>
      <c r="D358" s="17" t="s">
        <v>10</v>
      </c>
      <c r="E358" s="18" t="s">
        <v>19</v>
      </c>
      <c r="F358" s="19">
        <v>75.86</v>
      </c>
      <c r="G358" s="17" t="s">
        <v>12</v>
      </c>
      <c r="H358" s="8" t="s">
        <v>12</v>
      </c>
    </row>
    <row r="359">
      <c r="A359" s="15">
        <v>44640.0</v>
      </c>
      <c r="B359" s="8" t="s">
        <v>30</v>
      </c>
      <c r="C359" s="16" t="s">
        <v>9</v>
      </c>
      <c r="D359" s="17" t="s">
        <v>14</v>
      </c>
      <c r="E359" s="18" t="s">
        <v>13</v>
      </c>
      <c r="F359" s="19">
        <v>49.45</v>
      </c>
      <c r="G359" s="17" t="s">
        <v>12</v>
      </c>
      <c r="H359" s="8" t="s">
        <v>12</v>
      </c>
    </row>
    <row r="360">
      <c r="A360" s="15">
        <v>44640.0</v>
      </c>
      <c r="B360" s="8" t="s">
        <v>30</v>
      </c>
      <c r="C360" s="16" t="s">
        <v>9</v>
      </c>
      <c r="D360" s="17" t="s">
        <v>14</v>
      </c>
      <c r="E360" s="18" t="s">
        <v>15</v>
      </c>
      <c r="F360" s="19">
        <v>59.34</v>
      </c>
      <c r="G360" s="17" t="s">
        <v>12</v>
      </c>
      <c r="H360" s="8" t="s">
        <v>12</v>
      </c>
    </row>
    <row r="361">
      <c r="A361" s="15">
        <v>44640.0</v>
      </c>
      <c r="B361" s="8" t="s">
        <v>30</v>
      </c>
      <c r="C361" s="16" t="s">
        <v>9</v>
      </c>
      <c r="D361" s="17" t="s">
        <v>14</v>
      </c>
      <c r="E361" s="18" t="s">
        <v>28</v>
      </c>
      <c r="F361" s="19">
        <v>46.15</v>
      </c>
      <c r="G361" s="17" t="s">
        <v>12</v>
      </c>
      <c r="H361" s="8" t="s">
        <v>12</v>
      </c>
    </row>
    <row r="362">
      <c r="A362" s="15">
        <v>44641.0</v>
      </c>
      <c r="B362" s="8" t="s">
        <v>30</v>
      </c>
      <c r="C362" s="16" t="s">
        <v>16</v>
      </c>
      <c r="D362" s="17" t="s">
        <v>10</v>
      </c>
      <c r="E362" s="18" t="s">
        <v>11</v>
      </c>
      <c r="F362" s="19">
        <v>66.0</v>
      </c>
      <c r="G362" s="17" t="s">
        <v>12</v>
      </c>
      <c r="H362" s="8" t="s">
        <v>12</v>
      </c>
    </row>
    <row r="363">
      <c r="A363" s="15">
        <v>44641.0</v>
      </c>
      <c r="B363" s="8" t="s">
        <v>30</v>
      </c>
      <c r="C363" s="16" t="s">
        <v>16</v>
      </c>
      <c r="D363" s="17" t="s">
        <v>14</v>
      </c>
      <c r="E363" s="18" t="s">
        <v>11</v>
      </c>
      <c r="F363" s="19">
        <v>78.0</v>
      </c>
      <c r="G363" s="17" t="s">
        <v>12</v>
      </c>
      <c r="H363" s="8" t="s">
        <v>12</v>
      </c>
    </row>
    <row r="364">
      <c r="A364" s="15">
        <v>44641.0</v>
      </c>
      <c r="B364" s="8" t="s">
        <v>30</v>
      </c>
      <c r="C364" s="16" t="s">
        <v>16</v>
      </c>
      <c r="D364" s="17" t="s">
        <v>14</v>
      </c>
      <c r="E364" s="18" t="s">
        <v>15</v>
      </c>
      <c r="F364" s="19">
        <v>56.34</v>
      </c>
      <c r="G364" s="17" t="s">
        <v>12</v>
      </c>
      <c r="H364" s="8" t="s">
        <v>12</v>
      </c>
    </row>
    <row r="365">
      <c r="A365" s="15">
        <v>44641.0</v>
      </c>
      <c r="B365" s="8" t="s">
        <v>30</v>
      </c>
      <c r="C365" s="16" t="s">
        <v>16</v>
      </c>
      <c r="D365" s="17" t="s">
        <v>14</v>
      </c>
      <c r="E365" s="18" t="s">
        <v>28</v>
      </c>
      <c r="F365" s="19">
        <v>60.67</v>
      </c>
      <c r="G365" s="17" t="s">
        <v>12</v>
      </c>
      <c r="H365" s="8" t="s">
        <v>12</v>
      </c>
    </row>
    <row r="366">
      <c r="A366" s="15">
        <v>44642.0</v>
      </c>
      <c r="B366" s="8" t="s">
        <v>30</v>
      </c>
      <c r="C366" s="16" t="s">
        <v>18</v>
      </c>
      <c r="D366" s="17" t="s">
        <v>10</v>
      </c>
      <c r="E366" s="18" t="s">
        <v>19</v>
      </c>
      <c r="F366" s="19">
        <v>116.17</v>
      </c>
      <c r="G366" s="17" t="s">
        <v>12</v>
      </c>
      <c r="H366" s="8" t="s">
        <v>12</v>
      </c>
    </row>
    <row r="367">
      <c r="A367" s="15">
        <v>44642.0</v>
      </c>
      <c r="B367" s="8" t="s">
        <v>30</v>
      </c>
      <c r="C367" s="16" t="s">
        <v>18</v>
      </c>
      <c r="D367" s="17" t="s">
        <v>14</v>
      </c>
      <c r="E367" s="18" t="s">
        <v>19</v>
      </c>
      <c r="F367" s="19">
        <v>93.36</v>
      </c>
      <c r="G367" s="17" t="s">
        <v>12</v>
      </c>
      <c r="H367" s="8" t="s">
        <v>12</v>
      </c>
    </row>
    <row r="368">
      <c r="A368" s="15">
        <v>44642.0</v>
      </c>
      <c r="B368" s="8" t="s">
        <v>30</v>
      </c>
      <c r="C368" s="16" t="s">
        <v>18</v>
      </c>
      <c r="D368" s="17" t="s">
        <v>14</v>
      </c>
      <c r="E368" s="18" t="s">
        <v>15</v>
      </c>
      <c r="F368" s="19">
        <v>93.36</v>
      </c>
      <c r="G368" s="17" t="s">
        <v>12</v>
      </c>
      <c r="H368" s="8" t="s">
        <v>12</v>
      </c>
    </row>
    <row r="369">
      <c r="A369" s="15">
        <v>44642.0</v>
      </c>
      <c r="B369" s="8" t="s">
        <v>30</v>
      </c>
      <c r="C369" s="16" t="s">
        <v>18</v>
      </c>
      <c r="D369" s="17" t="s">
        <v>14</v>
      </c>
      <c r="E369" s="18" t="s">
        <v>28</v>
      </c>
      <c r="F369" s="19">
        <v>72.62</v>
      </c>
      <c r="G369" s="17" t="s">
        <v>12</v>
      </c>
      <c r="H369" s="8" t="s">
        <v>12</v>
      </c>
    </row>
    <row r="370">
      <c r="A370" s="15">
        <v>44643.0</v>
      </c>
      <c r="B370" s="8" t="s">
        <v>30</v>
      </c>
      <c r="C370" s="16" t="s">
        <v>20</v>
      </c>
      <c r="D370" s="17" t="s">
        <v>10</v>
      </c>
      <c r="E370" s="18" t="s">
        <v>11</v>
      </c>
      <c r="F370" s="19">
        <v>82.56</v>
      </c>
      <c r="G370" s="17" t="s">
        <v>12</v>
      </c>
      <c r="H370" s="8" t="s">
        <v>12</v>
      </c>
    </row>
    <row r="371">
      <c r="A371" s="15">
        <v>44643.0</v>
      </c>
      <c r="B371" s="8" t="s">
        <v>30</v>
      </c>
      <c r="C371" s="16" t="s">
        <v>20</v>
      </c>
      <c r="D371" s="17" t="s">
        <v>14</v>
      </c>
      <c r="E371" s="18" t="s">
        <v>19</v>
      </c>
      <c r="F371" s="19">
        <v>77.89</v>
      </c>
      <c r="G371" s="17" t="s">
        <v>12</v>
      </c>
      <c r="H371" s="8" t="s">
        <v>12</v>
      </c>
    </row>
    <row r="372">
      <c r="A372" s="15">
        <v>44643.0</v>
      </c>
      <c r="B372" s="8" t="s">
        <v>30</v>
      </c>
      <c r="C372" s="16" t="s">
        <v>20</v>
      </c>
      <c r="D372" s="17" t="s">
        <v>14</v>
      </c>
      <c r="E372" s="18" t="s">
        <v>15</v>
      </c>
      <c r="F372" s="19">
        <v>77.89</v>
      </c>
      <c r="G372" s="17" t="s">
        <v>12</v>
      </c>
      <c r="H372" s="8" t="s">
        <v>12</v>
      </c>
    </row>
    <row r="373">
      <c r="A373" s="15">
        <v>44643.0</v>
      </c>
      <c r="B373" s="8" t="s">
        <v>30</v>
      </c>
      <c r="C373" s="16" t="s">
        <v>20</v>
      </c>
      <c r="D373" s="17" t="s">
        <v>14</v>
      </c>
      <c r="E373" s="18" t="s">
        <v>28</v>
      </c>
      <c r="F373" s="19">
        <v>60.58</v>
      </c>
      <c r="G373" s="17" t="s">
        <v>12</v>
      </c>
      <c r="H373" s="8" t="s">
        <v>12</v>
      </c>
    </row>
    <row r="374">
      <c r="A374" s="15">
        <v>44644.0</v>
      </c>
      <c r="B374" s="8" t="s">
        <v>30</v>
      </c>
      <c r="C374" s="16" t="s">
        <v>21</v>
      </c>
      <c r="D374" s="17" t="s">
        <v>10</v>
      </c>
      <c r="E374" s="18" t="s">
        <v>19</v>
      </c>
      <c r="F374" s="19">
        <v>82.31</v>
      </c>
      <c r="G374" s="17" t="s">
        <v>12</v>
      </c>
      <c r="H374" s="8" t="s">
        <v>12</v>
      </c>
    </row>
    <row r="375">
      <c r="A375" s="15">
        <v>44644.0</v>
      </c>
      <c r="B375" s="8" t="s">
        <v>30</v>
      </c>
      <c r="C375" s="16" t="s">
        <v>21</v>
      </c>
      <c r="D375" s="17" t="s">
        <v>14</v>
      </c>
      <c r="E375" s="18" t="s">
        <v>13</v>
      </c>
      <c r="F375" s="19">
        <v>75.92</v>
      </c>
      <c r="G375" s="17" t="s">
        <v>12</v>
      </c>
      <c r="H375" s="8" t="s">
        <v>12</v>
      </c>
    </row>
    <row r="376">
      <c r="A376" s="15">
        <v>44644.0</v>
      </c>
      <c r="B376" s="8" t="s">
        <v>30</v>
      </c>
      <c r="C376" s="16" t="s">
        <v>21</v>
      </c>
      <c r="D376" s="17" t="s">
        <v>14</v>
      </c>
      <c r="E376" s="18" t="s">
        <v>15</v>
      </c>
      <c r="F376" s="19">
        <v>59.04</v>
      </c>
      <c r="G376" s="17" t="s">
        <v>12</v>
      </c>
      <c r="H376" s="8" t="s">
        <v>12</v>
      </c>
    </row>
    <row r="377">
      <c r="A377" s="15">
        <v>44644.0</v>
      </c>
      <c r="B377" s="8" t="s">
        <v>30</v>
      </c>
      <c r="C377" s="16" t="s">
        <v>21</v>
      </c>
      <c r="D377" s="17" t="s">
        <v>14</v>
      </c>
      <c r="E377" s="18" t="s">
        <v>28</v>
      </c>
      <c r="F377" s="19">
        <v>59.04</v>
      </c>
      <c r="G377" s="17" t="s">
        <v>12</v>
      </c>
      <c r="H377" s="8" t="s">
        <v>12</v>
      </c>
    </row>
    <row r="378">
      <c r="A378" s="15">
        <v>44645.0</v>
      </c>
      <c r="B378" s="8" t="s">
        <v>30</v>
      </c>
      <c r="C378" s="16" t="s">
        <v>22</v>
      </c>
      <c r="D378" s="17" t="s">
        <v>10</v>
      </c>
      <c r="E378" s="18" t="s">
        <v>19</v>
      </c>
      <c r="F378" s="19">
        <v>117.94</v>
      </c>
      <c r="G378" s="17" t="s">
        <v>12</v>
      </c>
      <c r="H378" s="8" t="s">
        <v>12</v>
      </c>
    </row>
    <row r="379">
      <c r="A379" s="15">
        <v>44645.0</v>
      </c>
      <c r="B379" s="8" t="s">
        <v>30</v>
      </c>
      <c r="C379" s="16" t="s">
        <v>22</v>
      </c>
      <c r="D379" s="17" t="s">
        <v>14</v>
      </c>
      <c r="E379" s="18" t="s">
        <v>19</v>
      </c>
      <c r="F379" s="19">
        <v>152.31</v>
      </c>
      <c r="G379" s="17" t="s">
        <v>12</v>
      </c>
      <c r="H379" s="8" t="s">
        <v>12</v>
      </c>
    </row>
    <row r="380">
      <c r="A380" s="15">
        <v>44645.0</v>
      </c>
      <c r="B380" s="8" t="s">
        <v>30</v>
      </c>
      <c r="C380" s="16" t="s">
        <v>22</v>
      </c>
      <c r="D380" s="17" t="s">
        <v>14</v>
      </c>
      <c r="E380" s="18" t="s">
        <v>15</v>
      </c>
      <c r="F380" s="19">
        <v>152.31</v>
      </c>
      <c r="G380" s="17" t="s">
        <v>12</v>
      </c>
      <c r="H380" s="8" t="s">
        <v>12</v>
      </c>
    </row>
    <row r="381">
      <c r="A381" s="15">
        <v>44645.0</v>
      </c>
      <c r="B381" s="8" t="s">
        <v>30</v>
      </c>
      <c r="C381" s="16" t="s">
        <v>22</v>
      </c>
      <c r="D381" s="17" t="s">
        <v>14</v>
      </c>
      <c r="E381" s="18" t="s">
        <v>28</v>
      </c>
      <c r="F381" s="19">
        <v>135.39</v>
      </c>
      <c r="G381" s="17" t="s">
        <v>12</v>
      </c>
      <c r="H381" s="8" t="s">
        <v>12</v>
      </c>
    </row>
    <row r="382">
      <c r="A382" s="15">
        <v>44646.0</v>
      </c>
      <c r="B382" s="8" t="s">
        <v>30</v>
      </c>
      <c r="C382" s="16" t="s">
        <v>23</v>
      </c>
      <c r="D382" s="17" t="s">
        <v>10</v>
      </c>
      <c r="E382" s="18" t="s">
        <v>11</v>
      </c>
      <c r="F382" s="19">
        <v>104.25</v>
      </c>
      <c r="G382" s="17" t="s">
        <v>12</v>
      </c>
      <c r="H382" s="8" t="s">
        <v>12</v>
      </c>
    </row>
    <row r="383">
      <c r="A383" s="15">
        <v>44646.0</v>
      </c>
      <c r="B383" s="8" t="s">
        <v>30</v>
      </c>
      <c r="C383" s="16" t="s">
        <v>23</v>
      </c>
      <c r="D383" s="17" t="s">
        <v>10</v>
      </c>
      <c r="E383" s="18" t="s">
        <v>15</v>
      </c>
      <c r="F383" s="19">
        <v>80.19</v>
      </c>
      <c r="G383" s="17" t="s">
        <v>12</v>
      </c>
      <c r="H383" s="8" t="s">
        <v>12</v>
      </c>
    </row>
    <row r="384">
      <c r="A384" s="15">
        <v>44646.0</v>
      </c>
      <c r="B384" s="8" t="s">
        <v>30</v>
      </c>
      <c r="C384" s="16" t="s">
        <v>23</v>
      </c>
      <c r="D384" s="17" t="s">
        <v>10</v>
      </c>
      <c r="E384" s="18" t="s">
        <v>19</v>
      </c>
      <c r="F384" s="19">
        <v>72.17</v>
      </c>
      <c r="G384" s="17" t="s">
        <v>12</v>
      </c>
      <c r="H384" s="8" t="s">
        <v>12</v>
      </c>
    </row>
    <row r="385">
      <c r="A385" s="15">
        <v>44646.0</v>
      </c>
      <c r="B385" s="8" t="s">
        <v>30</v>
      </c>
      <c r="C385" s="16" t="s">
        <v>23</v>
      </c>
      <c r="D385" s="17" t="s">
        <v>14</v>
      </c>
      <c r="E385" s="18" t="s">
        <v>19</v>
      </c>
      <c r="F385" s="19">
        <v>63.01</v>
      </c>
      <c r="G385" s="17" t="s">
        <v>12</v>
      </c>
      <c r="H385" s="8" t="s">
        <v>12</v>
      </c>
    </row>
    <row r="386">
      <c r="A386" s="15">
        <v>44646.0</v>
      </c>
      <c r="B386" s="8" t="s">
        <v>30</v>
      </c>
      <c r="C386" s="16" t="s">
        <v>23</v>
      </c>
      <c r="D386" s="17" t="s">
        <v>14</v>
      </c>
      <c r="E386" s="18" t="s">
        <v>15</v>
      </c>
      <c r="F386" s="19">
        <v>42.01</v>
      </c>
      <c r="G386" s="17" t="s">
        <v>12</v>
      </c>
      <c r="H386" s="8" t="s">
        <v>12</v>
      </c>
    </row>
    <row r="387">
      <c r="A387" s="15">
        <v>44646.0</v>
      </c>
      <c r="B387" s="8" t="s">
        <v>30</v>
      </c>
      <c r="C387" s="16" t="s">
        <v>23</v>
      </c>
      <c r="D387" s="17" t="s">
        <v>14</v>
      </c>
      <c r="E387" s="18" t="s">
        <v>28</v>
      </c>
      <c r="F387" s="19">
        <v>49.01</v>
      </c>
      <c r="G387" s="17" t="s">
        <v>12</v>
      </c>
      <c r="H387" s="8" t="s">
        <v>12</v>
      </c>
    </row>
    <row r="388">
      <c r="A388" s="15">
        <v>44647.0</v>
      </c>
      <c r="B388" s="8" t="s">
        <v>30</v>
      </c>
      <c r="C388" s="16" t="s">
        <v>9</v>
      </c>
      <c r="D388" s="17" t="s">
        <v>10</v>
      </c>
      <c r="E388" s="18" t="s">
        <v>11</v>
      </c>
      <c r="F388" s="19">
        <v>174.11</v>
      </c>
      <c r="G388" s="17" t="s">
        <v>12</v>
      </c>
      <c r="H388" s="8" t="s">
        <v>12</v>
      </c>
    </row>
    <row r="389">
      <c r="A389" s="15">
        <v>44647.0</v>
      </c>
      <c r="B389" s="8" t="s">
        <v>30</v>
      </c>
      <c r="C389" s="16" t="s">
        <v>9</v>
      </c>
      <c r="D389" s="17" t="s">
        <v>10</v>
      </c>
      <c r="E389" s="18" t="s">
        <v>13</v>
      </c>
      <c r="F389" s="19">
        <v>124.37</v>
      </c>
      <c r="G389" s="17" t="s">
        <v>12</v>
      </c>
      <c r="H389" s="8" t="s">
        <v>12</v>
      </c>
    </row>
    <row r="390">
      <c r="A390" s="15">
        <v>44647.0</v>
      </c>
      <c r="B390" s="8" t="s">
        <v>30</v>
      </c>
      <c r="C390" s="16" t="s">
        <v>9</v>
      </c>
      <c r="D390" s="17" t="s">
        <v>10</v>
      </c>
      <c r="E390" s="18" t="s">
        <v>28</v>
      </c>
      <c r="F390" s="19">
        <v>105.71</v>
      </c>
      <c r="G390" s="17" t="s">
        <v>12</v>
      </c>
      <c r="H390" s="8" t="s">
        <v>12</v>
      </c>
    </row>
    <row r="391">
      <c r="A391" s="15">
        <v>44647.0</v>
      </c>
      <c r="B391" s="8" t="s">
        <v>30</v>
      </c>
      <c r="C391" s="16" t="s">
        <v>9</v>
      </c>
      <c r="D391" s="17" t="s">
        <v>14</v>
      </c>
      <c r="E391" s="18" t="s">
        <v>13</v>
      </c>
      <c r="F391" s="19">
        <v>84.11</v>
      </c>
      <c r="G391" s="17" t="s">
        <v>12</v>
      </c>
      <c r="H391" s="8" t="s">
        <v>12</v>
      </c>
    </row>
    <row r="392">
      <c r="A392" s="15">
        <v>44647.0</v>
      </c>
      <c r="B392" s="8" t="s">
        <v>30</v>
      </c>
      <c r="C392" s="16" t="s">
        <v>9</v>
      </c>
      <c r="D392" s="17" t="s">
        <v>14</v>
      </c>
      <c r="E392" s="18" t="s">
        <v>28</v>
      </c>
      <c r="F392" s="19">
        <v>84.11</v>
      </c>
      <c r="G392" s="17" t="s">
        <v>12</v>
      </c>
      <c r="H392" s="8" t="s">
        <v>12</v>
      </c>
    </row>
    <row r="393">
      <c r="A393" s="15">
        <v>44647.0</v>
      </c>
      <c r="B393" s="8" t="s">
        <v>30</v>
      </c>
      <c r="C393" s="16" t="s">
        <v>9</v>
      </c>
      <c r="D393" s="17" t="s">
        <v>14</v>
      </c>
      <c r="E393" s="18" t="s">
        <v>15</v>
      </c>
      <c r="F393" s="19">
        <v>84.11</v>
      </c>
      <c r="G393" s="17" t="s">
        <v>12</v>
      </c>
      <c r="H393" s="8" t="s">
        <v>12</v>
      </c>
    </row>
    <row r="394">
      <c r="A394" s="15">
        <v>44647.0</v>
      </c>
      <c r="B394" s="8" t="s">
        <v>30</v>
      </c>
      <c r="C394" s="16" t="s">
        <v>9</v>
      </c>
      <c r="D394" s="17" t="s">
        <v>14</v>
      </c>
      <c r="E394" s="18" t="s">
        <v>19</v>
      </c>
      <c r="F394" s="19">
        <v>28.4</v>
      </c>
      <c r="G394" s="17" t="s">
        <v>12</v>
      </c>
      <c r="H394" s="8" t="s">
        <v>12</v>
      </c>
    </row>
    <row r="395">
      <c r="A395" s="15">
        <v>44648.0</v>
      </c>
      <c r="B395" s="8" t="s">
        <v>30</v>
      </c>
      <c r="C395" s="16" t="s">
        <v>16</v>
      </c>
      <c r="D395" s="17" t="s">
        <v>10</v>
      </c>
      <c r="E395" s="18" t="s">
        <v>11</v>
      </c>
      <c r="F395" s="19">
        <v>40.91</v>
      </c>
      <c r="G395" s="17" t="s">
        <v>12</v>
      </c>
      <c r="H395" s="8" t="s">
        <v>12</v>
      </c>
    </row>
    <row r="396">
      <c r="A396" s="15">
        <v>44648.0</v>
      </c>
      <c r="B396" s="8" t="s">
        <v>30</v>
      </c>
      <c r="C396" s="16" t="s">
        <v>16</v>
      </c>
      <c r="D396" s="17" t="s">
        <v>14</v>
      </c>
      <c r="E396" s="18" t="s">
        <v>11</v>
      </c>
      <c r="F396" s="19">
        <v>75.31</v>
      </c>
      <c r="G396" s="17" t="s">
        <v>12</v>
      </c>
      <c r="H396" s="8" t="s">
        <v>12</v>
      </c>
    </row>
    <row r="397">
      <c r="A397" s="15">
        <v>44648.0</v>
      </c>
      <c r="B397" s="8" t="s">
        <v>30</v>
      </c>
      <c r="C397" s="16" t="s">
        <v>16</v>
      </c>
      <c r="D397" s="17" t="s">
        <v>14</v>
      </c>
      <c r="E397" s="18" t="s">
        <v>15</v>
      </c>
      <c r="F397" s="19">
        <v>75.31</v>
      </c>
      <c r="G397" s="17" t="s">
        <v>12</v>
      </c>
      <c r="H397" s="8" t="s">
        <v>12</v>
      </c>
    </row>
    <row r="398">
      <c r="A398" s="15">
        <v>44648.0</v>
      </c>
      <c r="B398" s="8" t="s">
        <v>30</v>
      </c>
      <c r="C398" s="16" t="s">
        <v>16</v>
      </c>
      <c r="D398" s="17" t="s">
        <v>14</v>
      </c>
      <c r="E398" s="18" t="s">
        <v>28</v>
      </c>
      <c r="F398" s="19">
        <v>58.57</v>
      </c>
      <c r="G398" s="17" t="s">
        <v>12</v>
      </c>
      <c r="H398" s="8" t="s">
        <v>12</v>
      </c>
    </row>
    <row r="399">
      <c r="A399" s="15">
        <v>44649.0</v>
      </c>
      <c r="B399" s="8" t="s">
        <v>30</v>
      </c>
      <c r="C399" s="16" t="s">
        <v>18</v>
      </c>
      <c r="D399" s="17" t="s">
        <v>10</v>
      </c>
      <c r="E399" s="18" t="s">
        <v>19</v>
      </c>
      <c r="F399" s="19">
        <v>71.3</v>
      </c>
      <c r="G399" s="17" t="s">
        <v>12</v>
      </c>
      <c r="H399" s="8" t="s">
        <v>12</v>
      </c>
    </row>
    <row r="400">
      <c r="A400" s="15">
        <v>44649.0</v>
      </c>
      <c r="B400" s="8" t="s">
        <v>30</v>
      </c>
      <c r="C400" s="16" t="s">
        <v>18</v>
      </c>
      <c r="D400" s="17" t="s">
        <v>14</v>
      </c>
      <c r="E400" s="18" t="s">
        <v>19</v>
      </c>
      <c r="F400" s="19">
        <v>66.76</v>
      </c>
      <c r="G400" s="17" t="s">
        <v>12</v>
      </c>
      <c r="H400" s="8" t="s">
        <v>12</v>
      </c>
    </row>
    <row r="401">
      <c r="A401" s="15">
        <v>44649.0</v>
      </c>
      <c r="B401" s="8" t="s">
        <v>30</v>
      </c>
      <c r="C401" s="16" t="s">
        <v>18</v>
      </c>
      <c r="D401" s="17" t="s">
        <v>14</v>
      </c>
      <c r="E401" s="18" t="s">
        <v>15</v>
      </c>
      <c r="F401" s="19">
        <v>59.34</v>
      </c>
      <c r="G401" s="17" t="s">
        <v>12</v>
      </c>
      <c r="H401" s="8" t="s">
        <v>12</v>
      </c>
    </row>
    <row r="402">
      <c r="A402" s="15">
        <v>44649.0</v>
      </c>
      <c r="B402" s="8" t="s">
        <v>30</v>
      </c>
      <c r="C402" s="16" t="s">
        <v>18</v>
      </c>
      <c r="D402" s="17" t="s">
        <v>14</v>
      </c>
      <c r="E402" s="18" t="s">
        <v>28</v>
      </c>
      <c r="F402" s="19">
        <v>51.93</v>
      </c>
      <c r="G402" s="17" t="s">
        <v>12</v>
      </c>
      <c r="H402" s="8" t="s">
        <v>12</v>
      </c>
    </row>
    <row r="403">
      <c r="A403" s="15">
        <v>44650.0</v>
      </c>
      <c r="B403" s="8" t="s">
        <v>30</v>
      </c>
      <c r="C403" s="16" t="s">
        <v>20</v>
      </c>
      <c r="D403" s="17" t="s">
        <v>10</v>
      </c>
      <c r="E403" s="18" t="s">
        <v>11</v>
      </c>
      <c r="F403" s="19">
        <v>80.34</v>
      </c>
      <c r="G403" s="17" t="s">
        <v>12</v>
      </c>
      <c r="H403" s="8" t="s">
        <v>12</v>
      </c>
    </row>
    <row r="404">
      <c r="A404" s="15">
        <v>44650.0</v>
      </c>
      <c r="B404" s="8" t="s">
        <v>30</v>
      </c>
      <c r="C404" s="16" t="s">
        <v>20</v>
      </c>
      <c r="D404" s="17" t="s">
        <v>14</v>
      </c>
      <c r="E404" s="18" t="s">
        <v>19</v>
      </c>
      <c r="F404" s="19">
        <v>74.82</v>
      </c>
      <c r="G404" s="17" t="s">
        <v>12</v>
      </c>
      <c r="H404" s="8" t="s">
        <v>12</v>
      </c>
    </row>
    <row r="405">
      <c r="A405" s="15">
        <v>44650.0</v>
      </c>
      <c r="B405" s="8" t="s">
        <v>30</v>
      </c>
      <c r="C405" s="16" t="s">
        <v>20</v>
      </c>
      <c r="D405" s="17" t="s">
        <v>14</v>
      </c>
      <c r="E405" s="18" t="s">
        <v>15</v>
      </c>
      <c r="F405" s="19">
        <v>74.82</v>
      </c>
      <c r="G405" s="17" t="s">
        <v>12</v>
      </c>
      <c r="H405" s="8" t="s">
        <v>12</v>
      </c>
    </row>
    <row r="406">
      <c r="A406" s="15">
        <v>44650.0</v>
      </c>
      <c r="B406" s="8" t="s">
        <v>30</v>
      </c>
      <c r="C406" s="16" t="s">
        <v>20</v>
      </c>
      <c r="D406" s="17" t="s">
        <v>14</v>
      </c>
      <c r="E406" s="18" t="s">
        <v>28</v>
      </c>
      <c r="F406" s="19">
        <v>58.19</v>
      </c>
      <c r="G406" s="17" t="s">
        <v>12</v>
      </c>
      <c r="H406" s="8" t="s">
        <v>12</v>
      </c>
    </row>
    <row r="407">
      <c r="A407" s="15">
        <v>44651.0</v>
      </c>
      <c r="B407" s="8" t="s">
        <v>30</v>
      </c>
      <c r="C407" s="16" t="s">
        <v>21</v>
      </c>
      <c r="D407" s="17" t="s">
        <v>10</v>
      </c>
      <c r="E407" s="18" t="s">
        <v>11</v>
      </c>
      <c r="F407" s="19">
        <v>71.75</v>
      </c>
      <c r="G407" s="17" t="s">
        <v>12</v>
      </c>
      <c r="H407" s="8" t="s">
        <v>12</v>
      </c>
    </row>
    <row r="408">
      <c r="A408" s="15">
        <v>44651.0</v>
      </c>
      <c r="B408" s="8" t="s">
        <v>30</v>
      </c>
      <c r="C408" s="16" t="s">
        <v>21</v>
      </c>
      <c r="D408" s="17" t="s">
        <v>14</v>
      </c>
      <c r="E408" s="18" t="s">
        <v>13</v>
      </c>
      <c r="F408" s="19">
        <v>99.81</v>
      </c>
      <c r="G408" s="17" t="s">
        <v>12</v>
      </c>
      <c r="H408" s="8" t="s">
        <v>12</v>
      </c>
    </row>
    <row r="409">
      <c r="A409" s="15">
        <v>44651.0</v>
      </c>
      <c r="B409" s="8" t="s">
        <v>30</v>
      </c>
      <c r="C409" s="16" t="s">
        <v>21</v>
      </c>
      <c r="D409" s="17" t="s">
        <v>14</v>
      </c>
      <c r="E409" s="18" t="s">
        <v>15</v>
      </c>
      <c r="F409" s="19">
        <v>77.62</v>
      </c>
      <c r="G409" s="17" t="s">
        <v>12</v>
      </c>
      <c r="H409" s="8" t="s">
        <v>12</v>
      </c>
    </row>
    <row r="410">
      <c r="A410" s="15">
        <v>44651.0</v>
      </c>
      <c r="B410" s="8" t="s">
        <v>30</v>
      </c>
      <c r="C410" s="16" t="s">
        <v>21</v>
      </c>
      <c r="D410" s="17" t="s">
        <v>14</v>
      </c>
      <c r="E410" s="18" t="s">
        <v>28</v>
      </c>
      <c r="F410" s="19">
        <v>77.62</v>
      </c>
      <c r="G410" s="17" t="s">
        <v>12</v>
      </c>
      <c r="H410" s="8" t="s">
        <v>12</v>
      </c>
    </row>
    <row r="411">
      <c r="A411" s="15">
        <v>44652.0</v>
      </c>
      <c r="B411" s="8" t="s">
        <v>32</v>
      </c>
      <c r="C411" s="16" t="s">
        <v>22</v>
      </c>
      <c r="D411" s="17" t="s">
        <v>10</v>
      </c>
      <c r="E411" s="18" t="s">
        <v>13</v>
      </c>
      <c r="F411" s="19">
        <v>43.5</v>
      </c>
      <c r="G411" s="17" t="s">
        <v>12</v>
      </c>
      <c r="H411" s="8" t="s">
        <v>12</v>
      </c>
    </row>
    <row r="412">
      <c r="A412" s="15">
        <v>44652.0</v>
      </c>
      <c r="B412" s="8" t="s">
        <v>32</v>
      </c>
      <c r="C412" s="16" t="s">
        <v>22</v>
      </c>
      <c r="D412" s="17" t="s">
        <v>10</v>
      </c>
      <c r="E412" s="18" t="s">
        <v>31</v>
      </c>
      <c r="F412" s="19">
        <v>43.49</v>
      </c>
      <c r="G412" s="17" t="s">
        <v>12</v>
      </c>
      <c r="H412" s="8" t="s">
        <v>12</v>
      </c>
    </row>
    <row r="413">
      <c r="A413" s="15">
        <v>44652.0</v>
      </c>
      <c r="B413" s="8" t="s">
        <v>32</v>
      </c>
      <c r="C413" s="16" t="s">
        <v>22</v>
      </c>
      <c r="D413" s="17" t="s">
        <v>14</v>
      </c>
      <c r="E413" s="18" t="s">
        <v>13</v>
      </c>
      <c r="F413" s="19">
        <v>83.96</v>
      </c>
      <c r="G413" s="17" t="s">
        <v>12</v>
      </c>
      <c r="H413" s="8" t="s">
        <v>12</v>
      </c>
    </row>
    <row r="414">
      <c r="A414" s="15">
        <v>44652.0</v>
      </c>
      <c r="B414" s="8" t="s">
        <v>32</v>
      </c>
      <c r="C414" s="16" t="s">
        <v>22</v>
      </c>
      <c r="D414" s="17" t="s">
        <v>14</v>
      </c>
      <c r="E414" s="18" t="s">
        <v>31</v>
      </c>
      <c r="F414" s="19">
        <v>83.96</v>
      </c>
      <c r="G414" s="17" t="s">
        <v>12</v>
      </c>
      <c r="H414" s="8" t="s">
        <v>12</v>
      </c>
    </row>
    <row r="415">
      <c r="A415" s="15">
        <v>44652.0</v>
      </c>
      <c r="B415" s="8" t="s">
        <v>32</v>
      </c>
      <c r="C415" s="16" t="s">
        <v>22</v>
      </c>
      <c r="D415" s="17" t="s">
        <v>14</v>
      </c>
      <c r="E415" s="18" t="s">
        <v>11</v>
      </c>
      <c r="F415" s="19">
        <v>83.96</v>
      </c>
      <c r="G415" s="17" t="s">
        <v>12</v>
      </c>
      <c r="H415" s="8" t="s">
        <v>12</v>
      </c>
    </row>
    <row r="416">
      <c r="A416" s="15">
        <v>44653.0</v>
      </c>
      <c r="B416" s="8" t="s">
        <v>32</v>
      </c>
      <c r="C416" s="16" t="s">
        <v>23</v>
      </c>
      <c r="D416" s="17" t="s">
        <v>10</v>
      </c>
      <c r="E416" s="18" t="s">
        <v>11</v>
      </c>
      <c r="F416" s="19">
        <v>48.13</v>
      </c>
      <c r="G416" s="17" t="s">
        <v>12</v>
      </c>
      <c r="H416" s="8" t="s">
        <v>12</v>
      </c>
    </row>
    <row r="417">
      <c r="A417" s="15">
        <v>44653.0</v>
      </c>
      <c r="B417" s="8" t="s">
        <v>32</v>
      </c>
      <c r="C417" s="16" t="s">
        <v>23</v>
      </c>
      <c r="D417" s="17" t="s">
        <v>10</v>
      </c>
      <c r="E417" s="18" t="s">
        <v>13</v>
      </c>
      <c r="F417" s="19">
        <v>53.5</v>
      </c>
      <c r="G417" s="17" t="s">
        <v>12</v>
      </c>
      <c r="H417" s="8" t="s">
        <v>12</v>
      </c>
    </row>
    <row r="418">
      <c r="A418" s="15">
        <v>44653.0</v>
      </c>
      <c r="B418" s="8" t="s">
        <v>32</v>
      </c>
      <c r="C418" s="16" t="s">
        <v>23</v>
      </c>
      <c r="D418" s="17" t="s">
        <v>10</v>
      </c>
      <c r="E418" s="18" t="s">
        <v>31</v>
      </c>
      <c r="F418" s="19">
        <v>53.5</v>
      </c>
      <c r="G418" s="17" t="s">
        <v>12</v>
      </c>
      <c r="H418" s="8" t="s">
        <v>12</v>
      </c>
    </row>
    <row r="419">
      <c r="A419" s="15">
        <v>44653.0</v>
      </c>
      <c r="B419" s="8" t="s">
        <v>32</v>
      </c>
      <c r="C419" s="16" t="s">
        <v>23</v>
      </c>
      <c r="D419" s="17" t="s">
        <v>14</v>
      </c>
      <c r="E419" s="18" t="s">
        <v>19</v>
      </c>
      <c r="F419" s="19">
        <v>94.97</v>
      </c>
      <c r="G419" s="17" t="s">
        <v>12</v>
      </c>
      <c r="H419" s="8" t="s">
        <v>12</v>
      </c>
    </row>
    <row r="420">
      <c r="A420" s="15">
        <v>44653.0</v>
      </c>
      <c r="B420" s="8" t="s">
        <v>32</v>
      </c>
      <c r="C420" s="16" t="s">
        <v>23</v>
      </c>
      <c r="D420" s="17" t="s">
        <v>14</v>
      </c>
      <c r="E420" s="18" t="s">
        <v>13</v>
      </c>
      <c r="F420" s="19">
        <v>63.32</v>
      </c>
      <c r="G420" s="17" t="s">
        <v>12</v>
      </c>
      <c r="H420" s="8" t="s">
        <v>12</v>
      </c>
    </row>
    <row r="421">
      <c r="A421" s="15">
        <v>44653.0</v>
      </c>
      <c r="B421" s="8" t="s">
        <v>32</v>
      </c>
      <c r="C421" s="16" t="s">
        <v>23</v>
      </c>
      <c r="D421" s="17" t="s">
        <v>14</v>
      </c>
      <c r="E421" s="18" t="s">
        <v>31</v>
      </c>
      <c r="F421" s="19">
        <v>94.97</v>
      </c>
      <c r="G421" s="17" t="s">
        <v>12</v>
      </c>
      <c r="H421" s="8" t="s">
        <v>12</v>
      </c>
    </row>
    <row r="422">
      <c r="A422" s="15">
        <v>44654.0</v>
      </c>
      <c r="B422" s="8" t="s">
        <v>32</v>
      </c>
      <c r="C422" s="16" t="s">
        <v>9</v>
      </c>
      <c r="D422" s="17" t="s">
        <v>10</v>
      </c>
      <c r="E422" s="18" t="s">
        <v>11</v>
      </c>
      <c r="F422" s="19">
        <v>60.49</v>
      </c>
      <c r="G422" s="17" t="s">
        <v>12</v>
      </c>
      <c r="H422" s="8" t="s">
        <v>12</v>
      </c>
    </row>
    <row r="423">
      <c r="A423" s="15">
        <v>44654.0</v>
      </c>
      <c r="B423" s="8" t="s">
        <v>32</v>
      </c>
      <c r="C423" s="16" t="s">
        <v>9</v>
      </c>
      <c r="D423" s="17" t="s">
        <v>10</v>
      </c>
      <c r="E423" s="18" t="s">
        <v>19</v>
      </c>
      <c r="F423" s="19">
        <v>90.81</v>
      </c>
      <c r="G423" s="17" t="s">
        <v>12</v>
      </c>
      <c r="H423" s="8" t="s">
        <v>12</v>
      </c>
    </row>
    <row r="424">
      <c r="A424" s="15">
        <v>44654.0</v>
      </c>
      <c r="B424" s="8" t="s">
        <v>32</v>
      </c>
      <c r="C424" s="16" t="s">
        <v>9</v>
      </c>
      <c r="D424" s="17" t="s">
        <v>10</v>
      </c>
      <c r="E424" s="18" t="s">
        <v>13</v>
      </c>
      <c r="F424" s="19">
        <v>100.9</v>
      </c>
      <c r="G424" s="17" t="s">
        <v>12</v>
      </c>
      <c r="H424" s="8" t="s">
        <v>12</v>
      </c>
    </row>
    <row r="425">
      <c r="A425" s="15">
        <v>44654.0</v>
      </c>
      <c r="B425" s="8" t="s">
        <v>32</v>
      </c>
      <c r="C425" s="16" t="s">
        <v>9</v>
      </c>
      <c r="D425" s="17" t="s">
        <v>10</v>
      </c>
      <c r="E425" s="18" t="s">
        <v>31</v>
      </c>
      <c r="F425" s="19">
        <v>100.9</v>
      </c>
      <c r="G425" s="17" t="s">
        <v>12</v>
      </c>
      <c r="H425" s="8" t="s">
        <v>12</v>
      </c>
    </row>
    <row r="426">
      <c r="A426" s="15">
        <v>44654.0</v>
      </c>
      <c r="B426" s="8" t="s">
        <v>32</v>
      </c>
      <c r="C426" s="16" t="s">
        <v>9</v>
      </c>
      <c r="D426" s="17" t="s">
        <v>14</v>
      </c>
      <c r="E426" s="18" t="s">
        <v>19</v>
      </c>
      <c r="F426" s="19">
        <v>38.27</v>
      </c>
      <c r="G426" s="17" t="s">
        <v>12</v>
      </c>
      <c r="H426" s="8" t="s">
        <v>12</v>
      </c>
    </row>
    <row r="427">
      <c r="A427" s="15">
        <v>44654.0</v>
      </c>
      <c r="B427" s="8" t="s">
        <v>32</v>
      </c>
      <c r="C427" s="16" t="s">
        <v>9</v>
      </c>
      <c r="D427" s="17" t="s">
        <v>14</v>
      </c>
      <c r="E427" s="18" t="s">
        <v>13</v>
      </c>
      <c r="F427" s="19">
        <v>25.51</v>
      </c>
      <c r="G427" s="17" t="s">
        <v>12</v>
      </c>
      <c r="H427" s="8" t="s">
        <v>12</v>
      </c>
    </row>
    <row r="428">
      <c r="A428" s="15">
        <v>44654.0</v>
      </c>
      <c r="B428" s="8" t="s">
        <v>32</v>
      </c>
      <c r="C428" s="16" t="s">
        <v>9</v>
      </c>
      <c r="D428" s="17" t="s">
        <v>14</v>
      </c>
      <c r="E428" s="18" t="s">
        <v>31</v>
      </c>
      <c r="F428" s="19">
        <v>38.27</v>
      </c>
      <c r="G428" s="17" t="s">
        <v>12</v>
      </c>
      <c r="H428" s="8" t="s">
        <v>12</v>
      </c>
    </row>
    <row r="429">
      <c r="A429" s="15">
        <v>44655.0</v>
      </c>
      <c r="B429" s="8" t="s">
        <v>32</v>
      </c>
      <c r="C429" s="16" t="s">
        <v>16</v>
      </c>
      <c r="D429" s="17" t="s">
        <v>10</v>
      </c>
      <c r="E429" s="18" t="s">
        <v>11</v>
      </c>
      <c r="F429" s="19">
        <v>111.84</v>
      </c>
      <c r="G429" s="17" t="s">
        <v>12</v>
      </c>
      <c r="H429" s="8" t="s">
        <v>12</v>
      </c>
    </row>
    <row r="430">
      <c r="A430" s="15">
        <v>44655.0</v>
      </c>
      <c r="B430" s="8" t="s">
        <v>32</v>
      </c>
      <c r="C430" s="16" t="s">
        <v>16</v>
      </c>
      <c r="D430" s="17" t="s">
        <v>14</v>
      </c>
      <c r="E430" s="18" t="s">
        <v>11</v>
      </c>
      <c r="F430" s="19">
        <v>9.69</v>
      </c>
      <c r="G430" s="17" t="s">
        <v>12</v>
      </c>
      <c r="H430" s="8" t="s">
        <v>12</v>
      </c>
    </row>
    <row r="431">
      <c r="A431" s="15">
        <v>44655.0</v>
      </c>
      <c r="B431" s="8" t="s">
        <v>32</v>
      </c>
      <c r="C431" s="16" t="s">
        <v>16</v>
      </c>
      <c r="D431" s="17" t="s">
        <v>14</v>
      </c>
      <c r="E431" s="18" t="s">
        <v>19</v>
      </c>
      <c r="F431" s="19">
        <v>67.85</v>
      </c>
      <c r="G431" s="17" t="s">
        <v>12</v>
      </c>
      <c r="H431" s="8" t="s">
        <v>12</v>
      </c>
    </row>
    <row r="432">
      <c r="A432" s="15">
        <v>44655.0</v>
      </c>
      <c r="B432" s="8" t="s">
        <v>32</v>
      </c>
      <c r="C432" s="16" t="s">
        <v>16</v>
      </c>
      <c r="D432" s="17" t="s">
        <v>14</v>
      </c>
      <c r="E432" s="18" t="s">
        <v>28</v>
      </c>
      <c r="F432" s="19">
        <v>67.86</v>
      </c>
      <c r="G432" s="17" t="s">
        <v>12</v>
      </c>
      <c r="H432" s="8" t="s">
        <v>12</v>
      </c>
    </row>
    <row r="433">
      <c r="A433" s="15">
        <v>44656.0</v>
      </c>
      <c r="B433" s="8" t="s">
        <v>32</v>
      </c>
      <c r="C433" s="16" t="s">
        <v>18</v>
      </c>
      <c r="D433" s="17" t="s">
        <v>10</v>
      </c>
      <c r="E433" s="18" t="s">
        <v>19</v>
      </c>
      <c r="F433" s="19">
        <v>103.61</v>
      </c>
      <c r="G433" s="17" t="s">
        <v>12</v>
      </c>
      <c r="H433" s="8" t="s">
        <v>12</v>
      </c>
    </row>
    <row r="434">
      <c r="A434" s="15">
        <v>44656.0</v>
      </c>
      <c r="B434" s="8" t="s">
        <v>32</v>
      </c>
      <c r="C434" s="16" t="s">
        <v>18</v>
      </c>
      <c r="D434" s="17" t="s">
        <v>14</v>
      </c>
      <c r="E434" s="18" t="s">
        <v>11</v>
      </c>
      <c r="F434" s="19">
        <v>59.99</v>
      </c>
      <c r="G434" s="17" t="s">
        <v>12</v>
      </c>
      <c r="H434" s="8" t="s">
        <v>12</v>
      </c>
    </row>
    <row r="435">
      <c r="A435" s="15">
        <v>44656.0</v>
      </c>
      <c r="B435" s="8" t="s">
        <v>32</v>
      </c>
      <c r="C435" s="16" t="s">
        <v>18</v>
      </c>
      <c r="D435" s="17" t="s">
        <v>14</v>
      </c>
      <c r="E435" s="18" t="s">
        <v>28</v>
      </c>
      <c r="F435" s="19">
        <v>59.98</v>
      </c>
      <c r="G435" s="17" t="s">
        <v>12</v>
      </c>
      <c r="H435" s="8" t="s">
        <v>12</v>
      </c>
    </row>
    <row r="436">
      <c r="A436" s="15">
        <v>44656.0</v>
      </c>
      <c r="B436" s="8" t="s">
        <v>32</v>
      </c>
      <c r="C436" s="16" t="s">
        <v>18</v>
      </c>
      <c r="D436" s="17" t="s">
        <v>14</v>
      </c>
      <c r="E436" s="18" t="s">
        <v>33</v>
      </c>
      <c r="F436" s="19">
        <v>0.0</v>
      </c>
      <c r="G436" s="20" t="s">
        <v>26</v>
      </c>
      <c r="H436" s="8" t="s">
        <v>12</v>
      </c>
    </row>
    <row r="437">
      <c r="A437" s="15">
        <v>44656.0</v>
      </c>
      <c r="B437" s="8" t="s">
        <v>32</v>
      </c>
      <c r="C437" s="16" t="s">
        <v>18</v>
      </c>
      <c r="D437" s="17" t="s">
        <v>14</v>
      </c>
      <c r="E437" s="18" t="s">
        <v>19</v>
      </c>
      <c r="F437" s="19">
        <v>20.0</v>
      </c>
      <c r="G437" s="17" t="s">
        <v>12</v>
      </c>
      <c r="H437" s="8" t="s">
        <v>12</v>
      </c>
    </row>
    <row r="438">
      <c r="A438" s="15">
        <v>44657.0</v>
      </c>
      <c r="B438" s="8" t="s">
        <v>32</v>
      </c>
      <c r="C438" s="16" t="s">
        <v>20</v>
      </c>
      <c r="D438" s="17" t="s">
        <v>10</v>
      </c>
      <c r="E438" s="18" t="s">
        <v>11</v>
      </c>
      <c r="F438" s="19">
        <v>82.42</v>
      </c>
      <c r="G438" s="17" t="s">
        <v>12</v>
      </c>
      <c r="H438" s="8" t="s">
        <v>12</v>
      </c>
    </row>
    <row r="439">
      <c r="A439" s="15">
        <v>44657.0</v>
      </c>
      <c r="B439" s="8" t="s">
        <v>32</v>
      </c>
      <c r="C439" s="16" t="s">
        <v>20</v>
      </c>
      <c r="D439" s="17" t="s">
        <v>14</v>
      </c>
      <c r="E439" s="18" t="s">
        <v>11</v>
      </c>
      <c r="F439" s="19">
        <v>92.91</v>
      </c>
      <c r="G439" s="17" t="s">
        <v>12</v>
      </c>
      <c r="H439" s="8" t="s">
        <v>12</v>
      </c>
    </row>
    <row r="440">
      <c r="A440" s="15">
        <v>44657.0</v>
      </c>
      <c r="B440" s="8" t="s">
        <v>32</v>
      </c>
      <c r="C440" s="16" t="s">
        <v>20</v>
      </c>
      <c r="D440" s="17" t="s">
        <v>14</v>
      </c>
      <c r="E440" s="18" t="s">
        <v>28</v>
      </c>
      <c r="F440" s="19">
        <v>61.94</v>
      </c>
      <c r="G440" s="17" t="s">
        <v>12</v>
      </c>
      <c r="H440" s="8" t="s">
        <v>12</v>
      </c>
    </row>
    <row r="441">
      <c r="A441" s="15">
        <v>44657.0</v>
      </c>
      <c r="B441" s="8" t="s">
        <v>32</v>
      </c>
      <c r="C441" s="16" t="s">
        <v>20</v>
      </c>
      <c r="D441" s="17" t="s">
        <v>14</v>
      </c>
      <c r="E441" s="18" t="s">
        <v>33</v>
      </c>
      <c r="F441" s="19">
        <v>0.0</v>
      </c>
      <c r="G441" s="20" t="s">
        <v>26</v>
      </c>
      <c r="H441" s="8" t="s">
        <v>12</v>
      </c>
    </row>
    <row r="442">
      <c r="A442" s="15">
        <v>44658.0</v>
      </c>
      <c r="B442" s="8" t="s">
        <v>32</v>
      </c>
      <c r="C442" s="16" t="s">
        <v>21</v>
      </c>
      <c r="D442" s="17" t="s">
        <v>10</v>
      </c>
      <c r="E442" s="18" t="s">
        <v>19</v>
      </c>
      <c r="F442" s="19">
        <v>94.05</v>
      </c>
      <c r="G442" s="17" t="s">
        <v>12</v>
      </c>
      <c r="H442" s="8" t="s">
        <v>12</v>
      </c>
    </row>
    <row r="443">
      <c r="A443" s="15">
        <v>44658.0</v>
      </c>
      <c r="B443" s="8" t="s">
        <v>32</v>
      </c>
      <c r="C443" s="16" t="s">
        <v>21</v>
      </c>
      <c r="D443" s="17" t="s">
        <v>14</v>
      </c>
      <c r="E443" s="18" t="s">
        <v>19</v>
      </c>
      <c r="F443" s="19">
        <v>129.02</v>
      </c>
      <c r="G443" s="17" t="s">
        <v>12</v>
      </c>
      <c r="H443" s="8" t="s">
        <v>12</v>
      </c>
    </row>
    <row r="444">
      <c r="A444" s="15">
        <v>44658.0</v>
      </c>
      <c r="B444" s="8" t="s">
        <v>32</v>
      </c>
      <c r="C444" s="16" t="s">
        <v>21</v>
      </c>
      <c r="D444" s="17" t="s">
        <v>14</v>
      </c>
      <c r="E444" s="18" t="s">
        <v>13</v>
      </c>
      <c r="F444" s="19">
        <v>129.02</v>
      </c>
      <c r="G444" s="17" t="s">
        <v>12</v>
      </c>
      <c r="H444" s="8" t="s">
        <v>12</v>
      </c>
    </row>
    <row r="445">
      <c r="A445" s="15">
        <v>44658.0</v>
      </c>
      <c r="B445" s="8" t="s">
        <v>32</v>
      </c>
      <c r="C445" s="16" t="s">
        <v>21</v>
      </c>
      <c r="D445" s="17" t="s">
        <v>14</v>
      </c>
      <c r="E445" s="18" t="s">
        <v>33</v>
      </c>
      <c r="F445" s="19">
        <v>0.0</v>
      </c>
      <c r="G445" s="20" t="s">
        <v>26</v>
      </c>
      <c r="H445" s="8" t="s">
        <v>12</v>
      </c>
    </row>
    <row r="446">
      <c r="A446" s="15">
        <v>44659.0</v>
      </c>
      <c r="B446" s="8" t="s">
        <v>32</v>
      </c>
      <c r="C446" s="16" t="s">
        <v>22</v>
      </c>
      <c r="D446" s="17" t="s">
        <v>10</v>
      </c>
      <c r="E446" s="18" t="s">
        <v>13</v>
      </c>
      <c r="F446" s="19">
        <v>71.7</v>
      </c>
      <c r="G446" s="17" t="s">
        <v>12</v>
      </c>
      <c r="H446" s="8" t="s">
        <v>12</v>
      </c>
    </row>
    <row r="447">
      <c r="A447" s="15">
        <v>44659.0</v>
      </c>
      <c r="B447" s="8" t="s">
        <v>32</v>
      </c>
      <c r="C447" s="16" t="s">
        <v>22</v>
      </c>
      <c r="D447" s="17" t="s">
        <v>10</v>
      </c>
      <c r="E447" s="18" t="s">
        <v>31</v>
      </c>
      <c r="F447" s="19">
        <v>44.61</v>
      </c>
      <c r="G447" s="17" t="s">
        <v>12</v>
      </c>
      <c r="H447" s="8" t="s">
        <v>12</v>
      </c>
    </row>
    <row r="448">
      <c r="A448" s="15">
        <v>44659.0</v>
      </c>
      <c r="B448" s="8" t="s">
        <v>32</v>
      </c>
      <c r="C448" s="16" t="s">
        <v>22</v>
      </c>
      <c r="D448" s="17" t="s">
        <v>14</v>
      </c>
      <c r="E448" s="18" t="s">
        <v>19</v>
      </c>
      <c r="F448" s="19">
        <v>64.21</v>
      </c>
      <c r="G448" s="17" t="s">
        <v>12</v>
      </c>
      <c r="H448" s="8" t="s">
        <v>12</v>
      </c>
    </row>
    <row r="449">
      <c r="A449" s="15">
        <v>44659.0</v>
      </c>
      <c r="B449" s="8" t="s">
        <v>32</v>
      </c>
      <c r="C449" s="16" t="s">
        <v>22</v>
      </c>
      <c r="D449" s="17" t="s">
        <v>14</v>
      </c>
      <c r="E449" s="18" t="s">
        <v>31</v>
      </c>
      <c r="F449" s="19">
        <v>64.21</v>
      </c>
      <c r="G449" s="17" t="s">
        <v>12</v>
      </c>
      <c r="H449" s="8" t="s">
        <v>12</v>
      </c>
    </row>
    <row r="450">
      <c r="A450" s="15">
        <v>44659.0</v>
      </c>
      <c r="B450" s="8" t="s">
        <v>32</v>
      </c>
      <c r="C450" s="16" t="s">
        <v>22</v>
      </c>
      <c r="D450" s="17" t="s">
        <v>14</v>
      </c>
      <c r="E450" s="18" t="s">
        <v>33</v>
      </c>
      <c r="F450" s="19">
        <v>64.21</v>
      </c>
      <c r="G450" s="17" t="s">
        <v>12</v>
      </c>
      <c r="H450" s="8" t="s">
        <v>12</v>
      </c>
    </row>
    <row r="451">
      <c r="A451" s="15">
        <v>44660.0</v>
      </c>
      <c r="B451" s="8" t="s">
        <v>32</v>
      </c>
      <c r="C451" s="16" t="s">
        <v>23</v>
      </c>
      <c r="D451" s="17" t="s">
        <v>10</v>
      </c>
      <c r="E451" s="18" t="s">
        <v>11</v>
      </c>
      <c r="F451" s="19">
        <v>88.35</v>
      </c>
      <c r="G451" s="17" t="s">
        <v>12</v>
      </c>
      <c r="H451" s="8" t="s">
        <v>12</v>
      </c>
    </row>
    <row r="452">
      <c r="A452" s="15">
        <v>44660.0</v>
      </c>
      <c r="B452" s="8" t="s">
        <v>32</v>
      </c>
      <c r="C452" s="16" t="s">
        <v>23</v>
      </c>
      <c r="D452" s="17" t="s">
        <v>10</v>
      </c>
      <c r="E452" s="18" t="s">
        <v>13</v>
      </c>
      <c r="F452" s="19">
        <v>121.49</v>
      </c>
      <c r="G452" s="17" t="s">
        <v>12</v>
      </c>
      <c r="H452" s="8" t="s">
        <v>12</v>
      </c>
    </row>
    <row r="453">
      <c r="A453" s="15">
        <v>44660.0</v>
      </c>
      <c r="B453" s="8" t="s">
        <v>32</v>
      </c>
      <c r="C453" s="16" t="s">
        <v>23</v>
      </c>
      <c r="D453" s="17" t="s">
        <v>10</v>
      </c>
      <c r="E453" s="18" t="s">
        <v>31</v>
      </c>
      <c r="F453" s="19">
        <v>110.44</v>
      </c>
      <c r="G453" s="17" t="s">
        <v>12</v>
      </c>
      <c r="H453" s="8" t="s">
        <v>12</v>
      </c>
    </row>
    <row r="454">
      <c r="A454" s="15">
        <v>44660.0</v>
      </c>
      <c r="B454" s="8" t="s">
        <v>32</v>
      </c>
      <c r="C454" s="16" t="s">
        <v>23</v>
      </c>
      <c r="D454" s="17" t="s">
        <v>14</v>
      </c>
      <c r="E454" s="18" t="s">
        <v>13</v>
      </c>
      <c r="F454" s="19">
        <v>38.93</v>
      </c>
      <c r="G454" s="17" t="s">
        <v>12</v>
      </c>
      <c r="H454" s="8" t="s">
        <v>12</v>
      </c>
    </row>
    <row r="455">
      <c r="A455" s="15">
        <v>44660.0</v>
      </c>
      <c r="B455" s="8" t="s">
        <v>32</v>
      </c>
      <c r="C455" s="16" t="s">
        <v>23</v>
      </c>
      <c r="D455" s="17" t="s">
        <v>14</v>
      </c>
      <c r="E455" s="18" t="s">
        <v>31</v>
      </c>
      <c r="F455" s="19">
        <v>58.41</v>
      </c>
      <c r="G455" s="17" t="s">
        <v>12</v>
      </c>
      <c r="H455" s="8" t="s">
        <v>12</v>
      </c>
    </row>
    <row r="456">
      <c r="A456" s="15">
        <v>44660.0</v>
      </c>
      <c r="B456" s="8" t="s">
        <v>32</v>
      </c>
      <c r="C456" s="16" t="s">
        <v>23</v>
      </c>
      <c r="D456" s="17" t="s">
        <v>14</v>
      </c>
      <c r="E456" s="18" t="s">
        <v>19</v>
      </c>
      <c r="F456" s="19">
        <v>58.41</v>
      </c>
      <c r="G456" s="17" t="s">
        <v>12</v>
      </c>
      <c r="H456" s="8" t="s">
        <v>12</v>
      </c>
    </row>
    <row r="457">
      <c r="A457" s="15">
        <v>44661.0</v>
      </c>
      <c r="B457" s="8" t="s">
        <v>32</v>
      </c>
      <c r="C457" s="16" t="s">
        <v>9</v>
      </c>
      <c r="D457" s="17" t="s">
        <v>10</v>
      </c>
      <c r="E457" s="18" t="s">
        <v>11</v>
      </c>
      <c r="F457" s="19">
        <v>0.0</v>
      </c>
      <c r="G457" s="17" t="s">
        <v>12</v>
      </c>
      <c r="H457" s="8" t="s">
        <v>12</v>
      </c>
    </row>
    <row r="458">
      <c r="A458" s="15">
        <v>44661.0</v>
      </c>
      <c r="B458" s="8" t="s">
        <v>32</v>
      </c>
      <c r="C458" s="16" t="s">
        <v>9</v>
      </c>
      <c r="D458" s="17" t="s">
        <v>10</v>
      </c>
      <c r="E458" s="18" t="s">
        <v>13</v>
      </c>
      <c r="F458" s="19">
        <v>67.01</v>
      </c>
      <c r="G458" s="17" t="s">
        <v>12</v>
      </c>
      <c r="H458" s="8" t="s">
        <v>12</v>
      </c>
    </row>
    <row r="459">
      <c r="A459" s="15">
        <v>44661.0</v>
      </c>
      <c r="B459" s="8" t="s">
        <v>32</v>
      </c>
      <c r="C459" s="16" t="s">
        <v>9</v>
      </c>
      <c r="D459" s="17" t="s">
        <v>10</v>
      </c>
      <c r="E459" s="18" t="s">
        <v>31</v>
      </c>
      <c r="F459" s="19">
        <v>98.75</v>
      </c>
      <c r="G459" s="17" t="s">
        <v>12</v>
      </c>
      <c r="H459" s="8" t="s">
        <v>12</v>
      </c>
    </row>
    <row r="460">
      <c r="A460" s="15">
        <v>44661.0</v>
      </c>
      <c r="B460" s="8" t="s">
        <v>32</v>
      </c>
      <c r="C460" s="16" t="s">
        <v>9</v>
      </c>
      <c r="D460" s="17" t="s">
        <v>10</v>
      </c>
      <c r="E460" s="18" t="s">
        <v>19</v>
      </c>
      <c r="F460" s="19">
        <v>63.48</v>
      </c>
      <c r="G460" s="17" t="s">
        <v>12</v>
      </c>
      <c r="H460" s="8" t="s">
        <v>12</v>
      </c>
    </row>
    <row r="461">
      <c r="A461" s="15">
        <v>44661.0</v>
      </c>
      <c r="B461" s="8" t="s">
        <v>32</v>
      </c>
      <c r="C461" s="16" t="s">
        <v>9</v>
      </c>
      <c r="D461" s="17" t="s">
        <v>14</v>
      </c>
      <c r="E461" s="18" t="s">
        <v>13</v>
      </c>
      <c r="F461" s="19">
        <v>55.47</v>
      </c>
      <c r="G461" s="17" t="s">
        <v>12</v>
      </c>
      <c r="H461" s="8" t="s">
        <v>12</v>
      </c>
    </row>
    <row r="462">
      <c r="A462" s="15">
        <v>44661.0</v>
      </c>
      <c r="B462" s="8" t="s">
        <v>32</v>
      </c>
      <c r="C462" s="16" t="s">
        <v>9</v>
      </c>
      <c r="D462" s="17" t="s">
        <v>14</v>
      </c>
      <c r="E462" s="18" t="s">
        <v>31</v>
      </c>
      <c r="F462" s="19">
        <v>49.32</v>
      </c>
      <c r="G462" s="17" t="s">
        <v>12</v>
      </c>
      <c r="H462" s="8" t="s">
        <v>12</v>
      </c>
    </row>
    <row r="463">
      <c r="A463" s="15">
        <v>44661.0</v>
      </c>
      <c r="B463" s="8" t="s">
        <v>32</v>
      </c>
      <c r="C463" s="16" t="s">
        <v>9</v>
      </c>
      <c r="D463" s="17" t="s">
        <v>14</v>
      </c>
      <c r="E463" s="18" t="s">
        <v>28</v>
      </c>
      <c r="F463" s="19">
        <v>55.49</v>
      </c>
      <c r="G463" s="17" t="s">
        <v>12</v>
      </c>
      <c r="H463" s="8" t="s">
        <v>12</v>
      </c>
    </row>
    <row r="464">
      <c r="A464" s="15">
        <v>44662.0</v>
      </c>
      <c r="B464" s="8" t="s">
        <v>32</v>
      </c>
      <c r="C464" s="16" t="s">
        <v>16</v>
      </c>
      <c r="D464" s="17" t="s">
        <v>10</v>
      </c>
      <c r="E464" s="18" t="s">
        <v>11</v>
      </c>
      <c r="F464" s="19">
        <v>61.41</v>
      </c>
      <c r="G464" s="17" t="s">
        <v>12</v>
      </c>
      <c r="H464" s="8" t="s">
        <v>12</v>
      </c>
    </row>
    <row r="465">
      <c r="A465" s="15">
        <v>44662.0</v>
      </c>
      <c r="B465" s="8" t="s">
        <v>32</v>
      </c>
      <c r="C465" s="16" t="s">
        <v>16</v>
      </c>
      <c r="D465" s="17" t="s">
        <v>14</v>
      </c>
      <c r="E465" s="18" t="s">
        <v>11</v>
      </c>
      <c r="F465" s="19">
        <v>61.83</v>
      </c>
      <c r="G465" s="17" t="s">
        <v>12</v>
      </c>
      <c r="H465" s="8" t="s">
        <v>12</v>
      </c>
    </row>
    <row r="466">
      <c r="A466" s="15">
        <v>44662.0</v>
      </c>
      <c r="B466" s="8" t="s">
        <v>32</v>
      </c>
      <c r="C466" s="16" t="s">
        <v>16</v>
      </c>
      <c r="D466" s="17" t="s">
        <v>14</v>
      </c>
      <c r="E466" s="18" t="s">
        <v>33</v>
      </c>
      <c r="F466" s="19">
        <v>58.39</v>
      </c>
      <c r="G466" s="17" t="s">
        <v>12</v>
      </c>
      <c r="H466" s="8" t="s">
        <v>12</v>
      </c>
    </row>
    <row r="467">
      <c r="A467" s="15">
        <v>44662.0</v>
      </c>
      <c r="B467" s="8" t="s">
        <v>32</v>
      </c>
      <c r="C467" s="16" t="s">
        <v>16</v>
      </c>
      <c r="D467" s="17" t="s">
        <v>14</v>
      </c>
      <c r="E467" s="18" t="s">
        <v>34</v>
      </c>
      <c r="F467" s="19">
        <v>0.0</v>
      </c>
      <c r="G467" s="20" t="s">
        <v>26</v>
      </c>
      <c r="H467" s="8" t="s">
        <v>12</v>
      </c>
    </row>
    <row r="468">
      <c r="A468" s="15">
        <v>44663.0</v>
      </c>
      <c r="B468" s="8" t="s">
        <v>32</v>
      </c>
      <c r="C468" s="16" t="s">
        <v>18</v>
      </c>
      <c r="D468" s="17" t="s">
        <v>10</v>
      </c>
      <c r="E468" s="18" t="s">
        <v>11</v>
      </c>
      <c r="F468" s="19">
        <v>80.2</v>
      </c>
      <c r="G468" s="17" t="s">
        <v>12</v>
      </c>
      <c r="H468" s="8" t="s">
        <v>12</v>
      </c>
    </row>
    <row r="469">
      <c r="A469" s="15">
        <v>44663.0</v>
      </c>
      <c r="B469" s="8" t="s">
        <v>32</v>
      </c>
      <c r="C469" s="16" t="s">
        <v>18</v>
      </c>
      <c r="D469" s="17" t="s">
        <v>14</v>
      </c>
      <c r="E469" s="18" t="s">
        <v>19</v>
      </c>
      <c r="F469" s="19">
        <v>86.65</v>
      </c>
      <c r="G469" s="17" t="s">
        <v>12</v>
      </c>
      <c r="H469" s="8" t="s">
        <v>12</v>
      </c>
    </row>
    <row r="470">
      <c r="A470" s="15">
        <v>44663.0</v>
      </c>
      <c r="B470" s="8" t="s">
        <v>32</v>
      </c>
      <c r="C470" s="16" t="s">
        <v>18</v>
      </c>
      <c r="D470" s="17" t="s">
        <v>14</v>
      </c>
      <c r="E470" s="18" t="s">
        <v>34</v>
      </c>
      <c r="F470" s="19">
        <v>0.0</v>
      </c>
      <c r="G470" s="20" t="s">
        <v>26</v>
      </c>
      <c r="H470" s="8" t="s">
        <v>12</v>
      </c>
    </row>
    <row r="471">
      <c r="A471" s="15">
        <v>44663.0</v>
      </c>
      <c r="B471" s="8" t="s">
        <v>32</v>
      </c>
      <c r="C471" s="16" t="s">
        <v>18</v>
      </c>
      <c r="D471" s="17" t="s">
        <v>14</v>
      </c>
      <c r="E471" s="18" t="s">
        <v>28</v>
      </c>
      <c r="F471" s="19">
        <v>67.4</v>
      </c>
      <c r="G471" s="17" t="s">
        <v>12</v>
      </c>
      <c r="H471" s="8" t="s">
        <v>12</v>
      </c>
    </row>
    <row r="472">
      <c r="A472" s="15">
        <v>44664.0</v>
      </c>
      <c r="B472" s="8" t="s">
        <v>32</v>
      </c>
      <c r="C472" s="16" t="s">
        <v>20</v>
      </c>
      <c r="D472" s="17" t="s">
        <v>10</v>
      </c>
      <c r="E472" s="18" t="s">
        <v>19</v>
      </c>
      <c r="F472" s="19">
        <v>82.62</v>
      </c>
      <c r="G472" s="17" t="s">
        <v>12</v>
      </c>
      <c r="H472" s="8" t="s">
        <v>12</v>
      </c>
    </row>
    <row r="473">
      <c r="A473" s="15">
        <v>44664.0</v>
      </c>
      <c r="B473" s="8" t="s">
        <v>32</v>
      </c>
      <c r="C473" s="16" t="s">
        <v>20</v>
      </c>
      <c r="D473" s="17" t="s">
        <v>14</v>
      </c>
      <c r="E473" s="18" t="s">
        <v>19</v>
      </c>
      <c r="F473" s="19">
        <v>103.01</v>
      </c>
      <c r="G473" s="17" t="s">
        <v>12</v>
      </c>
      <c r="H473" s="8" t="s">
        <v>12</v>
      </c>
    </row>
    <row r="474">
      <c r="A474" s="15">
        <v>44664.0</v>
      </c>
      <c r="B474" s="8" t="s">
        <v>32</v>
      </c>
      <c r="C474" s="16" t="s">
        <v>20</v>
      </c>
      <c r="D474" s="17" t="s">
        <v>14</v>
      </c>
      <c r="E474" s="18" t="s">
        <v>34</v>
      </c>
      <c r="F474" s="19">
        <v>0.0</v>
      </c>
      <c r="G474" s="20" t="s">
        <v>26</v>
      </c>
      <c r="H474" s="8" t="s">
        <v>12</v>
      </c>
    </row>
    <row r="475">
      <c r="A475" s="15">
        <v>44664.0</v>
      </c>
      <c r="B475" s="8" t="s">
        <v>32</v>
      </c>
      <c r="C475" s="16" t="s">
        <v>20</v>
      </c>
      <c r="D475" s="17" t="s">
        <v>14</v>
      </c>
      <c r="E475" s="18" t="s">
        <v>28</v>
      </c>
      <c r="F475" s="19">
        <v>56.99</v>
      </c>
      <c r="G475" s="17" t="s">
        <v>12</v>
      </c>
      <c r="H475" s="8" t="s">
        <v>12</v>
      </c>
    </row>
    <row r="476">
      <c r="A476" s="15">
        <v>44665.0</v>
      </c>
      <c r="B476" s="8" t="s">
        <v>32</v>
      </c>
      <c r="C476" s="16" t="s">
        <v>21</v>
      </c>
      <c r="D476" s="17" t="s">
        <v>10</v>
      </c>
      <c r="E476" s="18" t="s">
        <v>19</v>
      </c>
      <c r="F476" s="19">
        <v>69.61</v>
      </c>
      <c r="G476" s="17" t="s">
        <v>12</v>
      </c>
      <c r="H476" s="8" t="s">
        <v>12</v>
      </c>
    </row>
    <row r="477">
      <c r="A477" s="15">
        <v>44665.0</v>
      </c>
      <c r="B477" s="8" t="s">
        <v>32</v>
      </c>
      <c r="C477" s="16" t="s">
        <v>21</v>
      </c>
      <c r="D477" s="17" t="s">
        <v>14</v>
      </c>
      <c r="E477" s="18" t="s">
        <v>13</v>
      </c>
      <c r="F477" s="19">
        <v>83.84</v>
      </c>
      <c r="G477" s="17" t="s">
        <v>12</v>
      </c>
      <c r="H477" s="8" t="s">
        <v>12</v>
      </c>
    </row>
    <row r="478">
      <c r="A478" s="15">
        <v>44665.0</v>
      </c>
      <c r="B478" s="8" t="s">
        <v>32</v>
      </c>
      <c r="C478" s="16" t="s">
        <v>21</v>
      </c>
      <c r="D478" s="17" t="s">
        <v>14</v>
      </c>
      <c r="E478" s="18" t="s">
        <v>34</v>
      </c>
      <c r="F478" s="19">
        <v>0.0</v>
      </c>
      <c r="G478" s="20" t="s">
        <v>26</v>
      </c>
      <c r="H478" s="8" t="s">
        <v>12</v>
      </c>
    </row>
    <row r="479">
      <c r="A479" s="15">
        <v>44665.0</v>
      </c>
      <c r="B479" s="8" t="s">
        <v>32</v>
      </c>
      <c r="C479" s="16" t="s">
        <v>21</v>
      </c>
      <c r="D479" s="17" t="s">
        <v>14</v>
      </c>
      <c r="E479" s="18" t="s">
        <v>28</v>
      </c>
      <c r="F479" s="19">
        <v>55.92</v>
      </c>
      <c r="G479" s="17" t="s">
        <v>12</v>
      </c>
      <c r="H479" s="8" t="s">
        <v>12</v>
      </c>
    </row>
    <row r="480">
      <c r="A480" s="15">
        <v>44666.0</v>
      </c>
      <c r="B480" s="8" t="s">
        <v>32</v>
      </c>
      <c r="C480" s="16" t="s">
        <v>22</v>
      </c>
      <c r="D480" s="17" t="s">
        <v>10</v>
      </c>
      <c r="E480" s="18" t="s">
        <v>13</v>
      </c>
      <c r="F480" s="19">
        <v>60.17</v>
      </c>
      <c r="G480" s="17" t="s">
        <v>12</v>
      </c>
      <c r="H480" s="8" t="s">
        <v>12</v>
      </c>
    </row>
    <row r="481">
      <c r="A481" s="15">
        <v>44666.0</v>
      </c>
      <c r="B481" s="8" t="s">
        <v>32</v>
      </c>
      <c r="C481" s="16" t="s">
        <v>22</v>
      </c>
      <c r="D481" s="17" t="s">
        <v>10</v>
      </c>
      <c r="E481" s="18" t="s">
        <v>31</v>
      </c>
      <c r="F481" s="19">
        <v>60.17</v>
      </c>
      <c r="G481" s="17" t="s">
        <v>12</v>
      </c>
      <c r="H481" s="8" t="s">
        <v>12</v>
      </c>
    </row>
    <row r="482">
      <c r="A482" s="15">
        <v>44666.0</v>
      </c>
      <c r="B482" s="8" t="s">
        <v>32</v>
      </c>
      <c r="C482" s="16" t="s">
        <v>22</v>
      </c>
      <c r="D482" s="17" t="s">
        <v>14</v>
      </c>
      <c r="E482" s="18" t="s">
        <v>13</v>
      </c>
      <c r="F482" s="19">
        <v>42.53</v>
      </c>
      <c r="G482" s="17" t="s">
        <v>12</v>
      </c>
      <c r="H482" s="8" t="s">
        <v>12</v>
      </c>
    </row>
    <row r="483">
      <c r="A483" s="15">
        <v>44666.0</v>
      </c>
      <c r="B483" s="8" t="s">
        <v>32</v>
      </c>
      <c r="C483" s="16" t="s">
        <v>22</v>
      </c>
      <c r="D483" s="17" t="s">
        <v>14</v>
      </c>
      <c r="E483" s="18" t="s">
        <v>31</v>
      </c>
      <c r="F483" s="19">
        <v>42.53</v>
      </c>
      <c r="G483" s="17" t="s">
        <v>12</v>
      </c>
      <c r="H483" s="8" t="s">
        <v>12</v>
      </c>
    </row>
    <row r="484">
      <c r="A484" s="15">
        <v>44666.0</v>
      </c>
      <c r="B484" s="8" t="s">
        <v>32</v>
      </c>
      <c r="C484" s="16" t="s">
        <v>22</v>
      </c>
      <c r="D484" s="17" t="s">
        <v>14</v>
      </c>
      <c r="E484" s="18" t="s">
        <v>33</v>
      </c>
      <c r="F484" s="19">
        <v>42.53</v>
      </c>
      <c r="G484" s="17" t="s">
        <v>12</v>
      </c>
      <c r="H484" s="8" t="s">
        <v>12</v>
      </c>
    </row>
    <row r="485">
      <c r="A485" s="15">
        <v>44667.0</v>
      </c>
      <c r="B485" s="8" t="s">
        <v>32</v>
      </c>
      <c r="C485" s="16" t="s">
        <v>23</v>
      </c>
      <c r="D485" s="17" t="s">
        <v>10</v>
      </c>
      <c r="E485" s="18" t="s">
        <v>11</v>
      </c>
      <c r="F485" s="19">
        <v>94.83</v>
      </c>
      <c r="G485" s="17" t="s">
        <v>12</v>
      </c>
      <c r="H485" s="8" t="s">
        <v>12</v>
      </c>
    </row>
    <row r="486">
      <c r="A486" s="15">
        <v>44667.0</v>
      </c>
      <c r="B486" s="8" t="s">
        <v>32</v>
      </c>
      <c r="C486" s="16" t="s">
        <v>23</v>
      </c>
      <c r="D486" s="17" t="s">
        <v>10</v>
      </c>
      <c r="E486" s="18" t="s">
        <v>13</v>
      </c>
      <c r="F486" s="19">
        <v>104.9</v>
      </c>
      <c r="G486" s="17" t="s">
        <v>12</v>
      </c>
      <c r="H486" s="8" t="s">
        <v>12</v>
      </c>
    </row>
    <row r="487">
      <c r="A487" s="15">
        <v>44667.0</v>
      </c>
      <c r="B487" s="8" t="s">
        <v>32</v>
      </c>
      <c r="C487" s="16" t="s">
        <v>23</v>
      </c>
      <c r="D487" s="17" t="s">
        <v>10</v>
      </c>
      <c r="E487" s="18" t="s">
        <v>31</v>
      </c>
      <c r="F487" s="19">
        <v>99.9</v>
      </c>
      <c r="G487" s="17" t="s">
        <v>12</v>
      </c>
      <c r="H487" s="8" t="s">
        <v>12</v>
      </c>
    </row>
    <row r="488">
      <c r="A488" s="15">
        <v>44667.0</v>
      </c>
      <c r="B488" s="8" t="s">
        <v>32</v>
      </c>
      <c r="C488" s="16" t="s">
        <v>23</v>
      </c>
      <c r="D488" s="17" t="s">
        <v>14</v>
      </c>
      <c r="E488" s="18" t="s">
        <v>13</v>
      </c>
      <c r="F488" s="19">
        <v>36.49</v>
      </c>
      <c r="G488" s="17" t="s">
        <v>12</v>
      </c>
      <c r="H488" s="8" t="s">
        <v>12</v>
      </c>
    </row>
    <row r="489">
      <c r="A489" s="15">
        <v>44667.0</v>
      </c>
      <c r="B489" s="8" t="s">
        <v>32</v>
      </c>
      <c r="C489" s="16" t="s">
        <v>23</v>
      </c>
      <c r="D489" s="17" t="s">
        <v>14</v>
      </c>
      <c r="E489" s="18" t="s">
        <v>31</v>
      </c>
      <c r="F489" s="19">
        <v>46.92</v>
      </c>
      <c r="G489" s="17" t="s">
        <v>12</v>
      </c>
      <c r="H489" s="8" t="s">
        <v>12</v>
      </c>
    </row>
    <row r="490">
      <c r="A490" s="15">
        <v>44667.0</v>
      </c>
      <c r="B490" s="8" t="s">
        <v>32</v>
      </c>
      <c r="C490" s="16" t="s">
        <v>23</v>
      </c>
      <c r="D490" s="17" t="s">
        <v>14</v>
      </c>
      <c r="E490" s="18" t="s">
        <v>19</v>
      </c>
      <c r="F490" s="19">
        <v>41.71</v>
      </c>
      <c r="G490" s="17" t="s">
        <v>12</v>
      </c>
      <c r="H490" s="8" t="s">
        <v>12</v>
      </c>
    </row>
    <row r="491">
      <c r="A491" s="15">
        <v>44668.0</v>
      </c>
      <c r="B491" s="8" t="s">
        <v>32</v>
      </c>
      <c r="C491" s="16" t="s">
        <v>9</v>
      </c>
      <c r="D491" s="17" t="s">
        <v>10</v>
      </c>
      <c r="E491" s="18" t="s">
        <v>11</v>
      </c>
      <c r="F491" s="19">
        <v>48.68</v>
      </c>
      <c r="G491" s="17" t="s">
        <v>12</v>
      </c>
      <c r="H491" s="8" t="s">
        <v>12</v>
      </c>
    </row>
    <row r="492">
      <c r="A492" s="15">
        <v>44668.0</v>
      </c>
      <c r="B492" s="8" t="s">
        <v>32</v>
      </c>
      <c r="C492" s="16" t="s">
        <v>9</v>
      </c>
      <c r="D492" s="17" t="s">
        <v>10</v>
      </c>
      <c r="E492" s="18" t="s">
        <v>13</v>
      </c>
      <c r="F492" s="19">
        <v>48.69</v>
      </c>
      <c r="G492" s="17" t="s">
        <v>12</v>
      </c>
      <c r="H492" s="8" t="s">
        <v>12</v>
      </c>
    </row>
    <row r="493">
      <c r="A493" s="15">
        <v>44668.0</v>
      </c>
      <c r="B493" s="8" t="s">
        <v>32</v>
      </c>
      <c r="C493" s="16" t="s">
        <v>9</v>
      </c>
      <c r="D493" s="17" t="s">
        <v>10</v>
      </c>
      <c r="E493" s="18" t="s">
        <v>31</v>
      </c>
      <c r="F493" s="19">
        <v>88.51</v>
      </c>
      <c r="G493" s="17" t="s">
        <v>12</v>
      </c>
      <c r="H493" s="8" t="s">
        <v>12</v>
      </c>
    </row>
    <row r="494">
      <c r="A494" s="15">
        <v>44668.0</v>
      </c>
      <c r="B494" s="8" t="s">
        <v>32</v>
      </c>
      <c r="C494" s="16" t="s">
        <v>9</v>
      </c>
      <c r="D494" s="17" t="s">
        <v>10</v>
      </c>
      <c r="E494" s="18" t="s">
        <v>19</v>
      </c>
      <c r="F494" s="19">
        <v>79.66</v>
      </c>
      <c r="G494" s="17" t="s">
        <v>12</v>
      </c>
      <c r="H494" s="8" t="s">
        <v>12</v>
      </c>
    </row>
    <row r="495">
      <c r="A495" s="15">
        <v>44668.0</v>
      </c>
      <c r="B495" s="8" t="s">
        <v>32</v>
      </c>
      <c r="C495" s="16" t="s">
        <v>9</v>
      </c>
      <c r="D495" s="17" t="s">
        <v>14</v>
      </c>
      <c r="E495" s="18" t="s">
        <v>13</v>
      </c>
      <c r="F495" s="19">
        <v>63.86</v>
      </c>
      <c r="G495" s="17" t="s">
        <v>12</v>
      </c>
      <c r="H495" s="8" t="s">
        <v>12</v>
      </c>
    </row>
    <row r="496">
      <c r="A496" s="15">
        <v>44668.0</v>
      </c>
      <c r="B496" s="8" t="s">
        <v>32</v>
      </c>
      <c r="C496" s="16" t="s">
        <v>9</v>
      </c>
      <c r="D496" s="17" t="s">
        <v>14</v>
      </c>
      <c r="E496" s="18" t="s">
        <v>31</v>
      </c>
      <c r="F496" s="19">
        <v>42.59</v>
      </c>
      <c r="G496" s="17" t="s">
        <v>12</v>
      </c>
      <c r="H496" s="8" t="s">
        <v>12</v>
      </c>
    </row>
    <row r="497">
      <c r="A497" s="15">
        <v>44668.0</v>
      </c>
      <c r="B497" s="8" t="s">
        <v>32</v>
      </c>
      <c r="C497" s="16" t="s">
        <v>9</v>
      </c>
      <c r="D497" s="17" t="s">
        <v>14</v>
      </c>
      <c r="E497" s="18" t="s">
        <v>28</v>
      </c>
      <c r="F497" s="19">
        <v>63.86</v>
      </c>
      <c r="G497" s="17" t="s">
        <v>12</v>
      </c>
      <c r="H497" s="8" t="s">
        <v>12</v>
      </c>
    </row>
    <row r="498">
      <c r="A498" s="15">
        <v>44669.0</v>
      </c>
      <c r="B498" s="8" t="s">
        <v>32</v>
      </c>
      <c r="C498" s="16" t="s">
        <v>16</v>
      </c>
      <c r="D498" s="17" t="s">
        <v>10</v>
      </c>
      <c r="E498" s="18" t="s">
        <v>11</v>
      </c>
      <c r="F498" s="19">
        <v>39.68</v>
      </c>
      <c r="G498" s="17" t="s">
        <v>12</v>
      </c>
      <c r="H498" s="8" t="s">
        <v>12</v>
      </c>
    </row>
    <row r="499">
      <c r="A499" s="15">
        <v>44669.0</v>
      </c>
      <c r="B499" s="8" t="s">
        <v>32</v>
      </c>
      <c r="C499" s="16" t="s">
        <v>16</v>
      </c>
      <c r="D499" s="17" t="s">
        <v>14</v>
      </c>
      <c r="E499" s="18" t="s">
        <v>19</v>
      </c>
      <c r="F499" s="19">
        <v>60.92</v>
      </c>
      <c r="G499" s="17" t="s">
        <v>12</v>
      </c>
      <c r="H499" s="8" t="s">
        <v>12</v>
      </c>
    </row>
    <row r="500">
      <c r="A500" s="15">
        <v>44669.0</v>
      </c>
      <c r="B500" s="8" t="s">
        <v>32</v>
      </c>
      <c r="C500" s="16" t="s">
        <v>16</v>
      </c>
      <c r="D500" s="17" t="s">
        <v>14</v>
      </c>
      <c r="E500" s="18" t="s">
        <v>34</v>
      </c>
      <c r="F500" s="19">
        <v>60.92</v>
      </c>
      <c r="G500" s="17" t="s">
        <v>12</v>
      </c>
      <c r="H500" s="8" t="s">
        <v>12</v>
      </c>
    </row>
    <row r="501">
      <c r="A501" s="15">
        <v>44669.0</v>
      </c>
      <c r="B501" s="8" t="s">
        <v>32</v>
      </c>
      <c r="C501" s="16" t="s">
        <v>16</v>
      </c>
      <c r="D501" s="17" t="s">
        <v>14</v>
      </c>
      <c r="E501" s="18" t="s">
        <v>33</v>
      </c>
      <c r="F501" s="19">
        <v>40.61</v>
      </c>
      <c r="G501" s="17" t="s">
        <v>12</v>
      </c>
      <c r="H501" s="8" t="s">
        <v>12</v>
      </c>
    </row>
    <row r="502">
      <c r="A502" s="15">
        <v>44670.0</v>
      </c>
      <c r="B502" s="8" t="s">
        <v>32</v>
      </c>
      <c r="C502" s="16" t="s">
        <v>18</v>
      </c>
      <c r="D502" s="17" t="s">
        <v>10</v>
      </c>
      <c r="E502" s="18" t="s">
        <v>19</v>
      </c>
      <c r="F502" s="19">
        <v>84.74</v>
      </c>
      <c r="G502" s="17" t="s">
        <v>12</v>
      </c>
      <c r="H502" s="8" t="s">
        <v>12</v>
      </c>
    </row>
    <row r="503">
      <c r="A503" s="15">
        <v>44670.0</v>
      </c>
      <c r="B503" s="8" t="s">
        <v>32</v>
      </c>
      <c r="C503" s="16" t="s">
        <v>18</v>
      </c>
      <c r="D503" s="17" t="s">
        <v>14</v>
      </c>
      <c r="E503" s="18" t="s">
        <v>19</v>
      </c>
      <c r="F503" s="19">
        <v>78.43</v>
      </c>
      <c r="G503" s="17" t="s">
        <v>12</v>
      </c>
      <c r="H503" s="8" t="s">
        <v>12</v>
      </c>
    </row>
    <row r="504">
      <c r="A504" s="15">
        <v>44670.0</v>
      </c>
      <c r="B504" s="8" t="s">
        <v>32</v>
      </c>
      <c r="C504" s="16" t="s">
        <v>18</v>
      </c>
      <c r="D504" s="17" t="s">
        <v>14</v>
      </c>
      <c r="E504" s="18" t="s">
        <v>28</v>
      </c>
      <c r="F504" s="19">
        <v>61.0</v>
      </c>
      <c r="G504" s="17" t="s">
        <v>12</v>
      </c>
      <c r="H504" s="8" t="s">
        <v>12</v>
      </c>
    </row>
    <row r="505">
      <c r="A505" s="15">
        <v>44670.0</v>
      </c>
      <c r="B505" s="8" t="s">
        <v>32</v>
      </c>
      <c r="C505" s="16" t="s">
        <v>18</v>
      </c>
      <c r="D505" s="17" t="s">
        <v>14</v>
      </c>
      <c r="E505" s="18" t="s">
        <v>31</v>
      </c>
      <c r="F505" s="19">
        <v>8.71</v>
      </c>
      <c r="G505" s="17" t="s">
        <v>12</v>
      </c>
      <c r="H505" s="8" t="s">
        <v>12</v>
      </c>
    </row>
    <row r="506">
      <c r="A506" s="15">
        <v>44671.0</v>
      </c>
      <c r="B506" s="8" t="s">
        <v>32</v>
      </c>
      <c r="C506" s="16" t="s">
        <v>20</v>
      </c>
      <c r="D506" s="17" t="s">
        <v>10</v>
      </c>
      <c r="E506" s="18" t="s">
        <v>11</v>
      </c>
      <c r="F506" s="19">
        <v>40.31</v>
      </c>
      <c r="G506" s="17" t="s">
        <v>12</v>
      </c>
      <c r="H506" s="8" t="s">
        <v>12</v>
      </c>
    </row>
    <row r="507">
      <c r="A507" s="15">
        <v>44671.0</v>
      </c>
      <c r="B507" s="8" t="s">
        <v>32</v>
      </c>
      <c r="C507" s="16" t="s">
        <v>20</v>
      </c>
      <c r="D507" s="17" t="s">
        <v>14</v>
      </c>
      <c r="E507" s="18" t="s">
        <v>33</v>
      </c>
      <c r="F507" s="19">
        <v>71.23</v>
      </c>
      <c r="G507" s="17" t="s">
        <v>12</v>
      </c>
      <c r="H507" s="8" t="s">
        <v>12</v>
      </c>
    </row>
    <row r="508">
      <c r="A508" s="15">
        <v>44671.0</v>
      </c>
      <c r="B508" s="8" t="s">
        <v>32</v>
      </c>
      <c r="C508" s="16" t="s">
        <v>20</v>
      </c>
      <c r="D508" s="17" t="s">
        <v>14</v>
      </c>
      <c r="E508" s="18" t="s">
        <v>28</v>
      </c>
      <c r="F508" s="19">
        <v>58.66</v>
      </c>
      <c r="G508" s="17" t="s">
        <v>12</v>
      </c>
      <c r="H508" s="8" t="s">
        <v>12</v>
      </c>
    </row>
    <row r="509">
      <c r="A509" s="15">
        <v>44671.0</v>
      </c>
      <c r="B509" s="8" t="s">
        <v>32</v>
      </c>
      <c r="C509" s="16" t="s">
        <v>20</v>
      </c>
      <c r="D509" s="17" t="s">
        <v>14</v>
      </c>
      <c r="E509" s="18" t="s">
        <v>11</v>
      </c>
      <c r="F509" s="19">
        <v>54.47</v>
      </c>
      <c r="G509" s="17" t="s">
        <v>12</v>
      </c>
      <c r="H509" s="8" t="s">
        <v>12</v>
      </c>
    </row>
    <row r="510">
      <c r="A510" s="15">
        <v>44672.0</v>
      </c>
      <c r="B510" s="8" t="s">
        <v>32</v>
      </c>
      <c r="C510" s="16" t="s">
        <v>21</v>
      </c>
      <c r="D510" s="17" t="s">
        <v>10</v>
      </c>
      <c r="E510" s="18" t="s">
        <v>19</v>
      </c>
      <c r="F510" s="19">
        <v>90.84</v>
      </c>
      <c r="G510" s="17" t="s">
        <v>12</v>
      </c>
      <c r="H510" s="8" t="s">
        <v>12</v>
      </c>
    </row>
    <row r="511">
      <c r="A511" s="15">
        <v>44672.0</v>
      </c>
      <c r="B511" s="8" t="s">
        <v>32</v>
      </c>
      <c r="C511" s="16" t="s">
        <v>21</v>
      </c>
      <c r="D511" s="17" t="s">
        <v>14</v>
      </c>
      <c r="E511" s="18" t="s">
        <v>13</v>
      </c>
      <c r="F511" s="19">
        <v>42.53</v>
      </c>
      <c r="G511" s="17" t="s">
        <v>12</v>
      </c>
      <c r="H511" s="8" t="s">
        <v>12</v>
      </c>
    </row>
    <row r="512">
      <c r="A512" s="15">
        <v>44672.0</v>
      </c>
      <c r="B512" s="8" t="s">
        <v>32</v>
      </c>
      <c r="C512" s="16" t="s">
        <v>21</v>
      </c>
      <c r="D512" s="17" t="s">
        <v>14</v>
      </c>
      <c r="E512" s="18" t="s">
        <v>34</v>
      </c>
      <c r="F512" s="19">
        <v>42.53</v>
      </c>
      <c r="G512" s="17" t="s">
        <v>12</v>
      </c>
      <c r="H512" s="8" t="s">
        <v>12</v>
      </c>
    </row>
    <row r="513">
      <c r="A513" s="15">
        <v>44672.0</v>
      </c>
      <c r="B513" s="8" t="s">
        <v>32</v>
      </c>
      <c r="C513" s="16" t="s">
        <v>21</v>
      </c>
      <c r="D513" s="17" t="s">
        <v>14</v>
      </c>
      <c r="E513" s="18" t="s">
        <v>28</v>
      </c>
      <c r="F513" s="19">
        <v>33.02</v>
      </c>
      <c r="G513" s="17" t="s">
        <v>12</v>
      </c>
      <c r="H513" s="8" t="s">
        <v>12</v>
      </c>
    </row>
    <row r="514">
      <c r="A514" s="15">
        <v>44673.0</v>
      </c>
      <c r="B514" s="8" t="s">
        <v>32</v>
      </c>
      <c r="C514" s="16" t="s">
        <v>22</v>
      </c>
      <c r="D514" s="17" t="s">
        <v>10</v>
      </c>
      <c r="E514" s="18" t="s">
        <v>19</v>
      </c>
      <c r="F514" s="19">
        <v>82.08</v>
      </c>
      <c r="G514" s="17" t="s">
        <v>12</v>
      </c>
      <c r="H514" s="8" t="s">
        <v>12</v>
      </c>
    </row>
    <row r="515">
      <c r="A515" s="15">
        <v>44673.0</v>
      </c>
      <c r="B515" s="8" t="s">
        <v>32</v>
      </c>
      <c r="C515" s="16" t="s">
        <v>22</v>
      </c>
      <c r="D515" s="17" t="s">
        <v>10</v>
      </c>
      <c r="E515" s="18" t="s">
        <v>31</v>
      </c>
      <c r="F515" s="19">
        <v>82.09</v>
      </c>
      <c r="G515" s="17" t="s">
        <v>12</v>
      </c>
      <c r="H515" s="8" t="s">
        <v>12</v>
      </c>
    </row>
    <row r="516">
      <c r="A516" s="15">
        <v>44673.0</v>
      </c>
      <c r="B516" s="8" t="s">
        <v>32</v>
      </c>
      <c r="C516" s="16" t="s">
        <v>22</v>
      </c>
      <c r="D516" s="17" t="s">
        <v>14</v>
      </c>
      <c r="E516" s="18" t="s">
        <v>13</v>
      </c>
      <c r="F516" s="19">
        <v>88.66</v>
      </c>
      <c r="G516" s="17" t="s">
        <v>12</v>
      </c>
      <c r="H516" s="8" t="s">
        <v>12</v>
      </c>
    </row>
    <row r="517">
      <c r="A517" s="15">
        <v>44673.0</v>
      </c>
      <c r="B517" s="8" t="s">
        <v>32</v>
      </c>
      <c r="C517" s="16" t="s">
        <v>22</v>
      </c>
      <c r="D517" s="17" t="s">
        <v>14</v>
      </c>
      <c r="E517" s="18" t="s">
        <v>31</v>
      </c>
      <c r="F517" s="19">
        <v>88.67</v>
      </c>
      <c r="G517" s="17" t="s">
        <v>12</v>
      </c>
      <c r="H517" s="8" t="s">
        <v>12</v>
      </c>
    </row>
    <row r="518">
      <c r="A518" s="15">
        <v>44673.0</v>
      </c>
      <c r="B518" s="8" t="s">
        <v>32</v>
      </c>
      <c r="C518" s="16" t="s">
        <v>22</v>
      </c>
      <c r="D518" s="17" t="s">
        <v>14</v>
      </c>
      <c r="E518" s="18" t="s">
        <v>33</v>
      </c>
      <c r="F518" s="19">
        <v>88.67</v>
      </c>
      <c r="G518" s="17" t="s">
        <v>12</v>
      </c>
      <c r="H518" s="8" t="s">
        <v>12</v>
      </c>
    </row>
    <row r="519">
      <c r="A519" s="15">
        <v>44674.0</v>
      </c>
      <c r="B519" s="8" t="s">
        <v>32</v>
      </c>
      <c r="C519" s="16" t="s">
        <v>23</v>
      </c>
      <c r="D519" s="17" t="s">
        <v>10</v>
      </c>
      <c r="E519" s="18" t="s">
        <v>31</v>
      </c>
      <c r="F519" s="19">
        <v>102.61</v>
      </c>
      <c r="G519" s="17" t="s">
        <v>12</v>
      </c>
      <c r="H519" s="8" t="s">
        <v>12</v>
      </c>
    </row>
    <row r="520">
      <c r="A520" s="15">
        <v>44674.0</v>
      </c>
      <c r="B520" s="8" t="s">
        <v>32</v>
      </c>
      <c r="C520" s="16" t="s">
        <v>23</v>
      </c>
      <c r="D520" s="17" t="s">
        <v>10</v>
      </c>
      <c r="E520" s="18" t="s">
        <v>25</v>
      </c>
      <c r="F520" s="19">
        <v>102.61</v>
      </c>
      <c r="G520" s="17" t="s">
        <v>12</v>
      </c>
      <c r="H520" s="8" t="s">
        <v>12</v>
      </c>
    </row>
    <row r="521">
      <c r="A521" s="15">
        <v>44674.0</v>
      </c>
      <c r="B521" s="8" t="s">
        <v>32</v>
      </c>
      <c r="C521" s="16" t="s">
        <v>23</v>
      </c>
      <c r="D521" s="17" t="s">
        <v>14</v>
      </c>
      <c r="E521" s="18" t="s">
        <v>13</v>
      </c>
      <c r="F521" s="19">
        <v>77.67</v>
      </c>
      <c r="G521" s="17" t="s">
        <v>12</v>
      </c>
      <c r="H521" s="8" t="s">
        <v>12</v>
      </c>
    </row>
    <row r="522">
      <c r="A522" s="15">
        <v>44674.0</v>
      </c>
      <c r="B522" s="8" t="s">
        <v>32</v>
      </c>
      <c r="C522" s="16" t="s">
        <v>23</v>
      </c>
      <c r="D522" s="17" t="s">
        <v>14</v>
      </c>
      <c r="E522" s="18" t="s">
        <v>31</v>
      </c>
      <c r="F522" s="19">
        <v>77.67</v>
      </c>
      <c r="G522" s="17" t="s">
        <v>12</v>
      </c>
      <c r="H522" s="8" t="s">
        <v>12</v>
      </c>
    </row>
    <row r="523">
      <c r="A523" s="15">
        <v>44674.0</v>
      </c>
      <c r="B523" s="8" t="s">
        <v>32</v>
      </c>
      <c r="C523" s="16" t="s">
        <v>23</v>
      </c>
      <c r="D523" s="17" t="s">
        <v>14</v>
      </c>
      <c r="E523" s="18" t="s">
        <v>33</v>
      </c>
      <c r="F523" s="19">
        <v>77.67</v>
      </c>
      <c r="G523" s="17" t="s">
        <v>12</v>
      </c>
      <c r="H523" s="8" t="s">
        <v>12</v>
      </c>
    </row>
    <row r="524">
      <c r="A524" s="15">
        <v>44675.0</v>
      </c>
      <c r="B524" s="8" t="s">
        <v>32</v>
      </c>
      <c r="C524" s="16" t="s">
        <v>9</v>
      </c>
      <c r="D524" s="17" t="s">
        <v>10</v>
      </c>
      <c r="E524" s="18" t="s">
        <v>13</v>
      </c>
      <c r="F524" s="19">
        <v>205.64</v>
      </c>
      <c r="G524" s="17" t="s">
        <v>12</v>
      </c>
      <c r="H524" s="8" t="s">
        <v>12</v>
      </c>
    </row>
    <row r="525">
      <c r="A525" s="15">
        <v>44675.0</v>
      </c>
      <c r="B525" s="8" t="s">
        <v>32</v>
      </c>
      <c r="C525" s="16" t="s">
        <v>9</v>
      </c>
      <c r="D525" s="17" t="s">
        <v>10</v>
      </c>
      <c r="E525" s="18" t="s">
        <v>31</v>
      </c>
      <c r="F525" s="19">
        <v>88.17</v>
      </c>
      <c r="G525" s="17" t="s">
        <v>12</v>
      </c>
      <c r="H525" s="8" t="s">
        <v>12</v>
      </c>
    </row>
    <row r="526">
      <c r="A526" s="15">
        <v>44675.0</v>
      </c>
      <c r="B526" s="8" t="s">
        <v>32</v>
      </c>
      <c r="C526" s="16" t="s">
        <v>9</v>
      </c>
      <c r="D526" s="17" t="s">
        <v>10</v>
      </c>
      <c r="E526" s="18" t="s">
        <v>19</v>
      </c>
      <c r="F526" s="19">
        <v>117.51</v>
      </c>
      <c r="G526" s="17" t="s">
        <v>12</v>
      </c>
      <c r="H526" s="8" t="s">
        <v>12</v>
      </c>
    </row>
    <row r="527">
      <c r="A527" s="15">
        <v>44675.0</v>
      </c>
      <c r="B527" s="8" t="s">
        <v>32</v>
      </c>
      <c r="C527" s="16" t="s">
        <v>9</v>
      </c>
      <c r="D527" s="17" t="s">
        <v>14</v>
      </c>
      <c r="E527" s="18" t="s">
        <v>13</v>
      </c>
      <c r="F527" s="19">
        <v>57.94</v>
      </c>
      <c r="G527" s="17" t="s">
        <v>12</v>
      </c>
      <c r="H527" s="8" t="s">
        <v>12</v>
      </c>
    </row>
    <row r="528">
      <c r="A528" s="15">
        <v>44675.0</v>
      </c>
      <c r="B528" s="8" t="s">
        <v>32</v>
      </c>
      <c r="C528" s="16" t="s">
        <v>9</v>
      </c>
      <c r="D528" s="17" t="s">
        <v>14</v>
      </c>
      <c r="E528" s="18" t="s">
        <v>19</v>
      </c>
      <c r="F528" s="19">
        <v>74.49</v>
      </c>
      <c r="G528" s="17" t="s">
        <v>12</v>
      </c>
      <c r="H528" s="8" t="s">
        <v>12</v>
      </c>
    </row>
    <row r="529">
      <c r="A529" s="15">
        <v>44675.0</v>
      </c>
      <c r="B529" s="8" t="s">
        <v>32</v>
      </c>
      <c r="C529" s="16" t="s">
        <v>9</v>
      </c>
      <c r="D529" s="17" t="s">
        <v>14</v>
      </c>
      <c r="E529" s="18" t="s">
        <v>31</v>
      </c>
      <c r="F529" s="19">
        <v>74.49</v>
      </c>
      <c r="G529" s="17" t="s">
        <v>12</v>
      </c>
      <c r="H529" s="8" t="s">
        <v>12</v>
      </c>
    </row>
    <row r="530">
      <c r="A530" s="15">
        <v>44676.0</v>
      </c>
      <c r="B530" s="8" t="s">
        <v>32</v>
      </c>
      <c r="C530" s="16" t="s">
        <v>16</v>
      </c>
      <c r="D530" s="17" t="s">
        <v>10</v>
      </c>
      <c r="E530" s="18" t="s">
        <v>19</v>
      </c>
      <c r="F530" s="19">
        <v>51.85</v>
      </c>
      <c r="G530" s="17" t="s">
        <v>12</v>
      </c>
      <c r="H530" s="8" t="s">
        <v>12</v>
      </c>
    </row>
    <row r="531">
      <c r="A531" s="15">
        <v>44676.0</v>
      </c>
      <c r="B531" s="8" t="s">
        <v>32</v>
      </c>
      <c r="C531" s="16" t="s">
        <v>16</v>
      </c>
      <c r="D531" s="17" t="s">
        <v>10</v>
      </c>
      <c r="E531" s="18" t="s">
        <v>34</v>
      </c>
      <c r="F531" s="19">
        <v>51.85</v>
      </c>
      <c r="G531" s="17" t="s">
        <v>12</v>
      </c>
      <c r="H531" s="8" t="s">
        <v>12</v>
      </c>
    </row>
    <row r="532">
      <c r="A532" s="15">
        <v>44676.0</v>
      </c>
      <c r="B532" s="8" t="s">
        <v>32</v>
      </c>
      <c r="C532" s="16" t="s">
        <v>16</v>
      </c>
      <c r="D532" s="17" t="s">
        <v>14</v>
      </c>
      <c r="E532" s="18" t="s">
        <v>19</v>
      </c>
      <c r="F532" s="19">
        <v>81.26</v>
      </c>
      <c r="G532" s="17" t="s">
        <v>12</v>
      </c>
      <c r="H532" s="8" t="s">
        <v>12</v>
      </c>
    </row>
    <row r="533">
      <c r="A533" s="15">
        <v>44676.0</v>
      </c>
      <c r="B533" s="8" t="s">
        <v>32</v>
      </c>
      <c r="C533" s="16" t="s">
        <v>16</v>
      </c>
      <c r="D533" s="17" t="s">
        <v>14</v>
      </c>
      <c r="E533" s="18" t="s">
        <v>34</v>
      </c>
      <c r="F533" s="19">
        <v>81.26</v>
      </c>
      <c r="G533" s="17" t="s">
        <v>12</v>
      </c>
      <c r="H533" s="8" t="s">
        <v>12</v>
      </c>
    </row>
    <row r="534">
      <c r="A534" s="15">
        <v>44676.0</v>
      </c>
      <c r="B534" s="8" t="s">
        <v>32</v>
      </c>
      <c r="C534" s="16" t="s">
        <v>16</v>
      </c>
      <c r="D534" s="17" t="s">
        <v>14</v>
      </c>
      <c r="E534" s="18" t="s">
        <v>35</v>
      </c>
      <c r="F534" s="19">
        <v>0.0</v>
      </c>
      <c r="G534" s="20" t="s">
        <v>26</v>
      </c>
      <c r="H534" s="8" t="s">
        <v>12</v>
      </c>
    </row>
    <row r="535">
      <c r="A535" s="15">
        <v>44677.0</v>
      </c>
      <c r="B535" s="8" t="s">
        <v>32</v>
      </c>
      <c r="C535" s="16" t="s">
        <v>18</v>
      </c>
      <c r="D535" s="17" t="s">
        <v>10</v>
      </c>
      <c r="E535" s="18" t="s">
        <v>34</v>
      </c>
      <c r="F535" s="19">
        <v>141.9</v>
      </c>
      <c r="G535" s="17" t="s">
        <v>12</v>
      </c>
      <c r="H535" s="8" t="s">
        <v>12</v>
      </c>
    </row>
    <row r="536">
      <c r="A536" s="15">
        <v>44677.0</v>
      </c>
      <c r="B536" s="8" t="s">
        <v>32</v>
      </c>
      <c r="C536" s="16" t="s">
        <v>18</v>
      </c>
      <c r="D536" s="17" t="s">
        <v>14</v>
      </c>
      <c r="E536" s="18" t="s">
        <v>19</v>
      </c>
      <c r="F536" s="19">
        <v>46.06</v>
      </c>
      <c r="G536" s="17" t="s">
        <v>12</v>
      </c>
      <c r="H536" s="8" t="s">
        <v>12</v>
      </c>
    </row>
    <row r="537">
      <c r="A537" s="15">
        <v>44677.0</v>
      </c>
      <c r="B537" s="8" t="s">
        <v>32</v>
      </c>
      <c r="C537" s="16" t="s">
        <v>18</v>
      </c>
      <c r="D537" s="17" t="s">
        <v>14</v>
      </c>
      <c r="E537" s="18" t="s">
        <v>34</v>
      </c>
      <c r="F537" s="19">
        <v>46.06</v>
      </c>
      <c r="G537" s="17" t="s">
        <v>12</v>
      </c>
      <c r="H537" s="8" t="s">
        <v>12</v>
      </c>
    </row>
    <row r="538">
      <c r="A538" s="15">
        <v>44677.0</v>
      </c>
      <c r="B538" s="8" t="s">
        <v>32</v>
      </c>
      <c r="C538" s="16" t="s">
        <v>18</v>
      </c>
      <c r="D538" s="17" t="s">
        <v>14</v>
      </c>
      <c r="E538" s="18" t="s">
        <v>35</v>
      </c>
      <c r="F538" s="19">
        <v>0.0</v>
      </c>
      <c r="G538" s="20" t="s">
        <v>26</v>
      </c>
      <c r="H538" s="8" t="s">
        <v>12</v>
      </c>
    </row>
    <row r="539">
      <c r="A539" s="15">
        <v>44678.0</v>
      </c>
      <c r="B539" s="8" t="s">
        <v>32</v>
      </c>
      <c r="C539" s="16" t="s">
        <v>20</v>
      </c>
      <c r="D539" s="17" t="s">
        <v>10</v>
      </c>
      <c r="E539" s="18" t="s">
        <v>19</v>
      </c>
      <c r="F539" s="19">
        <v>91.25</v>
      </c>
      <c r="G539" s="17" t="s">
        <v>12</v>
      </c>
      <c r="H539" s="8" t="s">
        <v>12</v>
      </c>
    </row>
    <row r="540">
      <c r="A540" s="15">
        <v>44678.0</v>
      </c>
      <c r="B540" s="8" t="s">
        <v>32</v>
      </c>
      <c r="C540" s="16" t="s">
        <v>20</v>
      </c>
      <c r="D540" s="17" t="s">
        <v>10</v>
      </c>
      <c r="E540" s="18" t="s">
        <v>36</v>
      </c>
      <c r="F540" s="19">
        <v>0.0</v>
      </c>
      <c r="G540" s="20" t="s">
        <v>26</v>
      </c>
      <c r="H540" s="8" t="s">
        <v>12</v>
      </c>
    </row>
    <row r="541">
      <c r="A541" s="15">
        <v>44678.0</v>
      </c>
      <c r="B541" s="8" t="s">
        <v>32</v>
      </c>
      <c r="C541" s="16" t="s">
        <v>20</v>
      </c>
      <c r="D541" s="17" t="s">
        <v>14</v>
      </c>
      <c r="E541" s="18" t="s">
        <v>19</v>
      </c>
      <c r="F541" s="19">
        <v>41.63</v>
      </c>
      <c r="G541" s="17" t="s">
        <v>12</v>
      </c>
      <c r="H541" s="8" t="s">
        <v>12</v>
      </c>
    </row>
    <row r="542">
      <c r="A542" s="15">
        <v>44678.0</v>
      </c>
      <c r="B542" s="8" t="s">
        <v>32</v>
      </c>
      <c r="C542" s="16" t="s">
        <v>20</v>
      </c>
      <c r="D542" s="17" t="s">
        <v>14</v>
      </c>
      <c r="E542" s="18" t="s">
        <v>34</v>
      </c>
      <c r="F542" s="19">
        <v>41.63</v>
      </c>
      <c r="G542" s="17" t="s">
        <v>12</v>
      </c>
      <c r="H542" s="8" t="s">
        <v>12</v>
      </c>
    </row>
    <row r="543">
      <c r="A543" s="15">
        <v>44678.0</v>
      </c>
      <c r="B543" s="8" t="s">
        <v>32</v>
      </c>
      <c r="C543" s="16" t="s">
        <v>20</v>
      </c>
      <c r="D543" s="17" t="s">
        <v>14</v>
      </c>
      <c r="E543" s="18" t="s">
        <v>33</v>
      </c>
      <c r="F543" s="19">
        <v>13.88</v>
      </c>
      <c r="G543" s="17" t="s">
        <v>12</v>
      </c>
      <c r="H543" s="8" t="s">
        <v>12</v>
      </c>
    </row>
    <row r="544">
      <c r="A544" s="15">
        <v>44679.0</v>
      </c>
      <c r="B544" s="8" t="s">
        <v>32</v>
      </c>
      <c r="C544" s="16" t="s">
        <v>21</v>
      </c>
      <c r="D544" s="17" t="s">
        <v>10</v>
      </c>
      <c r="E544" s="18" t="s">
        <v>34</v>
      </c>
      <c r="F544" s="19">
        <v>71.27</v>
      </c>
      <c r="G544" s="17" t="s">
        <v>12</v>
      </c>
      <c r="H544" s="8" t="s">
        <v>12</v>
      </c>
    </row>
    <row r="545">
      <c r="A545" s="15">
        <v>44679.0</v>
      </c>
      <c r="B545" s="8" t="s">
        <v>32</v>
      </c>
      <c r="C545" s="16" t="s">
        <v>21</v>
      </c>
      <c r="D545" s="17" t="s">
        <v>14</v>
      </c>
      <c r="E545" s="18" t="s">
        <v>33</v>
      </c>
      <c r="F545" s="19">
        <v>72.31</v>
      </c>
      <c r="G545" s="17" t="s">
        <v>12</v>
      </c>
      <c r="H545" s="8" t="s">
        <v>12</v>
      </c>
    </row>
    <row r="546">
      <c r="A546" s="15">
        <v>44679.0</v>
      </c>
      <c r="B546" s="8" t="s">
        <v>32</v>
      </c>
      <c r="C546" s="16" t="s">
        <v>21</v>
      </c>
      <c r="D546" s="17" t="s">
        <v>14</v>
      </c>
      <c r="E546" s="18" t="s">
        <v>28</v>
      </c>
      <c r="F546" s="19">
        <v>60.26</v>
      </c>
      <c r="G546" s="17" t="s">
        <v>12</v>
      </c>
      <c r="H546" s="8" t="s">
        <v>12</v>
      </c>
    </row>
    <row r="547">
      <c r="A547" s="15">
        <v>44679.0</v>
      </c>
      <c r="B547" s="8" t="s">
        <v>32</v>
      </c>
      <c r="C547" s="16" t="s">
        <v>21</v>
      </c>
      <c r="D547" s="17" t="s">
        <v>14</v>
      </c>
      <c r="E547" s="18" t="s">
        <v>36</v>
      </c>
      <c r="F547" s="19">
        <v>56.25</v>
      </c>
      <c r="G547" s="17" t="s">
        <v>12</v>
      </c>
      <c r="H547" s="8" t="s">
        <v>12</v>
      </c>
    </row>
    <row r="548">
      <c r="A548" s="15">
        <v>44680.0</v>
      </c>
      <c r="B548" s="8" t="s">
        <v>32</v>
      </c>
      <c r="C548" s="16" t="s">
        <v>22</v>
      </c>
      <c r="D548" s="17" t="s">
        <v>10</v>
      </c>
      <c r="E548" s="18" t="s">
        <v>13</v>
      </c>
      <c r="F548" s="19">
        <v>60.1</v>
      </c>
      <c r="G548" s="17" t="s">
        <v>12</v>
      </c>
      <c r="H548" s="8" t="s">
        <v>12</v>
      </c>
    </row>
    <row r="549">
      <c r="A549" s="15">
        <v>44680.0</v>
      </c>
      <c r="B549" s="8" t="s">
        <v>32</v>
      </c>
      <c r="C549" s="16" t="s">
        <v>22</v>
      </c>
      <c r="D549" s="17" t="s">
        <v>10</v>
      </c>
      <c r="E549" s="18" t="s">
        <v>36</v>
      </c>
      <c r="F549" s="19">
        <v>48.04</v>
      </c>
      <c r="G549" s="17" t="s">
        <v>12</v>
      </c>
      <c r="H549" s="8" t="s">
        <v>12</v>
      </c>
    </row>
    <row r="550">
      <c r="A550" s="15">
        <v>44680.0</v>
      </c>
      <c r="B550" s="8" t="s">
        <v>32</v>
      </c>
      <c r="C550" s="16" t="s">
        <v>22</v>
      </c>
      <c r="D550" s="17" t="s">
        <v>14</v>
      </c>
      <c r="E550" s="18" t="s">
        <v>13</v>
      </c>
      <c r="F550" s="19">
        <v>86.56</v>
      </c>
      <c r="G550" s="17" t="s">
        <v>12</v>
      </c>
      <c r="H550" s="8" t="s">
        <v>12</v>
      </c>
    </row>
    <row r="551">
      <c r="A551" s="15">
        <v>44680.0</v>
      </c>
      <c r="B551" s="8" t="s">
        <v>32</v>
      </c>
      <c r="C551" s="16" t="s">
        <v>22</v>
      </c>
      <c r="D551" s="17" t="s">
        <v>14</v>
      </c>
      <c r="E551" s="18" t="s">
        <v>19</v>
      </c>
      <c r="F551" s="19">
        <v>38.47</v>
      </c>
      <c r="G551" s="17" t="s">
        <v>12</v>
      </c>
      <c r="H551" s="8" t="s">
        <v>12</v>
      </c>
    </row>
    <row r="552">
      <c r="A552" s="15">
        <v>44680.0</v>
      </c>
      <c r="B552" s="8" t="s">
        <v>32</v>
      </c>
      <c r="C552" s="16" t="s">
        <v>22</v>
      </c>
      <c r="D552" s="17" t="s">
        <v>14</v>
      </c>
      <c r="E552" s="18" t="s">
        <v>28</v>
      </c>
      <c r="F552" s="19">
        <v>62.51</v>
      </c>
      <c r="G552" s="17" t="s">
        <v>12</v>
      </c>
      <c r="H552" s="8" t="s">
        <v>12</v>
      </c>
    </row>
    <row r="553">
      <c r="A553" s="15">
        <v>44681.0</v>
      </c>
      <c r="B553" s="8" t="s">
        <v>32</v>
      </c>
      <c r="C553" s="16" t="s">
        <v>23</v>
      </c>
      <c r="D553" s="17" t="s">
        <v>10</v>
      </c>
      <c r="E553" s="18" t="s">
        <v>13</v>
      </c>
      <c r="F553" s="19">
        <v>68.89</v>
      </c>
      <c r="G553" s="17" t="s">
        <v>12</v>
      </c>
      <c r="H553" s="8" t="s">
        <v>12</v>
      </c>
    </row>
    <row r="554">
      <c r="A554" s="15">
        <v>44681.0</v>
      </c>
      <c r="B554" s="8" t="s">
        <v>32</v>
      </c>
      <c r="C554" s="16" t="s">
        <v>23</v>
      </c>
      <c r="D554" s="17" t="s">
        <v>10</v>
      </c>
      <c r="E554" s="18" t="s">
        <v>35</v>
      </c>
      <c r="F554" s="19">
        <v>0.0</v>
      </c>
      <c r="G554" s="20" t="s">
        <v>26</v>
      </c>
      <c r="H554" s="8" t="s">
        <v>12</v>
      </c>
    </row>
    <row r="555">
      <c r="A555" s="15">
        <v>44681.0</v>
      </c>
      <c r="B555" s="8" t="s">
        <v>32</v>
      </c>
      <c r="C555" s="16" t="s">
        <v>23</v>
      </c>
      <c r="D555" s="17" t="s">
        <v>10</v>
      </c>
      <c r="E555" s="18" t="s">
        <v>19</v>
      </c>
      <c r="F555" s="19">
        <v>124.01</v>
      </c>
      <c r="G555" s="17" t="s">
        <v>12</v>
      </c>
      <c r="H555" s="8" t="s">
        <v>12</v>
      </c>
    </row>
    <row r="556">
      <c r="A556" s="15">
        <v>44681.0</v>
      </c>
      <c r="B556" s="8" t="s">
        <v>32</v>
      </c>
      <c r="C556" s="16" t="s">
        <v>23</v>
      </c>
      <c r="D556" s="17" t="s">
        <v>10</v>
      </c>
      <c r="E556" s="18" t="s">
        <v>36</v>
      </c>
      <c r="F556" s="19">
        <v>124.01</v>
      </c>
      <c r="G556" s="17" t="s">
        <v>12</v>
      </c>
      <c r="H556" s="8" t="s">
        <v>12</v>
      </c>
    </row>
    <row r="557">
      <c r="A557" s="15">
        <v>44681.0</v>
      </c>
      <c r="B557" s="8" t="s">
        <v>32</v>
      </c>
      <c r="C557" s="16" t="s">
        <v>23</v>
      </c>
      <c r="D557" s="17" t="s">
        <v>14</v>
      </c>
      <c r="E557" s="18" t="s">
        <v>36</v>
      </c>
      <c r="F557" s="19">
        <v>112.78</v>
      </c>
      <c r="G557" s="17" t="s">
        <v>12</v>
      </c>
      <c r="H557" s="8" t="s">
        <v>12</v>
      </c>
    </row>
    <row r="558">
      <c r="A558" s="15">
        <v>44681.0</v>
      </c>
      <c r="B558" s="8" t="s">
        <v>32</v>
      </c>
      <c r="C558" s="16" t="s">
        <v>23</v>
      </c>
      <c r="D558" s="17" t="s">
        <v>14</v>
      </c>
      <c r="E558" s="18" t="s">
        <v>33</v>
      </c>
      <c r="F558" s="19">
        <v>112.78</v>
      </c>
      <c r="G558" s="17" t="s">
        <v>12</v>
      </c>
      <c r="H558" s="8" t="s">
        <v>12</v>
      </c>
    </row>
    <row r="559">
      <c r="A559" s="15">
        <v>44681.0</v>
      </c>
      <c r="B559" s="8" t="s">
        <v>32</v>
      </c>
      <c r="C559" s="16" t="s">
        <v>23</v>
      </c>
      <c r="D559" s="17" t="s">
        <v>14</v>
      </c>
      <c r="E559" s="18" t="s">
        <v>28</v>
      </c>
      <c r="F559" s="19">
        <v>87.71</v>
      </c>
      <c r="G559" s="17" t="s">
        <v>12</v>
      </c>
      <c r="H559" s="8" t="s">
        <v>12</v>
      </c>
    </row>
    <row r="560">
      <c r="A560" s="15">
        <v>44682.0</v>
      </c>
      <c r="B560" s="8" t="s">
        <v>37</v>
      </c>
      <c r="C560" s="16" t="s">
        <v>9</v>
      </c>
      <c r="D560" s="17" t="s">
        <v>10</v>
      </c>
      <c r="E560" s="18" t="s">
        <v>13</v>
      </c>
      <c r="F560" s="19">
        <v>59.0</v>
      </c>
      <c r="G560" s="17" t="s">
        <v>12</v>
      </c>
      <c r="H560" s="8" t="s">
        <v>12</v>
      </c>
    </row>
    <row r="561">
      <c r="A561" s="15">
        <v>44682.0</v>
      </c>
      <c r="B561" s="8" t="s">
        <v>37</v>
      </c>
      <c r="C561" s="16" t="s">
        <v>9</v>
      </c>
      <c r="D561" s="17" t="s">
        <v>10</v>
      </c>
      <c r="E561" s="18" t="s">
        <v>36</v>
      </c>
      <c r="F561" s="19">
        <v>79.42</v>
      </c>
      <c r="G561" s="17" t="s">
        <v>12</v>
      </c>
      <c r="H561" s="8" t="s">
        <v>12</v>
      </c>
    </row>
    <row r="562">
      <c r="A562" s="15">
        <v>44682.0</v>
      </c>
      <c r="B562" s="8" t="s">
        <v>37</v>
      </c>
      <c r="C562" s="16" t="s">
        <v>9</v>
      </c>
      <c r="D562" s="17" t="s">
        <v>10</v>
      </c>
      <c r="E562" s="18" t="s">
        <v>19</v>
      </c>
      <c r="F562" s="19">
        <v>53.89</v>
      </c>
      <c r="G562" s="17" t="s">
        <v>12</v>
      </c>
      <c r="H562" s="8" t="s">
        <v>12</v>
      </c>
    </row>
    <row r="563">
      <c r="A563" s="15">
        <v>44682.0</v>
      </c>
      <c r="B563" s="8" t="s">
        <v>37</v>
      </c>
      <c r="C563" s="16" t="s">
        <v>9</v>
      </c>
      <c r="D563" s="17" t="s">
        <v>10</v>
      </c>
      <c r="E563" s="18" t="s">
        <v>35</v>
      </c>
      <c r="F563" s="19">
        <v>56.73</v>
      </c>
      <c r="G563" s="17" t="s">
        <v>12</v>
      </c>
      <c r="H563" s="8" t="s">
        <v>12</v>
      </c>
    </row>
    <row r="564">
      <c r="A564" s="15">
        <v>44682.0</v>
      </c>
      <c r="B564" s="8" t="s">
        <v>37</v>
      </c>
      <c r="C564" s="16" t="s">
        <v>9</v>
      </c>
      <c r="D564" s="17" t="s">
        <v>14</v>
      </c>
      <c r="E564" s="18" t="s">
        <v>19</v>
      </c>
      <c r="F564" s="19">
        <v>46.22</v>
      </c>
      <c r="G564" s="17" t="s">
        <v>12</v>
      </c>
      <c r="H564" s="8" t="s">
        <v>12</v>
      </c>
    </row>
    <row r="565">
      <c r="A565" s="15">
        <v>44682.0</v>
      </c>
      <c r="B565" s="8" t="s">
        <v>37</v>
      </c>
      <c r="C565" s="16" t="s">
        <v>9</v>
      </c>
      <c r="D565" s="17" t="s">
        <v>14</v>
      </c>
      <c r="E565" s="18" t="s">
        <v>36</v>
      </c>
      <c r="F565" s="19">
        <v>46.22</v>
      </c>
      <c r="G565" s="17" t="s">
        <v>12</v>
      </c>
      <c r="H565" s="8" t="s">
        <v>12</v>
      </c>
    </row>
    <row r="566">
      <c r="A566" s="15">
        <v>44682.0</v>
      </c>
      <c r="B566" s="8" t="s">
        <v>37</v>
      </c>
      <c r="C566" s="16" t="s">
        <v>9</v>
      </c>
      <c r="D566" s="17" t="s">
        <v>14</v>
      </c>
      <c r="E566" s="18" t="s">
        <v>35</v>
      </c>
      <c r="F566" s="19">
        <v>46.22</v>
      </c>
      <c r="G566" s="17" t="s">
        <v>12</v>
      </c>
      <c r="H566" s="8" t="s">
        <v>12</v>
      </c>
    </row>
    <row r="567">
      <c r="A567" s="15">
        <v>44683.0</v>
      </c>
      <c r="B567" s="8" t="s">
        <v>37</v>
      </c>
      <c r="C567" s="16" t="s">
        <v>16</v>
      </c>
      <c r="D567" s="17" t="s">
        <v>10</v>
      </c>
      <c r="E567" s="18" t="s">
        <v>19</v>
      </c>
      <c r="F567" s="19">
        <v>79.26</v>
      </c>
      <c r="G567" s="17" t="s">
        <v>12</v>
      </c>
      <c r="H567" s="8" t="s">
        <v>12</v>
      </c>
    </row>
    <row r="568">
      <c r="A568" s="15">
        <v>44683.0</v>
      </c>
      <c r="B568" s="8" t="s">
        <v>37</v>
      </c>
      <c r="C568" s="16" t="s">
        <v>16</v>
      </c>
      <c r="D568" s="17" t="s">
        <v>14</v>
      </c>
      <c r="E568" s="18" t="s">
        <v>19</v>
      </c>
      <c r="F568" s="19">
        <v>56.12</v>
      </c>
      <c r="G568" s="17" t="s">
        <v>12</v>
      </c>
      <c r="H568" s="8" t="s">
        <v>12</v>
      </c>
    </row>
    <row r="569">
      <c r="A569" s="15">
        <v>44683.0</v>
      </c>
      <c r="B569" s="8" t="s">
        <v>37</v>
      </c>
      <c r="C569" s="16" t="s">
        <v>16</v>
      </c>
      <c r="D569" s="17" t="s">
        <v>14</v>
      </c>
      <c r="E569" s="18" t="s">
        <v>33</v>
      </c>
      <c r="F569" s="19">
        <v>56.12</v>
      </c>
      <c r="G569" s="17" t="s">
        <v>12</v>
      </c>
      <c r="H569" s="8" t="s">
        <v>12</v>
      </c>
    </row>
    <row r="570">
      <c r="A570" s="15">
        <v>44683.0</v>
      </c>
      <c r="B570" s="8" t="s">
        <v>37</v>
      </c>
      <c r="C570" s="16" t="s">
        <v>16</v>
      </c>
      <c r="D570" s="17" t="s">
        <v>14</v>
      </c>
      <c r="E570" s="18" t="s">
        <v>35</v>
      </c>
      <c r="F570" s="19">
        <v>43.64</v>
      </c>
      <c r="G570" s="17" t="s">
        <v>12</v>
      </c>
      <c r="H570" s="8" t="s">
        <v>12</v>
      </c>
    </row>
    <row r="571">
      <c r="A571" s="15">
        <v>44684.0</v>
      </c>
      <c r="B571" s="8" t="s">
        <v>37</v>
      </c>
      <c r="C571" s="16" t="s">
        <v>18</v>
      </c>
      <c r="D571" s="17" t="s">
        <v>10</v>
      </c>
      <c r="E571" s="18" t="s">
        <v>34</v>
      </c>
      <c r="F571" s="19">
        <v>86.32</v>
      </c>
      <c r="G571" s="17" t="s">
        <v>12</v>
      </c>
      <c r="H571" s="8" t="s">
        <v>12</v>
      </c>
    </row>
    <row r="572">
      <c r="A572" s="15">
        <v>44684.0</v>
      </c>
      <c r="B572" s="8" t="s">
        <v>37</v>
      </c>
      <c r="C572" s="16" t="s">
        <v>18</v>
      </c>
      <c r="D572" s="17" t="s">
        <v>14</v>
      </c>
      <c r="E572" s="18" t="s">
        <v>34</v>
      </c>
      <c r="F572" s="19">
        <v>39.6</v>
      </c>
      <c r="G572" s="17" t="s">
        <v>12</v>
      </c>
      <c r="H572" s="8" t="s">
        <v>12</v>
      </c>
    </row>
    <row r="573">
      <c r="A573" s="15">
        <v>44684.0</v>
      </c>
      <c r="B573" s="8" t="s">
        <v>37</v>
      </c>
      <c r="C573" s="16" t="s">
        <v>18</v>
      </c>
      <c r="D573" s="17" t="s">
        <v>14</v>
      </c>
      <c r="E573" s="18" t="s">
        <v>28</v>
      </c>
      <c r="F573" s="19">
        <v>30.79</v>
      </c>
      <c r="G573" s="17" t="s">
        <v>12</v>
      </c>
      <c r="H573" s="8" t="s">
        <v>12</v>
      </c>
    </row>
    <row r="574">
      <c r="A574" s="15">
        <v>44684.0</v>
      </c>
      <c r="B574" s="8" t="s">
        <v>37</v>
      </c>
      <c r="C574" s="16" t="s">
        <v>18</v>
      </c>
      <c r="D574" s="17" t="s">
        <v>14</v>
      </c>
      <c r="E574" s="18" t="s">
        <v>35</v>
      </c>
      <c r="F574" s="19">
        <v>30.78</v>
      </c>
      <c r="G574" s="17" t="s">
        <v>12</v>
      </c>
      <c r="H574" s="8" t="s">
        <v>12</v>
      </c>
    </row>
    <row r="575">
      <c r="A575" s="15">
        <v>44685.0</v>
      </c>
      <c r="B575" s="8" t="s">
        <v>37</v>
      </c>
      <c r="C575" s="16" t="s">
        <v>20</v>
      </c>
      <c r="D575" s="17" t="s">
        <v>10</v>
      </c>
      <c r="E575" s="18" t="s">
        <v>34</v>
      </c>
      <c r="F575" s="19">
        <v>78.52</v>
      </c>
      <c r="G575" s="17" t="s">
        <v>12</v>
      </c>
      <c r="H575" s="8" t="s">
        <v>12</v>
      </c>
    </row>
    <row r="576">
      <c r="A576" s="15">
        <v>44685.0</v>
      </c>
      <c r="B576" s="8" t="s">
        <v>37</v>
      </c>
      <c r="C576" s="16" t="s">
        <v>20</v>
      </c>
      <c r="D576" s="17" t="s">
        <v>14</v>
      </c>
      <c r="E576" s="18" t="s">
        <v>34</v>
      </c>
      <c r="F576" s="19">
        <v>72.61</v>
      </c>
      <c r="G576" s="17" t="s">
        <v>12</v>
      </c>
      <c r="H576" s="8" t="s">
        <v>12</v>
      </c>
    </row>
    <row r="577">
      <c r="A577" s="15">
        <v>44685.0</v>
      </c>
      <c r="B577" s="8" t="s">
        <v>37</v>
      </c>
      <c r="C577" s="16" t="s">
        <v>20</v>
      </c>
      <c r="D577" s="17" t="s">
        <v>14</v>
      </c>
      <c r="E577" s="18" t="s">
        <v>36</v>
      </c>
      <c r="F577" s="19">
        <v>72.61</v>
      </c>
      <c r="G577" s="17" t="s">
        <v>12</v>
      </c>
      <c r="H577" s="8" t="s">
        <v>12</v>
      </c>
    </row>
    <row r="578">
      <c r="A578" s="15">
        <v>44685.0</v>
      </c>
      <c r="B578" s="8" t="s">
        <v>37</v>
      </c>
      <c r="C578" s="16" t="s">
        <v>20</v>
      </c>
      <c r="D578" s="17" t="s">
        <v>14</v>
      </c>
      <c r="E578" s="18" t="s">
        <v>28</v>
      </c>
      <c r="F578" s="19">
        <v>24.21</v>
      </c>
      <c r="G578" s="17" t="s">
        <v>12</v>
      </c>
      <c r="H578" s="8" t="s">
        <v>12</v>
      </c>
    </row>
    <row r="579">
      <c r="A579" s="15">
        <v>44686.0</v>
      </c>
      <c r="B579" s="8" t="s">
        <v>37</v>
      </c>
      <c r="C579" s="16" t="s">
        <v>21</v>
      </c>
      <c r="D579" s="17" t="s">
        <v>10</v>
      </c>
      <c r="E579" s="18" t="s">
        <v>31</v>
      </c>
      <c r="F579" s="19">
        <v>116.1</v>
      </c>
      <c r="G579" s="17" t="s">
        <v>12</v>
      </c>
      <c r="H579" s="8" t="s">
        <v>12</v>
      </c>
    </row>
    <row r="580">
      <c r="A580" s="15">
        <v>44686.0</v>
      </c>
      <c r="B580" s="8" t="s">
        <v>37</v>
      </c>
      <c r="C580" s="16" t="s">
        <v>21</v>
      </c>
      <c r="D580" s="17" t="s">
        <v>14</v>
      </c>
      <c r="E580" s="18" t="s">
        <v>19</v>
      </c>
      <c r="F580" s="19">
        <v>40.07</v>
      </c>
      <c r="G580" s="17" t="s">
        <v>12</v>
      </c>
      <c r="H580" s="8" t="s">
        <v>12</v>
      </c>
    </row>
    <row r="581">
      <c r="A581" s="15">
        <v>44686.0</v>
      </c>
      <c r="B581" s="8" t="s">
        <v>37</v>
      </c>
      <c r="C581" s="16" t="s">
        <v>21</v>
      </c>
      <c r="D581" s="17" t="s">
        <v>14</v>
      </c>
      <c r="E581" s="18" t="s">
        <v>34</v>
      </c>
      <c r="F581" s="19">
        <v>45.08</v>
      </c>
      <c r="G581" s="17" t="s">
        <v>12</v>
      </c>
      <c r="H581" s="8" t="s">
        <v>12</v>
      </c>
    </row>
    <row r="582">
      <c r="A582" s="15">
        <v>44686.0</v>
      </c>
      <c r="B582" s="8" t="s">
        <v>37</v>
      </c>
      <c r="C582" s="16" t="s">
        <v>21</v>
      </c>
      <c r="D582" s="17" t="s">
        <v>14</v>
      </c>
      <c r="E582" s="18" t="s">
        <v>35</v>
      </c>
      <c r="F582" s="19">
        <v>35.06</v>
      </c>
      <c r="G582" s="17" t="s">
        <v>12</v>
      </c>
      <c r="H582" s="8" t="s">
        <v>12</v>
      </c>
    </row>
    <row r="583">
      <c r="A583" s="15">
        <v>44687.0</v>
      </c>
      <c r="B583" s="8" t="s">
        <v>37</v>
      </c>
      <c r="C583" s="16" t="s">
        <v>22</v>
      </c>
      <c r="D583" s="17" t="s">
        <v>10</v>
      </c>
      <c r="E583" s="18" t="s">
        <v>19</v>
      </c>
      <c r="F583" s="19">
        <v>137.16</v>
      </c>
      <c r="G583" s="17" t="s">
        <v>12</v>
      </c>
      <c r="H583" s="8" t="s">
        <v>12</v>
      </c>
    </row>
    <row r="584">
      <c r="A584" s="15">
        <v>44687.0</v>
      </c>
      <c r="B584" s="8" t="s">
        <v>37</v>
      </c>
      <c r="C584" s="16" t="s">
        <v>22</v>
      </c>
      <c r="D584" s="17" t="s">
        <v>10</v>
      </c>
      <c r="E584" s="18" t="s">
        <v>38</v>
      </c>
      <c r="F584" s="19">
        <v>0.0</v>
      </c>
      <c r="G584" s="20" t="s">
        <v>26</v>
      </c>
      <c r="H584" s="8" t="s">
        <v>12</v>
      </c>
    </row>
    <row r="585">
      <c r="A585" s="15">
        <v>44687.0</v>
      </c>
      <c r="B585" s="8" t="s">
        <v>37</v>
      </c>
      <c r="C585" s="16" t="s">
        <v>22</v>
      </c>
      <c r="D585" s="17" t="s">
        <v>14</v>
      </c>
      <c r="E585" s="18" t="s">
        <v>13</v>
      </c>
      <c r="F585" s="19">
        <v>114.57</v>
      </c>
      <c r="G585" s="17" t="s">
        <v>12</v>
      </c>
      <c r="H585" s="8" t="s">
        <v>12</v>
      </c>
    </row>
    <row r="586">
      <c r="A586" s="15">
        <v>44687.0</v>
      </c>
      <c r="B586" s="8" t="s">
        <v>37</v>
      </c>
      <c r="C586" s="16" t="s">
        <v>22</v>
      </c>
      <c r="D586" s="17" t="s">
        <v>14</v>
      </c>
      <c r="E586" s="18" t="s">
        <v>36</v>
      </c>
      <c r="F586" s="19">
        <v>114.57</v>
      </c>
      <c r="G586" s="17" t="s">
        <v>12</v>
      </c>
      <c r="H586" s="8" t="s">
        <v>12</v>
      </c>
    </row>
    <row r="587">
      <c r="A587" s="15">
        <v>44687.0</v>
      </c>
      <c r="B587" s="8" t="s">
        <v>37</v>
      </c>
      <c r="C587" s="16" t="s">
        <v>22</v>
      </c>
      <c r="D587" s="17" t="s">
        <v>14</v>
      </c>
      <c r="E587" s="18" t="s">
        <v>28</v>
      </c>
      <c r="F587" s="19">
        <v>89.09</v>
      </c>
      <c r="G587" s="17" t="s">
        <v>12</v>
      </c>
      <c r="H587" s="8" t="s">
        <v>12</v>
      </c>
    </row>
    <row r="588">
      <c r="A588" s="15">
        <v>44688.0</v>
      </c>
      <c r="B588" s="8" t="s">
        <v>37</v>
      </c>
      <c r="C588" s="16" t="s">
        <v>23</v>
      </c>
      <c r="D588" s="17" t="s">
        <v>10</v>
      </c>
      <c r="E588" s="18" t="s">
        <v>13</v>
      </c>
      <c r="F588" s="19">
        <v>134.12</v>
      </c>
      <c r="G588" s="17" t="s">
        <v>12</v>
      </c>
      <c r="H588" s="8" t="s">
        <v>12</v>
      </c>
    </row>
    <row r="589">
      <c r="A589" s="15">
        <v>44688.0</v>
      </c>
      <c r="B589" s="8" t="s">
        <v>37</v>
      </c>
      <c r="C589" s="16" t="s">
        <v>23</v>
      </c>
      <c r="D589" s="17" t="s">
        <v>10</v>
      </c>
      <c r="E589" s="18" t="s">
        <v>31</v>
      </c>
      <c r="F589" s="19">
        <v>95.79</v>
      </c>
      <c r="G589" s="17" t="s">
        <v>12</v>
      </c>
      <c r="H589" s="8" t="s">
        <v>12</v>
      </c>
    </row>
    <row r="590">
      <c r="A590" s="15">
        <v>44688.0</v>
      </c>
      <c r="B590" s="8" t="s">
        <v>37</v>
      </c>
      <c r="C590" s="16" t="s">
        <v>23</v>
      </c>
      <c r="D590" s="17" t="s">
        <v>10</v>
      </c>
      <c r="E590" s="18" t="s">
        <v>35</v>
      </c>
      <c r="F590" s="19">
        <v>95.79</v>
      </c>
      <c r="G590" s="17" t="s">
        <v>12</v>
      </c>
      <c r="H590" s="8" t="s">
        <v>12</v>
      </c>
    </row>
    <row r="591">
      <c r="A591" s="15">
        <v>44688.0</v>
      </c>
      <c r="B591" s="8" t="s">
        <v>37</v>
      </c>
      <c r="C591" s="16" t="s">
        <v>23</v>
      </c>
      <c r="D591" s="17" t="s">
        <v>14</v>
      </c>
      <c r="E591" s="18" t="s">
        <v>19</v>
      </c>
      <c r="F591" s="19">
        <v>63.35</v>
      </c>
      <c r="G591" s="17" t="s">
        <v>12</v>
      </c>
      <c r="H591" s="8" t="s">
        <v>12</v>
      </c>
    </row>
    <row r="592">
      <c r="A592" s="15">
        <v>44688.0</v>
      </c>
      <c r="B592" s="8" t="s">
        <v>37</v>
      </c>
      <c r="C592" s="16" t="s">
        <v>23</v>
      </c>
      <c r="D592" s="17" t="s">
        <v>14</v>
      </c>
      <c r="E592" s="18" t="s">
        <v>31</v>
      </c>
      <c r="F592" s="19">
        <v>63.35</v>
      </c>
      <c r="G592" s="17" t="s">
        <v>12</v>
      </c>
      <c r="H592" s="8" t="s">
        <v>12</v>
      </c>
    </row>
    <row r="593">
      <c r="A593" s="15">
        <v>44688.0</v>
      </c>
      <c r="B593" s="8" t="s">
        <v>37</v>
      </c>
      <c r="C593" s="16" t="s">
        <v>23</v>
      </c>
      <c r="D593" s="17" t="s">
        <v>14</v>
      </c>
      <c r="E593" s="18" t="s">
        <v>28</v>
      </c>
      <c r="F593" s="19">
        <v>49.27</v>
      </c>
      <c r="G593" s="17" t="s">
        <v>12</v>
      </c>
      <c r="H593" s="8" t="s">
        <v>12</v>
      </c>
    </row>
    <row r="594">
      <c r="A594" s="15">
        <v>44689.0</v>
      </c>
      <c r="B594" s="8" t="s">
        <v>37</v>
      </c>
      <c r="C594" s="16" t="s">
        <v>9</v>
      </c>
      <c r="D594" s="17" t="s">
        <v>10</v>
      </c>
      <c r="E594" s="18" t="s">
        <v>13</v>
      </c>
      <c r="F594" s="19">
        <v>59.38</v>
      </c>
      <c r="G594" s="17" t="s">
        <v>12</v>
      </c>
      <c r="H594" s="8" t="s">
        <v>12</v>
      </c>
    </row>
    <row r="595">
      <c r="A595" s="15">
        <v>44689.0</v>
      </c>
      <c r="B595" s="8" t="s">
        <v>37</v>
      </c>
      <c r="C595" s="16" t="s">
        <v>9</v>
      </c>
      <c r="D595" s="17" t="s">
        <v>10</v>
      </c>
      <c r="E595" s="18" t="s">
        <v>31</v>
      </c>
      <c r="F595" s="19">
        <v>83.13</v>
      </c>
      <c r="G595" s="17" t="s">
        <v>12</v>
      </c>
      <c r="H595" s="8" t="s">
        <v>12</v>
      </c>
    </row>
    <row r="596">
      <c r="A596" s="15">
        <v>44689.0</v>
      </c>
      <c r="B596" s="8" t="s">
        <v>37</v>
      </c>
      <c r="C596" s="16" t="s">
        <v>9</v>
      </c>
      <c r="D596" s="17" t="s">
        <v>10</v>
      </c>
      <c r="E596" s="18" t="s">
        <v>35</v>
      </c>
      <c r="F596" s="19">
        <v>59.38</v>
      </c>
      <c r="G596" s="17" t="s">
        <v>12</v>
      </c>
      <c r="H596" s="8" t="s">
        <v>12</v>
      </c>
    </row>
    <row r="597">
      <c r="A597" s="15">
        <v>44689.0</v>
      </c>
      <c r="B597" s="8" t="s">
        <v>37</v>
      </c>
      <c r="C597" s="16" t="s">
        <v>9</v>
      </c>
      <c r="D597" s="17" t="s">
        <v>10</v>
      </c>
      <c r="E597" s="18" t="s">
        <v>19</v>
      </c>
      <c r="F597" s="19">
        <v>55.46</v>
      </c>
      <c r="G597" s="17" t="s">
        <v>12</v>
      </c>
      <c r="H597" s="8" t="s">
        <v>12</v>
      </c>
    </row>
    <row r="598">
      <c r="A598" s="15">
        <v>44689.0</v>
      </c>
      <c r="B598" s="8" t="s">
        <v>37</v>
      </c>
      <c r="C598" s="16" t="s">
        <v>9</v>
      </c>
      <c r="D598" s="17" t="s">
        <v>14</v>
      </c>
      <c r="E598" s="18" t="s">
        <v>13</v>
      </c>
      <c r="F598" s="19">
        <v>89.5</v>
      </c>
      <c r="G598" s="17" t="s">
        <v>12</v>
      </c>
      <c r="H598" s="8" t="s">
        <v>12</v>
      </c>
    </row>
    <row r="599">
      <c r="A599" s="15">
        <v>44689.0</v>
      </c>
      <c r="B599" s="8" t="s">
        <v>37</v>
      </c>
      <c r="C599" s="16" t="s">
        <v>9</v>
      </c>
      <c r="D599" s="17" t="s">
        <v>14</v>
      </c>
      <c r="E599" s="18" t="s">
        <v>31</v>
      </c>
      <c r="F599" s="19">
        <v>69.63</v>
      </c>
      <c r="G599" s="17" t="s">
        <v>12</v>
      </c>
      <c r="H599" s="8" t="s">
        <v>12</v>
      </c>
    </row>
    <row r="600">
      <c r="A600" s="15">
        <v>44689.0</v>
      </c>
      <c r="B600" s="8" t="s">
        <v>37</v>
      </c>
      <c r="C600" s="16" t="s">
        <v>9</v>
      </c>
      <c r="D600" s="17" t="s">
        <v>14</v>
      </c>
      <c r="E600" s="18" t="s">
        <v>35</v>
      </c>
      <c r="F600" s="19">
        <v>89.5</v>
      </c>
      <c r="G600" s="17" t="s">
        <v>12</v>
      </c>
      <c r="H600" s="8" t="s">
        <v>12</v>
      </c>
    </row>
    <row r="601">
      <c r="A601" s="15">
        <v>44690.0</v>
      </c>
      <c r="B601" s="8" t="s">
        <v>37</v>
      </c>
      <c r="C601" s="16" t="s">
        <v>16</v>
      </c>
      <c r="D601" s="17" t="s">
        <v>10</v>
      </c>
      <c r="E601" s="18" t="s">
        <v>19</v>
      </c>
      <c r="F601" s="19">
        <v>85.39</v>
      </c>
      <c r="G601" s="17" t="s">
        <v>12</v>
      </c>
      <c r="H601" s="8" t="s">
        <v>12</v>
      </c>
    </row>
    <row r="602">
      <c r="A602" s="15">
        <v>44690.0</v>
      </c>
      <c r="B602" s="8" t="s">
        <v>37</v>
      </c>
      <c r="C602" s="16" t="s">
        <v>16</v>
      </c>
      <c r="D602" s="17" t="s">
        <v>14</v>
      </c>
      <c r="E602" s="18" t="s">
        <v>19</v>
      </c>
      <c r="F602" s="19">
        <v>68.2</v>
      </c>
      <c r="G602" s="17" t="s">
        <v>12</v>
      </c>
      <c r="H602" s="8" t="s">
        <v>12</v>
      </c>
    </row>
    <row r="603">
      <c r="A603" s="15">
        <v>44690.0</v>
      </c>
      <c r="B603" s="8" t="s">
        <v>37</v>
      </c>
      <c r="C603" s="16" t="s">
        <v>16</v>
      </c>
      <c r="D603" s="17" t="s">
        <v>14</v>
      </c>
      <c r="E603" s="18" t="s">
        <v>34</v>
      </c>
      <c r="F603" s="19">
        <v>76.67</v>
      </c>
      <c r="G603" s="17" t="s">
        <v>12</v>
      </c>
      <c r="H603" s="8" t="s">
        <v>12</v>
      </c>
    </row>
    <row r="604">
      <c r="A604" s="15">
        <v>44690.0</v>
      </c>
      <c r="B604" s="8" t="s">
        <v>37</v>
      </c>
      <c r="C604" s="16" t="s">
        <v>16</v>
      </c>
      <c r="D604" s="17" t="s">
        <v>14</v>
      </c>
      <c r="E604" s="18" t="s">
        <v>35</v>
      </c>
      <c r="F604" s="19">
        <v>51.15</v>
      </c>
      <c r="G604" s="17" t="s">
        <v>12</v>
      </c>
      <c r="H604" s="8" t="s">
        <v>12</v>
      </c>
    </row>
    <row r="605">
      <c r="A605" s="15">
        <v>44691.0</v>
      </c>
      <c r="B605" s="8" t="s">
        <v>37</v>
      </c>
      <c r="C605" s="16" t="s">
        <v>18</v>
      </c>
      <c r="D605" s="17" t="s">
        <v>10</v>
      </c>
      <c r="E605" s="18" t="s">
        <v>34</v>
      </c>
      <c r="F605" s="19">
        <v>132.62</v>
      </c>
      <c r="G605" s="17" t="s">
        <v>12</v>
      </c>
      <c r="H605" s="8" t="s">
        <v>12</v>
      </c>
    </row>
    <row r="606">
      <c r="A606" s="15">
        <v>44691.0</v>
      </c>
      <c r="B606" s="8" t="s">
        <v>37</v>
      </c>
      <c r="C606" s="16" t="s">
        <v>18</v>
      </c>
      <c r="D606" s="17" t="s">
        <v>14</v>
      </c>
      <c r="E606" s="18" t="s">
        <v>19</v>
      </c>
      <c r="F606" s="19">
        <v>67.13</v>
      </c>
      <c r="G606" s="17" t="s">
        <v>12</v>
      </c>
      <c r="H606" s="8" t="s">
        <v>12</v>
      </c>
    </row>
    <row r="607">
      <c r="A607" s="15">
        <v>44691.0</v>
      </c>
      <c r="B607" s="8" t="s">
        <v>37</v>
      </c>
      <c r="C607" s="16" t="s">
        <v>18</v>
      </c>
      <c r="D607" s="17" t="s">
        <v>14</v>
      </c>
      <c r="E607" s="18" t="s">
        <v>38</v>
      </c>
      <c r="F607" s="19">
        <v>0.0</v>
      </c>
      <c r="G607" s="20" t="s">
        <v>26</v>
      </c>
      <c r="H607" s="8" t="s">
        <v>12</v>
      </c>
    </row>
    <row r="608">
      <c r="A608" s="15">
        <v>44691.0</v>
      </c>
      <c r="B608" s="8" t="s">
        <v>37</v>
      </c>
      <c r="C608" s="16" t="s">
        <v>18</v>
      </c>
      <c r="D608" s="17" t="s">
        <v>14</v>
      </c>
      <c r="E608" s="18" t="s">
        <v>28</v>
      </c>
      <c r="F608" s="19">
        <v>52.21</v>
      </c>
      <c r="G608" s="17" t="s">
        <v>12</v>
      </c>
      <c r="H608" s="8" t="s">
        <v>12</v>
      </c>
    </row>
    <row r="609">
      <c r="A609" s="15">
        <v>44692.0</v>
      </c>
      <c r="B609" s="8" t="s">
        <v>37</v>
      </c>
      <c r="C609" s="16" t="s">
        <v>20</v>
      </c>
      <c r="D609" s="17" t="s">
        <v>10</v>
      </c>
      <c r="E609" s="18" t="s">
        <v>34</v>
      </c>
      <c r="F609" s="19">
        <v>128.69</v>
      </c>
      <c r="G609" s="17" t="s">
        <v>12</v>
      </c>
      <c r="H609" s="8" t="s">
        <v>12</v>
      </c>
    </row>
    <row r="610">
      <c r="A610" s="15">
        <v>44692.0</v>
      </c>
      <c r="B610" s="8" t="s">
        <v>37</v>
      </c>
      <c r="C610" s="16" t="s">
        <v>20</v>
      </c>
      <c r="D610" s="17" t="s">
        <v>14</v>
      </c>
      <c r="E610" s="18" t="s">
        <v>28</v>
      </c>
      <c r="F610" s="19">
        <v>49.07</v>
      </c>
      <c r="G610" s="17" t="s">
        <v>12</v>
      </c>
      <c r="H610" s="8" t="s">
        <v>12</v>
      </c>
    </row>
    <row r="611">
      <c r="A611" s="15">
        <v>44692.0</v>
      </c>
      <c r="B611" s="8" t="s">
        <v>37</v>
      </c>
      <c r="C611" s="16" t="s">
        <v>20</v>
      </c>
      <c r="D611" s="17" t="s">
        <v>14</v>
      </c>
      <c r="E611" s="18" t="s">
        <v>19</v>
      </c>
      <c r="F611" s="19">
        <v>35.06</v>
      </c>
      <c r="G611" s="17" t="s">
        <v>12</v>
      </c>
      <c r="H611" s="8" t="s">
        <v>12</v>
      </c>
    </row>
    <row r="612">
      <c r="A612" s="15">
        <v>44692.0</v>
      </c>
      <c r="B612" s="8" t="s">
        <v>37</v>
      </c>
      <c r="C612" s="16" t="s">
        <v>20</v>
      </c>
      <c r="D612" s="17" t="s">
        <v>14</v>
      </c>
      <c r="E612" s="18" t="s">
        <v>34</v>
      </c>
      <c r="F612" s="19">
        <v>63.09</v>
      </c>
      <c r="G612" s="17" t="s">
        <v>12</v>
      </c>
      <c r="H612" s="8" t="s">
        <v>12</v>
      </c>
    </row>
    <row r="613">
      <c r="A613" s="15">
        <v>44693.0</v>
      </c>
      <c r="B613" s="8" t="s">
        <v>37</v>
      </c>
      <c r="C613" s="16" t="s">
        <v>21</v>
      </c>
      <c r="D613" s="17" t="s">
        <v>10</v>
      </c>
      <c r="E613" s="18" t="s">
        <v>31</v>
      </c>
      <c r="F613" s="19">
        <v>112.17</v>
      </c>
      <c r="G613" s="17" t="s">
        <v>12</v>
      </c>
      <c r="H613" s="8" t="s">
        <v>12</v>
      </c>
    </row>
    <row r="614">
      <c r="A614" s="15">
        <v>44693.0</v>
      </c>
      <c r="B614" s="8" t="s">
        <v>37</v>
      </c>
      <c r="C614" s="16" t="s">
        <v>21</v>
      </c>
      <c r="D614" s="17" t="s">
        <v>14</v>
      </c>
      <c r="E614" s="18" t="s">
        <v>31</v>
      </c>
      <c r="F614" s="19">
        <v>17.28</v>
      </c>
      <c r="G614" s="17" t="s">
        <v>12</v>
      </c>
      <c r="H614" s="8" t="s">
        <v>12</v>
      </c>
    </row>
    <row r="615">
      <c r="A615" s="15">
        <v>44693.0</v>
      </c>
      <c r="B615" s="8" t="s">
        <v>37</v>
      </c>
      <c r="C615" s="16" t="s">
        <v>21</v>
      </c>
      <c r="D615" s="17" t="s">
        <v>14</v>
      </c>
      <c r="E615" s="18" t="s">
        <v>19</v>
      </c>
      <c r="F615" s="19">
        <v>77.78</v>
      </c>
      <c r="G615" s="17" t="s">
        <v>12</v>
      </c>
      <c r="H615" s="8" t="s">
        <v>12</v>
      </c>
    </row>
    <row r="616">
      <c r="A616" s="15">
        <v>44693.0</v>
      </c>
      <c r="B616" s="8" t="s">
        <v>37</v>
      </c>
      <c r="C616" s="16" t="s">
        <v>21</v>
      </c>
      <c r="D616" s="17" t="s">
        <v>14</v>
      </c>
      <c r="E616" s="18" t="s">
        <v>28</v>
      </c>
      <c r="F616" s="19">
        <v>60.49</v>
      </c>
      <c r="G616" s="17" t="s">
        <v>12</v>
      </c>
      <c r="H616" s="8" t="s">
        <v>12</v>
      </c>
    </row>
    <row r="617">
      <c r="A617" s="15">
        <v>44693.0</v>
      </c>
      <c r="B617" s="8" t="s">
        <v>37</v>
      </c>
      <c r="C617" s="16" t="s">
        <v>21</v>
      </c>
      <c r="D617" s="17" t="s">
        <v>14</v>
      </c>
      <c r="E617" s="18" t="s">
        <v>34</v>
      </c>
      <c r="F617" s="19">
        <v>60.49</v>
      </c>
      <c r="G617" s="17" t="s">
        <v>12</v>
      </c>
      <c r="H617" s="8" t="s">
        <v>12</v>
      </c>
    </row>
    <row r="618">
      <c r="A618" s="15">
        <v>44694.0</v>
      </c>
      <c r="B618" s="8" t="s">
        <v>37</v>
      </c>
      <c r="C618" s="16" t="s">
        <v>22</v>
      </c>
      <c r="D618" s="17" t="s">
        <v>10</v>
      </c>
      <c r="E618" s="18" t="s">
        <v>13</v>
      </c>
      <c r="F618" s="19">
        <v>136.45</v>
      </c>
      <c r="G618" s="17" t="s">
        <v>12</v>
      </c>
      <c r="H618" s="8" t="s">
        <v>12</v>
      </c>
    </row>
    <row r="619">
      <c r="A619" s="15">
        <v>44694.0</v>
      </c>
      <c r="B619" s="8" t="s">
        <v>37</v>
      </c>
      <c r="C619" s="16" t="s">
        <v>22</v>
      </c>
      <c r="D619" s="17" t="s">
        <v>10</v>
      </c>
      <c r="E619" s="18" t="s">
        <v>38</v>
      </c>
      <c r="F619" s="19">
        <v>0.0</v>
      </c>
      <c r="G619" s="20" t="s">
        <v>26</v>
      </c>
      <c r="H619" s="8" t="s">
        <v>12</v>
      </c>
    </row>
    <row r="620">
      <c r="A620" s="15">
        <v>44694.0</v>
      </c>
      <c r="B620" s="8" t="s">
        <v>37</v>
      </c>
      <c r="C620" s="16" t="s">
        <v>22</v>
      </c>
      <c r="D620" s="17" t="s">
        <v>14</v>
      </c>
      <c r="E620" s="18" t="s">
        <v>19</v>
      </c>
      <c r="F620" s="19">
        <v>99.55</v>
      </c>
      <c r="G620" s="17" t="s">
        <v>12</v>
      </c>
      <c r="H620" s="8" t="s">
        <v>12</v>
      </c>
    </row>
    <row r="621">
      <c r="A621" s="15">
        <v>44694.0</v>
      </c>
      <c r="B621" s="8" t="s">
        <v>37</v>
      </c>
      <c r="C621" s="16" t="s">
        <v>22</v>
      </c>
      <c r="D621" s="17" t="s">
        <v>14</v>
      </c>
      <c r="E621" s="18" t="s">
        <v>31</v>
      </c>
      <c r="F621" s="19">
        <v>99.55</v>
      </c>
      <c r="G621" s="17" t="s">
        <v>12</v>
      </c>
      <c r="H621" s="8" t="s">
        <v>12</v>
      </c>
    </row>
    <row r="622">
      <c r="A622" s="15">
        <v>44694.0</v>
      </c>
      <c r="B622" s="8" t="s">
        <v>37</v>
      </c>
      <c r="C622" s="16" t="s">
        <v>22</v>
      </c>
      <c r="D622" s="17" t="s">
        <v>14</v>
      </c>
      <c r="E622" s="18" t="s">
        <v>35</v>
      </c>
      <c r="F622" s="19">
        <v>44.25</v>
      </c>
      <c r="G622" s="17" t="s">
        <v>12</v>
      </c>
      <c r="H622" s="8" t="s">
        <v>12</v>
      </c>
    </row>
    <row r="623">
      <c r="A623" s="15">
        <v>44695.0</v>
      </c>
      <c r="B623" s="8" t="s">
        <v>37</v>
      </c>
      <c r="C623" s="16" t="s">
        <v>23</v>
      </c>
      <c r="D623" s="17" t="s">
        <v>10</v>
      </c>
      <c r="E623" s="18" t="s">
        <v>13</v>
      </c>
      <c r="F623" s="19">
        <v>48.82</v>
      </c>
      <c r="G623" s="17" t="s">
        <v>12</v>
      </c>
      <c r="H623" s="8" t="s">
        <v>12</v>
      </c>
    </row>
    <row r="624">
      <c r="A624" s="15">
        <v>44695.0</v>
      </c>
      <c r="B624" s="8" t="s">
        <v>37</v>
      </c>
      <c r="C624" s="16" t="s">
        <v>23</v>
      </c>
      <c r="D624" s="17" t="s">
        <v>10</v>
      </c>
      <c r="E624" s="18" t="s">
        <v>31</v>
      </c>
      <c r="F624" s="19">
        <v>69.75</v>
      </c>
      <c r="G624" s="17" t="s">
        <v>12</v>
      </c>
      <c r="H624" s="8" t="s">
        <v>12</v>
      </c>
    </row>
    <row r="625">
      <c r="A625" s="15">
        <v>44695.0</v>
      </c>
      <c r="B625" s="8" t="s">
        <v>37</v>
      </c>
      <c r="C625" s="16" t="s">
        <v>23</v>
      </c>
      <c r="D625" s="17" t="s">
        <v>10</v>
      </c>
      <c r="E625" s="18" t="s">
        <v>38</v>
      </c>
      <c r="F625" s="19">
        <v>69.75</v>
      </c>
      <c r="G625" s="17" t="s">
        <v>12</v>
      </c>
      <c r="H625" s="8" t="s">
        <v>12</v>
      </c>
    </row>
    <row r="626">
      <c r="A626" s="15">
        <v>44695.0</v>
      </c>
      <c r="B626" s="8" t="s">
        <v>37</v>
      </c>
      <c r="C626" s="16" t="s">
        <v>23</v>
      </c>
      <c r="D626" s="17" t="s">
        <v>14</v>
      </c>
      <c r="E626" s="18" t="s">
        <v>31</v>
      </c>
      <c r="F626" s="19">
        <v>59.66</v>
      </c>
      <c r="G626" s="17" t="s">
        <v>12</v>
      </c>
      <c r="H626" s="8" t="s">
        <v>12</v>
      </c>
    </row>
    <row r="627">
      <c r="A627" s="15">
        <v>44695.0</v>
      </c>
      <c r="B627" s="8" t="s">
        <v>37</v>
      </c>
      <c r="C627" s="16" t="s">
        <v>23</v>
      </c>
      <c r="D627" s="17" t="s">
        <v>14</v>
      </c>
      <c r="E627" s="18" t="s">
        <v>38</v>
      </c>
      <c r="F627" s="19">
        <v>59.66</v>
      </c>
      <c r="G627" s="17" t="s">
        <v>12</v>
      </c>
      <c r="H627" s="8" t="s">
        <v>12</v>
      </c>
    </row>
    <row r="628">
      <c r="A628" s="15">
        <v>44695.0</v>
      </c>
      <c r="B628" s="8" t="s">
        <v>37</v>
      </c>
      <c r="C628" s="16" t="s">
        <v>23</v>
      </c>
      <c r="D628" s="17" t="s">
        <v>14</v>
      </c>
      <c r="E628" s="18" t="s">
        <v>19</v>
      </c>
      <c r="F628" s="19">
        <v>59.66</v>
      </c>
      <c r="G628" s="17" t="s">
        <v>12</v>
      </c>
      <c r="H628" s="8" t="s">
        <v>12</v>
      </c>
    </row>
    <row r="629">
      <c r="A629" s="15">
        <v>44695.0</v>
      </c>
      <c r="B629" s="8" t="s">
        <v>37</v>
      </c>
      <c r="C629" s="16" t="s">
        <v>23</v>
      </c>
      <c r="D629" s="17" t="s">
        <v>14</v>
      </c>
      <c r="E629" s="18" t="s">
        <v>35</v>
      </c>
      <c r="F629" s="19">
        <v>33.15</v>
      </c>
      <c r="G629" s="17" t="s">
        <v>12</v>
      </c>
      <c r="H629" s="8" t="s">
        <v>12</v>
      </c>
    </row>
    <row r="630">
      <c r="A630" s="15">
        <v>44696.0</v>
      </c>
      <c r="B630" s="8" t="s">
        <v>37</v>
      </c>
      <c r="C630" s="16" t="s">
        <v>9</v>
      </c>
      <c r="D630" s="17" t="s">
        <v>10</v>
      </c>
      <c r="E630" s="18" t="s">
        <v>13</v>
      </c>
      <c r="F630" s="19">
        <v>53.9</v>
      </c>
      <c r="G630" s="17" t="s">
        <v>12</v>
      </c>
      <c r="H630" s="8" t="s">
        <v>12</v>
      </c>
    </row>
    <row r="631">
      <c r="A631" s="15">
        <v>44696.0</v>
      </c>
      <c r="B631" s="8" t="s">
        <v>37</v>
      </c>
      <c r="C631" s="16" t="s">
        <v>9</v>
      </c>
      <c r="D631" s="17" t="s">
        <v>10</v>
      </c>
      <c r="E631" s="18" t="s">
        <v>31</v>
      </c>
      <c r="F631" s="19">
        <v>75.47</v>
      </c>
      <c r="G631" s="17" t="s">
        <v>12</v>
      </c>
      <c r="H631" s="8" t="s">
        <v>12</v>
      </c>
    </row>
    <row r="632">
      <c r="A632" s="15">
        <v>44696.0</v>
      </c>
      <c r="B632" s="8" t="s">
        <v>37</v>
      </c>
      <c r="C632" s="16" t="s">
        <v>9</v>
      </c>
      <c r="D632" s="17" t="s">
        <v>10</v>
      </c>
      <c r="E632" s="18" t="s">
        <v>19</v>
      </c>
      <c r="F632" s="19">
        <v>53.9</v>
      </c>
      <c r="G632" s="17" t="s">
        <v>12</v>
      </c>
      <c r="H632" s="8" t="s">
        <v>12</v>
      </c>
    </row>
    <row r="633">
      <c r="A633" s="15">
        <v>44696.0</v>
      </c>
      <c r="B633" s="8" t="s">
        <v>37</v>
      </c>
      <c r="C633" s="16" t="s">
        <v>9</v>
      </c>
      <c r="D633" s="17" t="s">
        <v>10</v>
      </c>
      <c r="E633" s="18" t="s">
        <v>35</v>
      </c>
      <c r="F633" s="19">
        <v>37.73</v>
      </c>
      <c r="G633" s="17" t="s">
        <v>12</v>
      </c>
      <c r="H633" s="8" t="s">
        <v>12</v>
      </c>
    </row>
    <row r="634">
      <c r="A634" s="15">
        <v>44696.0</v>
      </c>
      <c r="B634" s="8" t="s">
        <v>37</v>
      </c>
      <c r="C634" s="16" t="s">
        <v>9</v>
      </c>
      <c r="D634" s="17" t="s">
        <v>14</v>
      </c>
      <c r="E634" s="18" t="s">
        <v>31</v>
      </c>
      <c r="F634" s="19">
        <v>30.14</v>
      </c>
      <c r="G634" s="17" t="s">
        <v>12</v>
      </c>
      <c r="H634" s="8" t="s">
        <v>12</v>
      </c>
    </row>
    <row r="635">
      <c r="A635" s="15">
        <v>44696.0</v>
      </c>
      <c r="B635" s="8" t="s">
        <v>37</v>
      </c>
      <c r="C635" s="16" t="s">
        <v>9</v>
      </c>
      <c r="D635" s="17" t="s">
        <v>14</v>
      </c>
      <c r="E635" s="18" t="s">
        <v>38</v>
      </c>
      <c r="F635" s="19">
        <v>16.44</v>
      </c>
      <c r="G635" s="17" t="s">
        <v>12</v>
      </c>
      <c r="H635" s="8" t="s">
        <v>12</v>
      </c>
    </row>
    <row r="636">
      <c r="A636" s="15">
        <v>44696.0</v>
      </c>
      <c r="B636" s="8" t="s">
        <v>37</v>
      </c>
      <c r="C636" s="16" t="s">
        <v>9</v>
      </c>
      <c r="D636" s="17" t="s">
        <v>14</v>
      </c>
      <c r="E636" s="18" t="s">
        <v>36</v>
      </c>
      <c r="F636" s="19">
        <v>19.18</v>
      </c>
      <c r="G636" s="17" t="s">
        <v>12</v>
      </c>
      <c r="H636" s="8" t="s">
        <v>12</v>
      </c>
    </row>
    <row r="637">
      <c r="A637" s="15">
        <v>44697.0</v>
      </c>
      <c r="B637" s="8" t="s">
        <v>37</v>
      </c>
      <c r="C637" s="16" t="s">
        <v>16</v>
      </c>
      <c r="D637" s="17" t="s">
        <v>10</v>
      </c>
      <c r="E637" s="18" t="s">
        <v>19</v>
      </c>
      <c r="F637" s="19">
        <v>97.93</v>
      </c>
      <c r="G637" s="17" t="s">
        <v>12</v>
      </c>
      <c r="H637" s="8" t="s">
        <v>12</v>
      </c>
    </row>
    <row r="638">
      <c r="A638" s="15">
        <v>44697.0</v>
      </c>
      <c r="B638" s="8" t="s">
        <v>37</v>
      </c>
      <c r="C638" s="16" t="s">
        <v>16</v>
      </c>
      <c r="D638" s="17" t="s">
        <v>14</v>
      </c>
      <c r="E638" s="18" t="s">
        <v>34</v>
      </c>
      <c r="F638" s="19">
        <v>132.09</v>
      </c>
      <c r="G638" s="17" t="s">
        <v>12</v>
      </c>
      <c r="H638" s="8" t="s">
        <v>12</v>
      </c>
    </row>
    <row r="639">
      <c r="A639" s="15">
        <v>44697.0</v>
      </c>
      <c r="B639" s="8" t="s">
        <v>37</v>
      </c>
      <c r="C639" s="16" t="s">
        <v>16</v>
      </c>
      <c r="D639" s="17" t="s">
        <v>14</v>
      </c>
      <c r="E639" s="18" t="s">
        <v>28</v>
      </c>
      <c r="F639" s="19">
        <v>102.76</v>
      </c>
      <c r="G639" s="17" t="s">
        <v>12</v>
      </c>
      <c r="H639" s="8" t="s">
        <v>12</v>
      </c>
    </row>
    <row r="640">
      <c r="A640" s="15">
        <v>44698.0</v>
      </c>
      <c r="B640" s="8" t="s">
        <v>37</v>
      </c>
      <c r="C640" s="16" t="s">
        <v>18</v>
      </c>
      <c r="D640" s="17" t="s">
        <v>10</v>
      </c>
      <c r="E640" s="18" t="s">
        <v>34</v>
      </c>
      <c r="F640" s="19">
        <v>134.11</v>
      </c>
      <c r="G640" s="17" t="s">
        <v>12</v>
      </c>
      <c r="H640" s="8" t="s">
        <v>12</v>
      </c>
    </row>
    <row r="641">
      <c r="A641" s="15">
        <v>44698.0</v>
      </c>
      <c r="B641" s="8" t="s">
        <v>37</v>
      </c>
      <c r="C641" s="16" t="s">
        <v>18</v>
      </c>
      <c r="D641" s="17" t="s">
        <v>14</v>
      </c>
      <c r="E641" s="18" t="s">
        <v>19</v>
      </c>
      <c r="F641" s="19">
        <v>41.31</v>
      </c>
      <c r="G641" s="17" t="s">
        <v>12</v>
      </c>
      <c r="H641" s="8" t="s">
        <v>12</v>
      </c>
    </row>
    <row r="642">
      <c r="A642" s="15">
        <v>44698.0</v>
      </c>
      <c r="B642" s="8" t="s">
        <v>37</v>
      </c>
      <c r="C642" s="16" t="s">
        <v>18</v>
      </c>
      <c r="D642" s="17" t="s">
        <v>14</v>
      </c>
      <c r="E642" s="18" t="s">
        <v>38</v>
      </c>
      <c r="F642" s="19">
        <v>41.31</v>
      </c>
      <c r="G642" s="17" t="s">
        <v>12</v>
      </c>
      <c r="H642" s="8" t="s">
        <v>12</v>
      </c>
    </row>
    <row r="643">
      <c r="A643" s="15">
        <v>44698.0</v>
      </c>
      <c r="B643" s="8" t="s">
        <v>37</v>
      </c>
      <c r="C643" s="16" t="s">
        <v>18</v>
      </c>
      <c r="D643" s="17" t="s">
        <v>14</v>
      </c>
      <c r="E643" s="18" t="s">
        <v>28</v>
      </c>
      <c r="F643" s="19">
        <v>32.13</v>
      </c>
      <c r="G643" s="17" t="s">
        <v>12</v>
      </c>
      <c r="H643" s="8" t="s">
        <v>12</v>
      </c>
    </row>
    <row r="644">
      <c r="A644" s="15">
        <v>44699.0</v>
      </c>
      <c r="B644" s="8" t="s">
        <v>37</v>
      </c>
      <c r="C644" s="16" t="s">
        <v>20</v>
      </c>
      <c r="D644" s="17" t="s">
        <v>10</v>
      </c>
      <c r="E644" s="18" t="s">
        <v>34</v>
      </c>
      <c r="F644" s="19">
        <v>112.96</v>
      </c>
      <c r="G644" s="17" t="s">
        <v>12</v>
      </c>
      <c r="H644" s="8" t="s">
        <v>12</v>
      </c>
    </row>
    <row r="645">
      <c r="A645" s="15">
        <v>44699.0</v>
      </c>
      <c r="B645" s="8" t="s">
        <v>37</v>
      </c>
      <c r="C645" s="16" t="s">
        <v>20</v>
      </c>
      <c r="D645" s="17" t="s">
        <v>14</v>
      </c>
      <c r="E645" s="18" t="s">
        <v>34</v>
      </c>
      <c r="F645" s="19">
        <v>47.83</v>
      </c>
      <c r="G645" s="17" t="s">
        <v>12</v>
      </c>
      <c r="H645" s="8" t="s">
        <v>12</v>
      </c>
    </row>
    <row r="646">
      <c r="A646" s="15">
        <v>44699.0</v>
      </c>
      <c r="B646" s="8" t="s">
        <v>37</v>
      </c>
      <c r="C646" s="16" t="s">
        <v>20</v>
      </c>
      <c r="D646" s="17" t="s">
        <v>14</v>
      </c>
      <c r="E646" s="18" t="s">
        <v>35</v>
      </c>
      <c r="F646" s="19">
        <v>21.26</v>
      </c>
      <c r="G646" s="17" t="s">
        <v>12</v>
      </c>
      <c r="H646" s="8" t="s">
        <v>12</v>
      </c>
    </row>
    <row r="647">
      <c r="A647" s="15">
        <v>44699.0</v>
      </c>
      <c r="B647" s="8" t="s">
        <v>37</v>
      </c>
      <c r="C647" s="16" t="s">
        <v>20</v>
      </c>
      <c r="D647" s="17" t="s">
        <v>14</v>
      </c>
      <c r="E647" s="18" t="s">
        <v>38</v>
      </c>
      <c r="F647" s="19">
        <v>47.84</v>
      </c>
      <c r="G647" s="17" t="s">
        <v>12</v>
      </c>
      <c r="H647" s="8" t="s">
        <v>12</v>
      </c>
    </row>
    <row r="648">
      <c r="A648" s="15">
        <v>44700.0</v>
      </c>
      <c r="B648" s="8" t="s">
        <v>37</v>
      </c>
      <c r="C648" s="16" t="s">
        <v>21</v>
      </c>
      <c r="D648" s="17" t="s">
        <v>10</v>
      </c>
      <c r="E648" s="18" t="s">
        <v>31</v>
      </c>
      <c r="F648" s="19">
        <v>66.38</v>
      </c>
      <c r="G648" s="17" t="s">
        <v>12</v>
      </c>
      <c r="H648" s="8" t="s">
        <v>12</v>
      </c>
    </row>
    <row r="649">
      <c r="A649" s="15">
        <v>44700.0</v>
      </c>
      <c r="B649" s="8" t="s">
        <v>37</v>
      </c>
      <c r="C649" s="16" t="s">
        <v>21</v>
      </c>
      <c r="D649" s="17" t="s">
        <v>14</v>
      </c>
      <c r="E649" s="18" t="s">
        <v>31</v>
      </c>
      <c r="F649" s="19">
        <v>64.68</v>
      </c>
      <c r="G649" s="17" t="s">
        <v>12</v>
      </c>
      <c r="H649" s="8" t="s">
        <v>12</v>
      </c>
    </row>
    <row r="650">
      <c r="A650" s="15">
        <v>44700.0</v>
      </c>
      <c r="B650" s="8" t="s">
        <v>37</v>
      </c>
      <c r="C650" s="16" t="s">
        <v>21</v>
      </c>
      <c r="D650" s="17" t="s">
        <v>14</v>
      </c>
      <c r="E650" s="18" t="s">
        <v>34</v>
      </c>
      <c r="F650" s="19">
        <v>64.67</v>
      </c>
      <c r="G650" s="17" t="s">
        <v>12</v>
      </c>
      <c r="H650" s="8" t="s">
        <v>12</v>
      </c>
    </row>
    <row r="651">
      <c r="A651" s="15">
        <v>44700.0</v>
      </c>
      <c r="B651" s="8" t="s">
        <v>37</v>
      </c>
      <c r="C651" s="16" t="s">
        <v>21</v>
      </c>
      <c r="D651" s="17" t="s">
        <v>14</v>
      </c>
      <c r="E651" s="18" t="s">
        <v>38</v>
      </c>
      <c r="F651" s="19">
        <v>43.11</v>
      </c>
      <c r="G651" s="17" t="s">
        <v>12</v>
      </c>
      <c r="H651" s="8" t="s">
        <v>12</v>
      </c>
    </row>
    <row r="652">
      <c r="A652" s="15">
        <v>44701.0</v>
      </c>
      <c r="B652" s="8" t="s">
        <v>37</v>
      </c>
      <c r="C652" s="16" t="s">
        <v>22</v>
      </c>
      <c r="D652" s="17" t="s">
        <v>10</v>
      </c>
      <c r="E652" s="18" t="s">
        <v>13</v>
      </c>
      <c r="F652" s="19">
        <v>42.57</v>
      </c>
      <c r="G652" s="17" t="s">
        <v>12</v>
      </c>
      <c r="H652" s="8" t="s">
        <v>12</v>
      </c>
    </row>
    <row r="653">
      <c r="A653" s="15">
        <v>44701.0</v>
      </c>
      <c r="B653" s="8" t="s">
        <v>37</v>
      </c>
      <c r="C653" s="16" t="s">
        <v>22</v>
      </c>
      <c r="D653" s="17" t="s">
        <v>10</v>
      </c>
      <c r="E653" s="18" t="s">
        <v>38</v>
      </c>
      <c r="F653" s="19">
        <v>33.1</v>
      </c>
      <c r="G653" s="17" t="s">
        <v>12</v>
      </c>
      <c r="H653" s="8" t="s">
        <v>12</v>
      </c>
    </row>
    <row r="654">
      <c r="A654" s="15">
        <v>44701.0</v>
      </c>
      <c r="B654" s="8" t="s">
        <v>37</v>
      </c>
      <c r="C654" s="16" t="s">
        <v>22</v>
      </c>
      <c r="D654" s="17" t="s">
        <v>14</v>
      </c>
      <c r="E654" s="18" t="s">
        <v>13</v>
      </c>
      <c r="F654" s="19">
        <v>43.34</v>
      </c>
      <c r="G654" s="17" t="s">
        <v>12</v>
      </c>
      <c r="H654" s="8" t="s">
        <v>12</v>
      </c>
    </row>
    <row r="655">
      <c r="A655" s="15">
        <v>44701.0</v>
      </c>
      <c r="B655" s="8" t="s">
        <v>37</v>
      </c>
      <c r="C655" s="16" t="s">
        <v>22</v>
      </c>
      <c r="D655" s="17" t="s">
        <v>14</v>
      </c>
      <c r="E655" s="18" t="s">
        <v>31</v>
      </c>
      <c r="F655" s="19">
        <v>33.72</v>
      </c>
      <c r="G655" s="17" t="s">
        <v>12</v>
      </c>
      <c r="H655" s="8" t="s">
        <v>12</v>
      </c>
    </row>
    <row r="656">
      <c r="A656" s="15">
        <v>44701.0</v>
      </c>
      <c r="B656" s="8" t="s">
        <v>37</v>
      </c>
      <c r="C656" s="16" t="s">
        <v>22</v>
      </c>
      <c r="D656" s="17" t="s">
        <v>14</v>
      </c>
      <c r="E656" s="18" t="s">
        <v>28</v>
      </c>
      <c r="F656" s="19">
        <v>33.73</v>
      </c>
      <c r="G656" s="17" t="s">
        <v>12</v>
      </c>
      <c r="H656" s="8" t="s">
        <v>12</v>
      </c>
    </row>
    <row r="657">
      <c r="A657" s="15">
        <v>44702.0</v>
      </c>
      <c r="B657" s="8" t="s">
        <v>37</v>
      </c>
      <c r="C657" s="16" t="s">
        <v>23</v>
      </c>
      <c r="D657" s="17" t="s">
        <v>10</v>
      </c>
      <c r="E657" s="18" t="s">
        <v>13</v>
      </c>
      <c r="F657" s="19">
        <v>97.65</v>
      </c>
      <c r="G657" s="17" t="s">
        <v>12</v>
      </c>
      <c r="H657" s="8" t="s">
        <v>12</v>
      </c>
    </row>
    <row r="658">
      <c r="A658" s="15">
        <v>44702.0</v>
      </c>
      <c r="B658" s="8" t="s">
        <v>37</v>
      </c>
      <c r="C658" s="16" t="s">
        <v>23</v>
      </c>
      <c r="D658" s="17" t="s">
        <v>10</v>
      </c>
      <c r="E658" s="18" t="s">
        <v>31</v>
      </c>
      <c r="F658" s="19">
        <v>69.75</v>
      </c>
      <c r="G658" s="17" t="s">
        <v>12</v>
      </c>
      <c r="H658" s="8" t="s">
        <v>12</v>
      </c>
    </row>
    <row r="659">
      <c r="A659" s="15">
        <v>44702.0</v>
      </c>
      <c r="B659" s="8" t="s">
        <v>37</v>
      </c>
      <c r="C659" s="16" t="s">
        <v>23</v>
      </c>
      <c r="D659" s="17" t="s">
        <v>10</v>
      </c>
      <c r="E659" s="18" t="s">
        <v>38</v>
      </c>
      <c r="F659" s="19">
        <v>52.36</v>
      </c>
      <c r="G659" s="17" t="s">
        <v>12</v>
      </c>
      <c r="H659" s="8" t="s">
        <v>12</v>
      </c>
    </row>
    <row r="660">
      <c r="A660" s="15">
        <v>44702.0</v>
      </c>
      <c r="B660" s="8" t="s">
        <v>37</v>
      </c>
      <c r="C660" s="16" t="s">
        <v>23</v>
      </c>
      <c r="D660" s="17" t="s">
        <v>14</v>
      </c>
      <c r="E660" s="18" t="s">
        <v>31</v>
      </c>
      <c r="F660" s="19">
        <v>60.26</v>
      </c>
      <c r="G660" s="17" t="s">
        <v>12</v>
      </c>
      <c r="H660" s="8" t="s">
        <v>12</v>
      </c>
    </row>
    <row r="661">
      <c r="A661" s="15">
        <v>44702.0</v>
      </c>
      <c r="B661" s="8" t="s">
        <v>37</v>
      </c>
      <c r="C661" s="16" t="s">
        <v>23</v>
      </c>
      <c r="D661" s="17" t="s">
        <v>14</v>
      </c>
      <c r="E661" s="18" t="s">
        <v>34</v>
      </c>
      <c r="F661" s="19">
        <v>60.26</v>
      </c>
      <c r="G661" s="17" t="s">
        <v>12</v>
      </c>
      <c r="H661" s="8" t="s">
        <v>12</v>
      </c>
    </row>
    <row r="662">
      <c r="A662" s="15">
        <v>44702.0</v>
      </c>
      <c r="B662" s="8" t="s">
        <v>37</v>
      </c>
      <c r="C662" s="16" t="s">
        <v>23</v>
      </c>
      <c r="D662" s="17" t="s">
        <v>14</v>
      </c>
      <c r="E662" s="18" t="s">
        <v>28</v>
      </c>
      <c r="F662" s="19">
        <v>45.71</v>
      </c>
      <c r="G662" s="17" t="s">
        <v>12</v>
      </c>
      <c r="H662" s="8" t="s">
        <v>12</v>
      </c>
    </row>
    <row r="663">
      <c r="A663" s="15">
        <v>44703.0</v>
      </c>
      <c r="B663" s="8" t="s">
        <v>37</v>
      </c>
      <c r="C663" s="16" t="s">
        <v>9</v>
      </c>
      <c r="D663" s="17" t="s">
        <v>10</v>
      </c>
      <c r="E663" s="18" t="s">
        <v>31</v>
      </c>
      <c r="F663" s="19">
        <v>104.12</v>
      </c>
      <c r="G663" s="17" t="s">
        <v>12</v>
      </c>
      <c r="H663" s="8" t="s">
        <v>12</v>
      </c>
    </row>
    <row r="664">
      <c r="A664" s="15">
        <v>44703.0</v>
      </c>
      <c r="B664" s="8" t="s">
        <v>37</v>
      </c>
      <c r="C664" s="16" t="s">
        <v>9</v>
      </c>
      <c r="D664" s="17" t="s">
        <v>10</v>
      </c>
      <c r="E664" s="18" t="s">
        <v>13</v>
      </c>
      <c r="F664" s="19">
        <v>94.65</v>
      </c>
      <c r="G664" s="17" t="s">
        <v>12</v>
      </c>
      <c r="H664" s="8" t="s">
        <v>12</v>
      </c>
    </row>
    <row r="665">
      <c r="A665" s="15">
        <v>44703.0</v>
      </c>
      <c r="B665" s="8" t="s">
        <v>37</v>
      </c>
      <c r="C665" s="16" t="s">
        <v>9</v>
      </c>
      <c r="D665" s="17" t="s">
        <v>10</v>
      </c>
      <c r="E665" s="18" t="s">
        <v>38</v>
      </c>
      <c r="F665" s="19">
        <v>70.96</v>
      </c>
      <c r="G665" s="17" t="s">
        <v>12</v>
      </c>
      <c r="H665" s="8" t="s">
        <v>12</v>
      </c>
    </row>
    <row r="666">
      <c r="A666" s="15">
        <v>44703.0</v>
      </c>
      <c r="B666" s="8" t="s">
        <v>37</v>
      </c>
      <c r="C666" s="16" t="s">
        <v>9</v>
      </c>
      <c r="D666" s="17" t="s">
        <v>14</v>
      </c>
      <c r="E666" s="18" t="s">
        <v>13</v>
      </c>
      <c r="F666" s="19">
        <v>51.84</v>
      </c>
      <c r="G666" s="17" t="s">
        <v>12</v>
      </c>
      <c r="H666" s="8" t="s">
        <v>12</v>
      </c>
    </row>
    <row r="667">
      <c r="A667" s="15">
        <v>44703.0</v>
      </c>
      <c r="B667" s="8" t="s">
        <v>37</v>
      </c>
      <c r="C667" s="16" t="s">
        <v>9</v>
      </c>
      <c r="D667" s="17" t="s">
        <v>14</v>
      </c>
      <c r="E667" s="18" t="s">
        <v>31</v>
      </c>
      <c r="F667" s="19">
        <v>66.64</v>
      </c>
      <c r="G667" s="17" t="s">
        <v>12</v>
      </c>
      <c r="H667" s="8" t="s">
        <v>12</v>
      </c>
    </row>
    <row r="668">
      <c r="A668" s="15">
        <v>44703.0</v>
      </c>
      <c r="B668" s="8" t="s">
        <v>37</v>
      </c>
      <c r="C668" s="16" t="s">
        <v>9</v>
      </c>
      <c r="D668" s="17" t="s">
        <v>14</v>
      </c>
      <c r="E668" s="18" t="s">
        <v>35</v>
      </c>
      <c r="F668" s="19">
        <v>66.64</v>
      </c>
      <c r="G668" s="17" t="s">
        <v>12</v>
      </c>
      <c r="H668" s="8" t="s">
        <v>12</v>
      </c>
    </row>
    <row r="669">
      <c r="A669" s="15">
        <v>44704.0</v>
      </c>
      <c r="B669" s="8" t="s">
        <v>37</v>
      </c>
      <c r="C669" s="16" t="s">
        <v>16</v>
      </c>
      <c r="D669" s="17" t="s">
        <v>10</v>
      </c>
      <c r="E669" s="18" t="s">
        <v>34</v>
      </c>
      <c r="F669" s="19">
        <v>78.63</v>
      </c>
      <c r="G669" s="17" t="s">
        <v>12</v>
      </c>
      <c r="H669" s="8" t="s">
        <v>12</v>
      </c>
    </row>
    <row r="670">
      <c r="A670" s="15">
        <v>44704.0</v>
      </c>
      <c r="B670" s="8" t="s">
        <v>37</v>
      </c>
      <c r="C670" s="16" t="s">
        <v>16</v>
      </c>
      <c r="D670" s="17" t="s">
        <v>14</v>
      </c>
      <c r="E670" s="18" t="s">
        <v>34</v>
      </c>
      <c r="F670" s="19">
        <v>52.12</v>
      </c>
      <c r="G670" s="17" t="s">
        <v>12</v>
      </c>
      <c r="H670" s="8" t="s">
        <v>12</v>
      </c>
    </row>
    <row r="671">
      <c r="A671" s="15">
        <v>44704.0</v>
      </c>
      <c r="B671" s="8" t="s">
        <v>37</v>
      </c>
      <c r="C671" s="16" t="s">
        <v>16</v>
      </c>
      <c r="D671" s="17" t="s">
        <v>14</v>
      </c>
      <c r="E671" s="18" t="s">
        <v>28</v>
      </c>
      <c r="F671" s="19">
        <v>41.3</v>
      </c>
      <c r="G671" s="17" t="s">
        <v>12</v>
      </c>
      <c r="H671" s="8" t="s">
        <v>12</v>
      </c>
    </row>
    <row r="672">
      <c r="A672" s="15">
        <v>44704.0</v>
      </c>
      <c r="B672" s="8" t="s">
        <v>37</v>
      </c>
      <c r="C672" s="16" t="s">
        <v>16</v>
      </c>
      <c r="D672" s="17" t="s">
        <v>14</v>
      </c>
      <c r="E672" s="18" t="s">
        <v>38</v>
      </c>
      <c r="F672" s="19">
        <v>53.12</v>
      </c>
      <c r="G672" s="17" t="s">
        <v>12</v>
      </c>
      <c r="H672" s="8" t="s">
        <v>12</v>
      </c>
    </row>
    <row r="673">
      <c r="A673" s="15">
        <v>44705.0</v>
      </c>
      <c r="B673" s="8" t="s">
        <v>37</v>
      </c>
      <c r="C673" s="16" t="s">
        <v>18</v>
      </c>
      <c r="D673" s="17" t="s">
        <v>10</v>
      </c>
      <c r="E673" s="18" t="s">
        <v>34</v>
      </c>
      <c r="F673" s="19">
        <v>99.84</v>
      </c>
      <c r="G673" s="17" t="s">
        <v>12</v>
      </c>
      <c r="H673" s="8" t="s">
        <v>12</v>
      </c>
    </row>
    <row r="674">
      <c r="A674" s="15">
        <v>44705.0</v>
      </c>
      <c r="B674" s="8" t="s">
        <v>37</v>
      </c>
      <c r="C674" s="16" t="s">
        <v>18</v>
      </c>
      <c r="D674" s="17" t="s">
        <v>14</v>
      </c>
      <c r="E674" s="18" t="s">
        <v>34</v>
      </c>
      <c r="F674" s="19">
        <v>77.62</v>
      </c>
      <c r="G674" s="17" t="s">
        <v>12</v>
      </c>
      <c r="H674" s="8" t="s">
        <v>12</v>
      </c>
    </row>
    <row r="675">
      <c r="A675" s="15">
        <v>44705.0</v>
      </c>
      <c r="B675" s="8" t="s">
        <v>37</v>
      </c>
      <c r="C675" s="16" t="s">
        <v>18</v>
      </c>
      <c r="D675" s="17" t="s">
        <v>14</v>
      </c>
      <c r="E675" s="18" t="s">
        <v>19</v>
      </c>
      <c r="F675" s="19">
        <v>77.62</v>
      </c>
      <c r="G675" s="17" t="s">
        <v>12</v>
      </c>
      <c r="H675" s="8" t="s">
        <v>12</v>
      </c>
    </row>
    <row r="676">
      <c r="A676" s="15">
        <v>44706.0</v>
      </c>
      <c r="B676" s="8" t="s">
        <v>37</v>
      </c>
      <c r="C676" s="16" t="s">
        <v>20</v>
      </c>
      <c r="D676" s="17" t="s">
        <v>10</v>
      </c>
      <c r="E676" s="18" t="s">
        <v>34</v>
      </c>
      <c r="F676" s="19">
        <v>72.65</v>
      </c>
      <c r="G676" s="17" t="s">
        <v>12</v>
      </c>
      <c r="H676" s="8" t="s">
        <v>12</v>
      </c>
    </row>
    <row r="677">
      <c r="A677" s="15">
        <v>44706.0</v>
      </c>
      <c r="B677" s="8" t="s">
        <v>37</v>
      </c>
      <c r="C677" s="16" t="s">
        <v>20</v>
      </c>
      <c r="D677" s="17" t="s">
        <v>14</v>
      </c>
      <c r="E677" s="18" t="s">
        <v>19</v>
      </c>
      <c r="F677" s="19">
        <v>65.82</v>
      </c>
      <c r="G677" s="17" t="s">
        <v>12</v>
      </c>
      <c r="H677" s="8" t="s">
        <v>12</v>
      </c>
    </row>
    <row r="678">
      <c r="A678" s="15">
        <v>44706.0</v>
      </c>
      <c r="B678" s="8" t="s">
        <v>37</v>
      </c>
      <c r="C678" s="16" t="s">
        <v>20</v>
      </c>
      <c r="D678" s="17" t="s">
        <v>14</v>
      </c>
      <c r="E678" s="18" t="s">
        <v>38</v>
      </c>
      <c r="F678" s="19">
        <v>58.51</v>
      </c>
      <c r="G678" s="17" t="s">
        <v>12</v>
      </c>
      <c r="H678" s="8" t="s">
        <v>12</v>
      </c>
    </row>
    <row r="679">
      <c r="A679" s="15">
        <v>44706.0</v>
      </c>
      <c r="B679" s="8" t="s">
        <v>37</v>
      </c>
      <c r="C679" s="16" t="s">
        <v>20</v>
      </c>
      <c r="D679" s="17" t="s">
        <v>14</v>
      </c>
      <c r="E679" s="18" t="s">
        <v>28</v>
      </c>
      <c r="F679" s="19">
        <v>51.19</v>
      </c>
      <c r="G679" s="17" t="s">
        <v>12</v>
      </c>
      <c r="H679" s="8" t="s">
        <v>12</v>
      </c>
    </row>
    <row r="680">
      <c r="A680" s="15">
        <v>44707.0</v>
      </c>
      <c r="B680" s="8" t="s">
        <v>37</v>
      </c>
      <c r="C680" s="16" t="s">
        <v>21</v>
      </c>
      <c r="D680" s="17" t="s">
        <v>10</v>
      </c>
      <c r="E680" s="18" t="s">
        <v>31</v>
      </c>
      <c r="F680" s="19">
        <v>68.85</v>
      </c>
      <c r="G680" s="17" t="s">
        <v>12</v>
      </c>
      <c r="H680" s="8" t="s">
        <v>12</v>
      </c>
    </row>
    <row r="681">
      <c r="A681" s="15">
        <v>44707.0</v>
      </c>
      <c r="B681" s="8" t="s">
        <v>37</v>
      </c>
      <c r="C681" s="16" t="s">
        <v>21</v>
      </c>
      <c r="D681" s="17" t="s">
        <v>14</v>
      </c>
      <c r="E681" s="18" t="s">
        <v>34</v>
      </c>
      <c r="F681" s="19">
        <v>51.17</v>
      </c>
      <c r="G681" s="17" t="s">
        <v>12</v>
      </c>
      <c r="H681" s="8" t="s">
        <v>12</v>
      </c>
    </row>
    <row r="682">
      <c r="A682" s="15">
        <v>44707.0</v>
      </c>
      <c r="B682" s="8" t="s">
        <v>37</v>
      </c>
      <c r="C682" s="16" t="s">
        <v>21</v>
      </c>
      <c r="D682" s="17" t="s">
        <v>14</v>
      </c>
      <c r="E682" s="18" t="s">
        <v>38</v>
      </c>
      <c r="F682" s="19">
        <v>76.77</v>
      </c>
      <c r="G682" s="17" t="s">
        <v>12</v>
      </c>
      <c r="H682" s="8" t="s">
        <v>12</v>
      </c>
    </row>
    <row r="683">
      <c r="A683" s="15">
        <v>44707.0</v>
      </c>
      <c r="B683" s="8" t="s">
        <v>37</v>
      </c>
      <c r="C683" s="16" t="s">
        <v>21</v>
      </c>
      <c r="D683" s="17" t="s">
        <v>14</v>
      </c>
      <c r="E683" s="18" t="s">
        <v>28</v>
      </c>
      <c r="F683" s="19">
        <v>59.71</v>
      </c>
      <c r="G683" s="17" t="s">
        <v>12</v>
      </c>
      <c r="H683" s="8" t="s">
        <v>12</v>
      </c>
    </row>
    <row r="684">
      <c r="A684" s="15">
        <v>44708.0</v>
      </c>
      <c r="B684" s="8" t="s">
        <v>37</v>
      </c>
      <c r="C684" s="16" t="s">
        <v>22</v>
      </c>
      <c r="D684" s="17" t="s">
        <v>10</v>
      </c>
      <c r="E684" s="18" t="s">
        <v>13</v>
      </c>
      <c r="F684" s="19">
        <v>62.26</v>
      </c>
      <c r="G684" s="17" t="s">
        <v>12</v>
      </c>
      <c r="H684" s="8" t="s">
        <v>12</v>
      </c>
    </row>
    <row r="685">
      <c r="A685" s="15">
        <v>44708.0</v>
      </c>
      <c r="B685" s="8" t="s">
        <v>37</v>
      </c>
      <c r="C685" s="16" t="s">
        <v>22</v>
      </c>
      <c r="D685" s="17" t="s">
        <v>10</v>
      </c>
      <c r="E685" s="18" t="s">
        <v>38</v>
      </c>
      <c r="F685" s="19">
        <v>53.36</v>
      </c>
      <c r="G685" s="17" t="s">
        <v>12</v>
      </c>
      <c r="H685" s="8" t="s">
        <v>12</v>
      </c>
    </row>
    <row r="686">
      <c r="A686" s="15">
        <v>44708.0</v>
      </c>
      <c r="B686" s="8" t="s">
        <v>37</v>
      </c>
      <c r="C686" s="16" t="s">
        <v>22</v>
      </c>
      <c r="D686" s="17" t="s">
        <v>14</v>
      </c>
      <c r="E686" s="18" t="s">
        <v>19</v>
      </c>
      <c r="F686" s="19">
        <v>68.25</v>
      </c>
      <c r="G686" s="17" t="s">
        <v>12</v>
      </c>
      <c r="H686" s="8" t="s">
        <v>12</v>
      </c>
    </row>
    <row r="687">
      <c r="A687" s="15">
        <v>44708.0</v>
      </c>
      <c r="B687" s="8" t="s">
        <v>37</v>
      </c>
      <c r="C687" s="16" t="s">
        <v>22</v>
      </c>
      <c r="D687" s="17" t="s">
        <v>14</v>
      </c>
      <c r="E687" s="18" t="s">
        <v>31</v>
      </c>
      <c r="F687" s="19">
        <v>76.79</v>
      </c>
      <c r="G687" s="17" t="s">
        <v>12</v>
      </c>
      <c r="H687" s="8" t="s">
        <v>12</v>
      </c>
    </row>
    <row r="688">
      <c r="A688" s="15">
        <v>44708.0</v>
      </c>
      <c r="B688" s="8" t="s">
        <v>37</v>
      </c>
      <c r="C688" s="16" t="s">
        <v>22</v>
      </c>
      <c r="D688" s="17" t="s">
        <v>14</v>
      </c>
      <c r="E688" s="18" t="s">
        <v>28</v>
      </c>
      <c r="F688" s="19">
        <v>59.72</v>
      </c>
      <c r="G688" s="17" t="s">
        <v>12</v>
      </c>
      <c r="H688" s="8" t="s">
        <v>12</v>
      </c>
    </row>
    <row r="689">
      <c r="A689" s="15">
        <v>44709.0</v>
      </c>
      <c r="B689" s="8" t="s">
        <v>37</v>
      </c>
      <c r="C689" s="16" t="s">
        <v>23</v>
      </c>
      <c r="D689" s="17" t="s">
        <v>10</v>
      </c>
      <c r="E689" s="18" t="s">
        <v>13</v>
      </c>
      <c r="F689" s="19">
        <v>126.63</v>
      </c>
      <c r="G689" s="17" t="s">
        <v>12</v>
      </c>
      <c r="H689" s="8" t="s">
        <v>12</v>
      </c>
    </row>
    <row r="690">
      <c r="A690" s="15">
        <v>44709.0</v>
      </c>
      <c r="B690" s="8" t="s">
        <v>37</v>
      </c>
      <c r="C690" s="16" t="s">
        <v>23</v>
      </c>
      <c r="D690" s="17" t="s">
        <v>10</v>
      </c>
      <c r="E690" s="18" t="s">
        <v>31</v>
      </c>
      <c r="F690" s="19">
        <v>90.48</v>
      </c>
      <c r="G690" s="17" t="s">
        <v>12</v>
      </c>
      <c r="H690" s="8" t="s">
        <v>12</v>
      </c>
    </row>
    <row r="691">
      <c r="A691" s="15">
        <v>44709.0</v>
      </c>
      <c r="B691" s="8" t="s">
        <v>37</v>
      </c>
      <c r="C691" s="16" t="s">
        <v>23</v>
      </c>
      <c r="D691" s="17" t="s">
        <v>10</v>
      </c>
      <c r="E691" s="18" t="s">
        <v>35</v>
      </c>
      <c r="F691" s="19">
        <v>90.48</v>
      </c>
      <c r="G691" s="17" t="s">
        <v>12</v>
      </c>
      <c r="H691" s="8" t="s">
        <v>12</v>
      </c>
    </row>
    <row r="692">
      <c r="A692" s="15">
        <v>44709.0</v>
      </c>
      <c r="B692" s="8" t="s">
        <v>37</v>
      </c>
      <c r="C692" s="16" t="s">
        <v>23</v>
      </c>
      <c r="D692" s="17" t="s">
        <v>14</v>
      </c>
      <c r="E692" s="18" t="s">
        <v>31</v>
      </c>
      <c r="F692" s="19">
        <v>45.67</v>
      </c>
      <c r="G692" s="17" t="s">
        <v>12</v>
      </c>
      <c r="H692" s="8" t="s">
        <v>12</v>
      </c>
    </row>
    <row r="693">
      <c r="A693" s="15">
        <v>44709.0</v>
      </c>
      <c r="B693" s="8" t="s">
        <v>37</v>
      </c>
      <c r="C693" s="16" t="s">
        <v>23</v>
      </c>
      <c r="D693" s="17" t="s">
        <v>14</v>
      </c>
      <c r="E693" s="18" t="s">
        <v>38</v>
      </c>
      <c r="F693" s="19">
        <v>45.67</v>
      </c>
      <c r="G693" s="17" t="s">
        <v>12</v>
      </c>
      <c r="H693" s="8" t="s">
        <v>12</v>
      </c>
    </row>
    <row r="694">
      <c r="A694" s="15">
        <v>44709.0</v>
      </c>
      <c r="B694" s="8" t="s">
        <v>37</v>
      </c>
      <c r="C694" s="16" t="s">
        <v>23</v>
      </c>
      <c r="D694" s="17" t="s">
        <v>14</v>
      </c>
      <c r="E694" s="18" t="s">
        <v>28</v>
      </c>
      <c r="F694" s="19">
        <v>35.53</v>
      </c>
      <c r="G694" s="17" t="s">
        <v>12</v>
      </c>
      <c r="H694" s="8" t="s">
        <v>12</v>
      </c>
    </row>
    <row r="695">
      <c r="A695" s="15">
        <v>44710.0</v>
      </c>
      <c r="B695" s="8" t="s">
        <v>37</v>
      </c>
      <c r="C695" s="16" t="s">
        <v>9</v>
      </c>
      <c r="D695" s="17" t="s">
        <v>10</v>
      </c>
      <c r="E695" s="18" t="s">
        <v>13</v>
      </c>
      <c r="F695" s="19">
        <v>62.58</v>
      </c>
      <c r="G695" s="17" t="s">
        <v>12</v>
      </c>
      <c r="H695" s="8" t="s">
        <v>12</v>
      </c>
    </row>
    <row r="696">
      <c r="A696" s="15">
        <v>44710.0</v>
      </c>
      <c r="B696" s="8" t="s">
        <v>37</v>
      </c>
      <c r="C696" s="16" t="s">
        <v>9</v>
      </c>
      <c r="D696" s="17" t="s">
        <v>10</v>
      </c>
      <c r="E696" s="18" t="s">
        <v>31</v>
      </c>
      <c r="F696" s="19">
        <v>56.9</v>
      </c>
      <c r="G696" s="17" t="s">
        <v>12</v>
      </c>
      <c r="H696" s="8" t="s">
        <v>12</v>
      </c>
    </row>
    <row r="697">
      <c r="A697" s="15">
        <v>44710.0</v>
      </c>
      <c r="B697" s="8" t="s">
        <v>37</v>
      </c>
      <c r="C697" s="16" t="s">
        <v>9</v>
      </c>
      <c r="D697" s="17" t="s">
        <v>10</v>
      </c>
      <c r="E697" s="18" t="s">
        <v>38</v>
      </c>
      <c r="F697" s="19">
        <v>56.9</v>
      </c>
      <c r="G697" s="17" t="s">
        <v>12</v>
      </c>
      <c r="H697" s="8" t="s">
        <v>12</v>
      </c>
    </row>
    <row r="698">
      <c r="A698" s="15">
        <v>44710.0</v>
      </c>
      <c r="B698" s="8" t="s">
        <v>37</v>
      </c>
      <c r="C698" s="16" t="s">
        <v>9</v>
      </c>
      <c r="D698" s="17" t="s">
        <v>14</v>
      </c>
      <c r="E698" s="18" t="s">
        <v>31</v>
      </c>
      <c r="F698" s="19">
        <v>44.84</v>
      </c>
      <c r="G698" s="17" t="s">
        <v>12</v>
      </c>
      <c r="H698" s="8" t="s">
        <v>12</v>
      </c>
    </row>
    <row r="699">
      <c r="A699" s="15">
        <v>44710.0</v>
      </c>
      <c r="B699" s="8" t="s">
        <v>37</v>
      </c>
      <c r="C699" s="16" t="s">
        <v>9</v>
      </c>
      <c r="D699" s="17" t="s">
        <v>14</v>
      </c>
      <c r="E699" s="18" t="s">
        <v>38</v>
      </c>
      <c r="F699" s="19">
        <v>38.88</v>
      </c>
      <c r="G699" s="17" t="s">
        <v>12</v>
      </c>
      <c r="H699" s="8" t="s">
        <v>12</v>
      </c>
    </row>
    <row r="700">
      <c r="A700" s="15">
        <v>44710.0</v>
      </c>
      <c r="B700" s="8" t="s">
        <v>37</v>
      </c>
      <c r="C700" s="16" t="s">
        <v>9</v>
      </c>
      <c r="D700" s="17" t="s">
        <v>14</v>
      </c>
      <c r="E700" s="18" t="s">
        <v>35</v>
      </c>
      <c r="F700" s="19">
        <v>44.85</v>
      </c>
      <c r="G700" s="17" t="s">
        <v>12</v>
      </c>
      <c r="H700" s="8" t="s">
        <v>12</v>
      </c>
    </row>
    <row r="701">
      <c r="A701" s="15">
        <v>44711.0</v>
      </c>
      <c r="B701" s="8" t="s">
        <v>37</v>
      </c>
      <c r="C701" s="16" t="s">
        <v>16</v>
      </c>
      <c r="D701" s="17" t="s">
        <v>10</v>
      </c>
      <c r="E701" s="18" t="s">
        <v>13</v>
      </c>
      <c r="F701" s="19">
        <v>126.85</v>
      </c>
      <c r="G701" s="17" t="s">
        <v>12</v>
      </c>
      <c r="H701" s="8" t="s">
        <v>12</v>
      </c>
    </row>
    <row r="702">
      <c r="A702" s="15">
        <v>44711.0</v>
      </c>
      <c r="B702" s="8" t="s">
        <v>37</v>
      </c>
      <c r="C702" s="16" t="s">
        <v>16</v>
      </c>
      <c r="D702" s="17" t="s">
        <v>10</v>
      </c>
      <c r="E702" s="18" t="s">
        <v>38</v>
      </c>
      <c r="F702" s="19">
        <v>101.46</v>
      </c>
      <c r="G702" s="17" t="s">
        <v>12</v>
      </c>
      <c r="H702" s="8" t="s">
        <v>12</v>
      </c>
    </row>
    <row r="703">
      <c r="A703" s="15">
        <v>44711.0</v>
      </c>
      <c r="B703" s="8" t="s">
        <v>37</v>
      </c>
      <c r="C703" s="16" t="s">
        <v>16</v>
      </c>
      <c r="D703" s="17" t="s">
        <v>14</v>
      </c>
      <c r="E703" s="18" t="s">
        <v>13</v>
      </c>
      <c r="F703" s="19">
        <v>76.86</v>
      </c>
      <c r="G703" s="17" t="s">
        <v>12</v>
      </c>
      <c r="H703" s="8" t="s">
        <v>12</v>
      </c>
    </row>
    <row r="704">
      <c r="A704" s="15">
        <v>44711.0</v>
      </c>
      <c r="B704" s="8" t="s">
        <v>37</v>
      </c>
      <c r="C704" s="16" t="s">
        <v>16</v>
      </c>
      <c r="D704" s="17" t="s">
        <v>14</v>
      </c>
      <c r="E704" s="18" t="s">
        <v>31</v>
      </c>
      <c r="F704" s="19">
        <v>76.87</v>
      </c>
      <c r="G704" s="17" t="s">
        <v>12</v>
      </c>
      <c r="H704" s="8" t="s">
        <v>12</v>
      </c>
    </row>
    <row r="705">
      <c r="A705" s="15">
        <v>44711.0</v>
      </c>
      <c r="B705" s="8" t="s">
        <v>37</v>
      </c>
      <c r="C705" s="16" t="s">
        <v>16</v>
      </c>
      <c r="D705" s="17" t="s">
        <v>14</v>
      </c>
      <c r="E705" s="18" t="s">
        <v>28</v>
      </c>
      <c r="F705" s="19">
        <v>59.75</v>
      </c>
      <c r="G705" s="17" t="s">
        <v>12</v>
      </c>
      <c r="H705" s="8" t="s">
        <v>12</v>
      </c>
    </row>
    <row r="706">
      <c r="A706" s="15">
        <v>44712.0</v>
      </c>
      <c r="B706" s="8" t="s">
        <v>37</v>
      </c>
      <c r="C706" s="16" t="s">
        <v>18</v>
      </c>
      <c r="D706" s="17" t="s">
        <v>10</v>
      </c>
      <c r="E706" s="18" t="s">
        <v>34</v>
      </c>
      <c r="F706" s="19">
        <v>107.64</v>
      </c>
      <c r="G706" s="17" t="s">
        <v>12</v>
      </c>
      <c r="H706" s="8" t="s">
        <v>12</v>
      </c>
    </row>
    <row r="707">
      <c r="A707" s="15">
        <v>44712.0</v>
      </c>
      <c r="B707" s="8" t="s">
        <v>37</v>
      </c>
      <c r="C707" s="16" t="s">
        <v>18</v>
      </c>
      <c r="D707" s="17" t="s">
        <v>14</v>
      </c>
      <c r="E707" s="18" t="s">
        <v>34</v>
      </c>
      <c r="F707" s="19">
        <v>63.56</v>
      </c>
      <c r="G707" s="17" t="s">
        <v>12</v>
      </c>
      <c r="H707" s="8" t="s">
        <v>12</v>
      </c>
    </row>
    <row r="708">
      <c r="A708" s="15">
        <v>44712.0</v>
      </c>
      <c r="B708" s="8" t="s">
        <v>37</v>
      </c>
      <c r="C708" s="16" t="s">
        <v>18</v>
      </c>
      <c r="D708" s="17" t="s">
        <v>14</v>
      </c>
      <c r="E708" s="18" t="s">
        <v>19</v>
      </c>
      <c r="F708" s="19">
        <v>71.51</v>
      </c>
      <c r="G708" s="17" t="s">
        <v>12</v>
      </c>
      <c r="H708" s="8" t="s">
        <v>12</v>
      </c>
    </row>
    <row r="709">
      <c r="A709" s="15">
        <v>44712.0</v>
      </c>
      <c r="B709" s="8" t="s">
        <v>37</v>
      </c>
      <c r="C709" s="16" t="s">
        <v>18</v>
      </c>
      <c r="D709" s="17" t="s">
        <v>14</v>
      </c>
      <c r="E709" s="18" t="s">
        <v>28</v>
      </c>
      <c r="F709" s="19">
        <v>55.62</v>
      </c>
      <c r="G709" s="17" t="s">
        <v>12</v>
      </c>
      <c r="H709" s="8" t="s">
        <v>12</v>
      </c>
    </row>
    <row r="710">
      <c r="A710" s="15">
        <v>44713.0</v>
      </c>
      <c r="B710" s="8" t="s">
        <v>39</v>
      </c>
      <c r="C710" s="16" t="s">
        <v>20</v>
      </c>
      <c r="D710" s="17" t="s">
        <v>10</v>
      </c>
      <c r="E710" s="18" t="s">
        <v>34</v>
      </c>
      <c r="F710" s="19">
        <v>14.1</v>
      </c>
      <c r="G710" s="17" t="s">
        <v>12</v>
      </c>
      <c r="H710" s="8" t="s">
        <v>12</v>
      </c>
    </row>
    <row r="711">
      <c r="A711" s="15">
        <v>44713.0</v>
      </c>
      <c r="B711" s="8" t="s">
        <v>39</v>
      </c>
      <c r="C711" s="16" t="s">
        <v>20</v>
      </c>
      <c r="D711" s="17" t="s">
        <v>14</v>
      </c>
      <c r="E711" s="18" t="s">
        <v>34</v>
      </c>
      <c r="F711" s="19">
        <v>69.6</v>
      </c>
      <c r="G711" s="17" t="s">
        <v>12</v>
      </c>
      <c r="H711" s="8" t="s">
        <v>12</v>
      </c>
    </row>
    <row r="712">
      <c r="A712" s="15">
        <v>44713.0</v>
      </c>
      <c r="B712" s="8" t="s">
        <v>39</v>
      </c>
      <c r="C712" s="16" t="s">
        <v>20</v>
      </c>
      <c r="D712" s="17" t="s">
        <v>14</v>
      </c>
      <c r="E712" s="18" t="s">
        <v>31</v>
      </c>
      <c r="F712" s="19">
        <v>46.39</v>
      </c>
      <c r="G712" s="17" t="s">
        <v>12</v>
      </c>
      <c r="H712" s="8" t="s">
        <v>12</v>
      </c>
    </row>
    <row r="713">
      <c r="A713" s="15">
        <v>44714.0</v>
      </c>
      <c r="B713" s="8" t="s">
        <v>39</v>
      </c>
      <c r="C713" s="16" t="s">
        <v>21</v>
      </c>
      <c r="D713" s="17" t="s">
        <v>10</v>
      </c>
      <c r="E713" s="18" t="s">
        <v>31</v>
      </c>
      <c r="F713" s="19">
        <v>86.31</v>
      </c>
      <c r="G713" s="17" t="s">
        <v>12</v>
      </c>
      <c r="H713" s="8" t="s">
        <v>12</v>
      </c>
    </row>
    <row r="714">
      <c r="A714" s="15">
        <v>44714.0</v>
      </c>
      <c r="B714" s="8" t="s">
        <v>39</v>
      </c>
      <c r="C714" s="16" t="s">
        <v>21</v>
      </c>
      <c r="D714" s="17" t="s">
        <v>14</v>
      </c>
      <c r="E714" s="18" t="s">
        <v>34</v>
      </c>
      <c r="F714" s="19">
        <v>80.11</v>
      </c>
      <c r="G714" s="17" t="s">
        <v>12</v>
      </c>
      <c r="H714" s="8" t="s">
        <v>12</v>
      </c>
    </row>
    <row r="715">
      <c r="A715" s="15">
        <v>44714.0</v>
      </c>
      <c r="B715" s="8" t="s">
        <v>39</v>
      </c>
      <c r="C715" s="16" t="s">
        <v>21</v>
      </c>
      <c r="D715" s="17" t="s">
        <v>14</v>
      </c>
      <c r="E715" s="18" t="s">
        <v>13</v>
      </c>
      <c r="F715" s="19">
        <v>80.12</v>
      </c>
      <c r="G715" s="17" t="s">
        <v>12</v>
      </c>
      <c r="H715" s="8" t="s">
        <v>12</v>
      </c>
    </row>
    <row r="716">
      <c r="A716" s="15">
        <v>44714.0</v>
      </c>
      <c r="B716" s="8" t="s">
        <v>39</v>
      </c>
      <c r="C716" s="16" t="s">
        <v>21</v>
      </c>
      <c r="D716" s="17" t="s">
        <v>14</v>
      </c>
      <c r="E716" s="18" t="s">
        <v>19</v>
      </c>
      <c r="F716" s="19">
        <v>53.4</v>
      </c>
      <c r="G716" s="17" t="s">
        <v>12</v>
      </c>
      <c r="H716" s="8" t="s">
        <v>12</v>
      </c>
    </row>
    <row r="717">
      <c r="A717" s="15">
        <v>44715.0</v>
      </c>
      <c r="B717" s="8" t="s">
        <v>39</v>
      </c>
      <c r="C717" s="16" t="s">
        <v>22</v>
      </c>
      <c r="D717" s="17" t="s">
        <v>10</v>
      </c>
      <c r="E717" s="18" t="s">
        <v>19</v>
      </c>
      <c r="F717" s="19">
        <v>124.66</v>
      </c>
      <c r="G717" s="17" t="s">
        <v>12</v>
      </c>
      <c r="H717" s="8" t="s">
        <v>12</v>
      </c>
    </row>
    <row r="718">
      <c r="A718" s="15">
        <v>44715.0</v>
      </c>
      <c r="B718" s="8" t="s">
        <v>39</v>
      </c>
      <c r="C718" s="16" t="s">
        <v>22</v>
      </c>
      <c r="D718" s="17" t="s">
        <v>14</v>
      </c>
      <c r="E718" s="18" t="s">
        <v>19</v>
      </c>
      <c r="F718" s="19">
        <v>108.87</v>
      </c>
      <c r="G718" s="17" t="s">
        <v>12</v>
      </c>
      <c r="H718" s="8" t="s">
        <v>12</v>
      </c>
    </row>
    <row r="719">
      <c r="A719" s="15">
        <v>44715.0</v>
      </c>
      <c r="B719" s="8" t="s">
        <v>39</v>
      </c>
      <c r="C719" s="16" t="s">
        <v>22</v>
      </c>
      <c r="D719" s="17" t="s">
        <v>14</v>
      </c>
      <c r="E719" s="18" t="s">
        <v>13</v>
      </c>
      <c r="F719" s="19">
        <v>108.87</v>
      </c>
      <c r="G719" s="17" t="s">
        <v>12</v>
      </c>
      <c r="H719" s="8" t="s">
        <v>12</v>
      </c>
    </row>
    <row r="720">
      <c r="A720" s="15">
        <v>44715.0</v>
      </c>
      <c r="B720" s="8" t="s">
        <v>39</v>
      </c>
      <c r="C720" s="16" t="s">
        <v>22</v>
      </c>
      <c r="D720" s="17" t="s">
        <v>14</v>
      </c>
      <c r="E720" s="18" t="s">
        <v>28</v>
      </c>
      <c r="F720" s="19">
        <v>84.68</v>
      </c>
      <c r="G720" s="17" t="s">
        <v>12</v>
      </c>
      <c r="H720" s="8" t="s">
        <v>12</v>
      </c>
    </row>
    <row r="721">
      <c r="A721" s="15">
        <v>44716.0</v>
      </c>
      <c r="B721" s="8" t="s">
        <v>39</v>
      </c>
      <c r="C721" s="16" t="s">
        <v>23</v>
      </c>
      <c r="D721" s="17" t="s">
        <v>10</v>
      </c>
      <c r="E721" s="18" t="s">
        <v>34</v>
      </c>
      <c r="F721" s="19">
        <v>81.4</v>
      </c>
      <c r="G721" s="17" t="s">
        <v>12</v>
      </c>
      <c r="H721" s="8" t="s">
        <v>12</v>
      </c>
    </row>
    <row r="722">
      <c r="A722" s="15">
        <v>44716.0</v>
      </c>
      <c r="B722" s="8" t="s">
        <v>39</v>
      </c>
      <c r="C722" s="16" t="s">
        <v>23</v>
      </c>
      <c r="D722" s="17" t="s">
        <v>10</v>
      </c>
      <c r="E722" s="18" t="s">
        <v>13</v>
      </c>
      <c r="F722" s="19">
        <v>105.86</v>
      </c>
      <c r="G722" s="17" t="s">
        <v>12</v>
      </c>
      <c r="H722" s="8" t="s">
        <v>12</v>
      </c>
    </row>
    <row r="723">
      <c r="A723" s="15">
        <v>44716.0</v>
      </c>
      <c r="B723" s="8" t="s">
        <v>39</v>
      </c>
      <c r="C723" s="16" t="s">
        <v>23</v>
      </c>
      <c r="D723" s="17" t="s">
        <v>10</v>
      </c>
      <c r="E723" s="18" t="s">
        <v>31</v>
      </c>
      <c r="F723" s="19">
        <v>73.26</v>
      </c>
      <c r="G723" s="17" t="s">
        <v>12</v>
      </c>
      <c r="H723" s="8" t="s">
        <v>12</v>
      </c>
    </row>
    <row r="724">
      <c r="A724" s="15">
        <v>44716.0</v>
      </c>
      <c r="B724" s="8" t="s">
        <v>39</v>
      </c>
      <c r="C724" s="16" t="s">
        <v>23</v>
      </c>
      <c r="D724" s="17" t="s">
        <v>14</v>
      </c>
      <c r="E724" s="18" t="s">
        <v>19</v>
      </c>
      <c r="F724" s="19">
        <v>67.69</v>
      </c>
      <c r="G724" s="17" t="s">
        <v>12</v>
      </c>
      <c r="H724" s="8" t="s">
        <v>12</v>
      </c>
    </row>
    <row r="725">
      <c r="A725" s="15">
        <v>44716.0</v>
      </c>
      <c r="B725" s="8" t="s">
        <v>39</v>
      </c>
      <c r="C725" s="16" t="s">
        <v>23</v>
      </c>
      <c r="D725" s="17" t="s">
        <v>14</v>
      </c>
      <c r="E725" s="18" t="s">
        <v>34</v>
      </c>
      <c r="F725" s="19">
        <v>67.69</v>
      </c>
      <c r="G725" s="17" t="s">
        <v>12</v>
      </c>
      <c r="H725" s="8" t="s">
        <v>12</v>
      </c>
    </row>
    <row r="726">
      <c r="A726" s="15">
        <v>44716.0</v>
      </c>
      <c r="B726" s="8" t="s">
        <v>39</v>
      </c>
      <c r="C726" s="16" t="s">
        <v>23</v>
      </c>
      <c r="D726" s="17" t="s">
        <v>14</v>
      </c>
      <c r="E726" s="18" t="s">
        <v>28</v>
      </c>
      <c r="F726" s="19">
        <v>33.84</v>
      </c>
      <c r="G726" s="17" t="s">
        <v>12</v>
      </c>
      <c r="H726" s="8" t="s">
        <v>12</v>
      </c>
    </row>
    <row r="727">
      <c r="A727" s="15">
        <v>44717.0</v>
      </c>
      <c r="B727" s="8" t="s">
        <v>39</v>
      </c>
      <c r="C727" s="16" t="s">
        <v>9</v>
      </c>
      <c r="D727" s="17" t="s">
        <v>10</v>
      </c>
      <c r="E727" s="18" t="s">
        <v>31</v>
      </c>
      <c r="F727" s="19">
        <v>145.74</v>
      </c>
      <c r="G727" s="17" t="s">
        <v>12</v>
      </c>
      <c r="H727" s="8" t="s">
        <v>12</v>
      </c>
    </row>
    <row r="728">
      <c r="A728" s="15">
        <v>44717.0</v>
      </c>
      <c r="B728" s="8" t="s">
        <v>39</v>
      </c>
      <c r="C728" s="16" t="s">
        <v>9</v>
      </c>
      <c r="D728" s="17" t="s">
        <v>10</v>
      </c>
      <c r="E728" s="18" t="s">
        <v>13</v>
      </c>
      <c r="F728" s="19">
        <v>104.1</v>
      </c>
      <c r="G728" s="17" t="s">
        <v>12</v>
      </c>
      <c r="H728" s="8" t="s">
        <v>12</v>
      </c>
    </row>
    <row r="729">
      <c r="A729" s="15">
        <v>44717.0</v>
      </c>
      <c r="B729" s="8" t="s">
        <v>39</v>
      </c>
      <c r="C729" s="16" t="s">
        <v>9</v>
      </c>
      <c r="D729" s="17" t="s">
        <v>10</v>
      </c>
      <c r="E729" s="18" t="s">
        <v>19</v>
      </c>
      <c r="F729" s="19">
        <v>83.33</v>
      </c>
      <c r="G729" s="17" t="s">
        <v>12</v>
      </c>
      <c r="H729" s="8" t="s">
        <v>12</v>
      </c>
    </row>
    <row r="730">
      <c r="A730" s="15">
        <v>44717.0</v>
      </c>
      <c r="B730" s="8" t="s">
        <v>39</v>
      </c>
      <c r="C730" s="16" t="s">
        <v>9</v>
      </c>
      <c r="D730" s="17" t="s">
        <v>14</v>
      </c>
      <c r="E730" s="18" t="s">
        <v>31</v>
      </c>
      <c r="F730" s="19">
        <v>39.23</v>
      </c>
      <c r="G730" s="17" t="s">
        <v>12</v>
      </c>
      <c r="H730" s="8" t="s">
        <v>12</v>
      </c>
    </row>
    <row r="731">
      <c r="A731" s="15">
        <v>44717.0</v>
      </c>
      <c r="B731" s="8" t="s">
        <v>39</v>
      </c>
      <c r="C731" s="16" t="s">
        <v>9</v>
      </c>
      <c r="D731" s="17" t="s">
        <v>14</v>
      </c>
      <c r="E731" s="18" t="s">
        <v>13</v>
      </c>
      <c r="F731" s="19">
        <v>45.77</v>
      </c>
      <c r="G731" s="17" t="s">
        <v>12</v>
      </c>
      <c r="H731" s="8" t="s">
        <v>12</v>
      </c>
    </row>
    <row r="732">
      <c r="A732" s="15">
        <v>44717.0</v>
      </c>
      <c r="B732" s="8" t="s">
        <v>39</v>
      </c>
      <c r="C732" s="16" t="s">
        <v>9</v>
      </c>
      <c r="D732" s="17" t="s">
        <v>14</v>
      </c>
      <c r="E732" s="18" t="s">
        <v>19</v>
      </c>
      <c r="F732" s="19">
        <v>58.84</v>
      </c>
      <c r="G732" s="17" t="s">
        <v>12</v>
      </c>
      <c r="H732" s="8" t="s">
        <v>12</v>
      </c>
    </row>
    <row r="733">
      <c r="A733" s="15">
        <v>44718.0</v>
      </c>
      <c r="B733" s="8" t="s">
        <v>39</v>
      </c>
      <c r="C733" s="16" t="s">
        <v>16</v>
      </c>
      <c r="D733" s="17" t="s">
        <v>10</v>
      </c>
      <c r="E733" s="18" t="s">
        <v>34</v>
      </c>
      <c r="F733" s="19">
        <v>162.96</v>
      </c>
      <c r="G733" s="17" t="s">
        <v>12</v>
      </c>
      <c r="H733" s="8" t="s">
        <v>12</v>
      </c>
    </row>
    <row r="734">
      <c r="A734" s="15">
        <v>44718.0</v>
      </c>
      <c r="B734" s="8" t="s">
        <v>39</v>
      </c>
      <c r="C734" s="16" t="s">
        <v>16</v>
      </c>
      <c r="D734" s="17" t="s">
        <v>14</v>
      </c>
      <c r="E734" s="18" t="s">
        <v>34</v>
      </c>
      <c r="F734" s="19">
        <v>67.97</v>
      </c>
      <c r="G734" s="17" t="s">
        <v>12</v>
      </c>
      <c r="H734" s="8" t="s">
        <v>12</v>
      </c>
    </row>
    <row r="735">
      <c r="A735" s="15">
        <v>44718.0</v>
      </c>
      <c r="B735" s="8" t="s">
        <v>39</v>
      </c>
      <c r="C735" s="16" t="s">
        <v>16</v>
      </c>
      <c r="D735" s="17" t="s">
        <v>14</v>
      </c>
      <c r="E735" s="18" t="s">
        <v>38</v>
      </c>
      <c r="F735" s="19">
        <v>7.49</v>
      </c>
      <c r="G735" s="17" t="s">
        <v>12</v>
      </c>
      <c r="H735" s="8" t="s">
        <v>12</v>
      </c>
    </row>
    <row r="736">
      <c r="A736" s="15">
        <v>44718.0</v>
      </c>
      <c r="B736" s="8" t="s">
        <v>39</v>
      </c>
      <c r="C736" s="16" t="s">
        <v>16</v>
      </c>
      <c r="D736" s="17" t="s">
        <v>14</v>
      </c>
      <c r="E736" s="18" t="s">
        <v>28</v>
      </c>
      <c r="F736" s="19">
        <v>51.77</v>
      </c>
      <c r="G736" s="17" t="s">
        <v>12</v>
      </c>
      <c r="H736" s="8" t="s">
        <v>12</v>
      </c>
    </row>
    <row r="737">
      <c r="A737" s="15">
        <v>44719.0</v>
      </c>
      <c r="B737" s="8" t="s">
        <v>39</v>
      </c>
      <c r="C737" s="16" t="s">
        <v>18</v>
      </c>
      <c r="D737" s="17" t="s">
        <v>10</v>
      </c>
      <c r="E737" s="18" t="s">
        <v>34</v>
      </c>
      <c r="F737" s="19">
        <v>85.17</v>
      </c>
      <c r="G737" s="17" t="s">
        <v>12</v>
      </c>
      <c r="H737" s="8" t="s">
        <v>12</v>
      </c>
    </row>
    <row r="738">
      <c r="A738" s="15">
        <v>44719.0</v>
      </c>
      <c r="B738" s="8" t="s">
        <v>39</v>
      </c>
      <c r="C738" s="16" t="s">
        <v>18</v>
      </c>
      <c r="D738" s="17" t="s">
        <v>14</v>
      </c>
      <c r="E738" s="18" t="s">
        <v>34</v>
      </c>
      <c r="F738" s="19">
        <v>64.18</v>
      </c>
      <c r="G738" s="17" t="s">
        <v>12</v>
      </c>
      <c r="H738" s="8" t="s">
        <v>12</v>
      </c>
    </row>
    <row r="739">
      <c r="A739" s="15">
        <v>44719.0</v>
      </c>
      <c r="B739" s="8" t="s">
        <v>39</v>
      </c>
      <c r="C739" s="16" t="s">
        <v>18</v>
      </c>
      <c r="D739" s="17" t="s">
        <v>14</v>
      </c>
      <c r="E739" s="18" t="s">
        <v>28</v>
      </c>
      <c r="F739" s="19">
        <v>49.95</v>
      </c>
      <c r="G739" s="17" t="s">
        <v>12</v>
      </c>
      <c r="H739" s="8" t="s">
        <v>12</v>
      </c>
    </row>
    <row r="740">
      <c r="A740" s="15">
        <v>44720.0</v>
      </c>
      <c r="B740" s="8" t="s">
        <v>39</v>
      </c>
      <c r="C740" s="16" t="s">
        <v>20</v>
      </c>
      <c r="D740" s="17" t="s">
        <v>10</v>
      </c>
      <c r="E740" s="18" t="s">
        <v>34</v>
      </c>
      <c r="F740" s="19">
        <v>74.15</v>
      </c>
      <c r="G740" s="17" t="s">
        <v>12</v>
      </c>
      <c r="H740" s="8" t="s">
        <v>12</v>
      </c>
    </row>
    <row r="741">
      <c r="A741" s="15">
        <v>44720.0</v>
      </c>
      <c r="B741" s="8" t="s">
        <v>39</v>
      </c>
      <c r="C741" s="16" t="s">
        <v>20</v>
      </c>
      <c r="D741" s="17" t="s">
        <v>14</v>
      </c>
      <c r="E741" s="18" t="s">
        <v>19</v>
      </c>
      <c r="F741" s="19">
        <v>23.24</v>
      </c>
      <c r="G741" s="17" t="s">
        <v>12</v>
      </c>
      <c r="H741" s="8" t="s">
        <v>12</v>
      </c>
    </row>
    <row r="742">
      <c r="A742" s="15">
        <v>44720.0</v>
      </c>
      <c r="B742" s="8" t="s">
        <v>39</v>
      </c>
      <c r="C742" s="16" t="s">
        <v>20</v>
      </c>
      <c r="D742" s="17" t="s">
        <v>14</v>
      </c>
      <c r="E742" s="18" t="s">
        <v>38</v>
      </c>
      <c r="F742" s="19">
        <v>15.49</v>
      </c>
      <c r="G742" s="17" t="s">
        <v>12</v>
      </c>
      <c r="H742" s="8" t="s">
        <v>12</v>
      </c>
    </row>
    <row r="743">
      <c r="A743" s="15">
        <v>44720.0</v>
      </c>
      <c r="B743" s="8" t="s">
        <v>39</v>
      </c>
      <c r="C743" s="16" t="s">
        <v>20</v>
      </c>
      <c r="D743" s="17" t="s">
        <v>14</v>
      </c>
      <c r="E743" s="18" t="s">
        <v>28</v>
      </c>
      <c r="F743" s="19">
        <v>18.08</v>
      </c>
      <c r="G743" s="17" t="s">
        <v>12</v>
      </c>
      <c r="H743" s="8" t="s">
        <v>12</v>
      </c>
    </row>
    <row r="744">
      <c r="A744" s="15">
        <v>44721.0</v>
      </c>
      <c r="B744" s="8" t="s">
        <v>39</v>
      </c>
      <c r="C744" s="16" t="s">
        <v>21</v>
      </c>
      <c r="D744" s="17" t="s">
        <v>10</v>
      </c>
      <c r="E744" s="18" t="s">
        <v>31</v>
      </c>
      <c r="F744" s="19">
        <v>160.22</v>
      </c>
      <c r="G744" s="17" t="s">
        <v>12</v>
      </c>
      <c r="H744" s="8" t="s">
        <v>12</v>
      </c>
    </row>
    <row r="745">
      <c r="A745" s="15">
        <v>44721.0</v>
      </c>
      <c r="B745" s="8" t="s">
        <v>39</v>
      </c>
      <c r="C745" s="16" t="s">
        <v>21</v>
      </c>
      <c r="D745" s="17" t="s">
        <v>14</v>
      </c>
      <c r="E745" s="18" t="s">
        <v>19</v>
      </c>
      <c r="F745" s="19">
        <v>64.19</v>
      </c>
      <c r="G745" s="17" t="s">
        <v>12</v>
      </c>
      <c r="H745" s="8" t="s">
        <v>12</v>
      </c>
    </row>
    <row r="746">
      <c r="A746" s="15">
        <v>44721.0</v>
      </c>
      <c r="B746" s="8" t="s">
        <v>39</v>
      </c>
      <c r="C746" s="16" t="s">
        <v>21</v>
      </c>
      <c r="D746" s="17" t="s">
        <v>14</v>
      </c>
      <c r="E746" s="18" t="s">
        <v>38</v>
      </c>
      <c r="F746" s="19">
        <v>64.19</v>
      </c>
      <c r="G746" s="17" t="s">
        <v>12</v>
      </c>
      <c r="H746" s="8" t="s">
        <v>12</v>
      </c>
    </row>
    <row r="747">
      <c r="A747" s="15">
        <v>44721.0</v>
      </c>
      <c r="B747" s="8" t="s">
        <v>39</v>
      </c>
      <c r="C747" s="16" t="s">
        <v>21</v>
      </c>
      <c r="D747" s="17" t="s">
        <v>14</v>
      </c>
      <c r="E747" s="18" t="s">
        <v>28</v>
      </c>
      <c r="F747" s="19">
        <v>49.93</v>
      </c>
      <c r="G747" s="17" t="s">
        <v>12</v>
      </c>
      <c r="H747" s="8" t="s">
        <v>12</v>
      </c>
    </row>
    <row r="748">
      <c r="A748" s="15">
        <v>44722.0</v>
      </c>
      <c r="B748" s="8" t="s">
        <v>39</v>
      </c>
      <c r="C748" s="16" t="s">
        <v>22</v>
      </c>
      <c r="D748" s="17" t="s">
        <v>10</v>
      </c>
      <c r="E748" s="18" t="s">
        <v>19</v>
      </c>
      <c r="F748" s="19">
        <v>35.06</v>
      </c>
      <c r="G748" s="17" t="s">
        <v>12</v>
      </c>
      <c r="H748" s="8" t="s">
        <v>12</v>
      </c>
    </row>
    <row r="749">
      <c r="A749" s="15">
        <v>44722.0</v>
      </c>
      <c r="B749" s="8" t="s">
        <v>39</v>
      </c>
      <c r="C749" s="16" t="s">
        <v>22</v>
      </c>
      <c r="D749" s="17" t="s">
        <v>14</v>
      </c>
      <c r="E749" s="18" t="s">
        <v>13</v>
      </c>
      <c r="F749" s="19">
        <v>90.63</v>
      </c>
      <c r="G749" s="17" t="s">
        <v>12</v>
      </c>
      <c r="H749" s="8" t="s">
        <v>12</v>
      </c>
    </row>
    <row r="750">
      <c r="A750" s="15">
        <v>44722.0</v>
      </c>
      <c r="B750" s="8" t="s">
        <v>39</v>
      </c>
      <c r="C750" s="16" t="s">
        <v>22</v>
      </c>
      <c r="D750" s="17" t="s">
        <v>14</v>
      </c>
      <c r="E750" s="18" t="s">
        <v>31</v>
      </c>
      <c r="F750" s="19">
        <v>90.63</v>
      </c>
      <c r="G750" s="17" t="s">
        <v>12</v>
      </c>
      <c r="H750" s="8" t="s">
        <v>12</v>
      </c>
    </row>
    <row r="751">
      <c r="A751" s="15">
        <v>44722.0</v>
      </c>
      <c r="B751" s="8" t="s">
        <v>39</v>
      </c>
      <c r="C751" s="16" t="s">
        <v>22</v>
      </c>
      <c r="D751" s="17" t="s">
        <v>14</v>
      </c>
      <c r="E751" s="18" t="s">
        <v>28</v>
      </c>
      <c r="F751" s="19">
        <v>70.49</v>
      </c>
      <c r="G751" s="17" t="s">
        <v>12</v>
      </c>
      <c r="H751" s="8" t="s">
        <v>12</v>
      </c>
    </row>
    <row r="752">
      <c r="A752" s="15">
        <v>44723.0</v>
      </c>
      <c r="B752" s="8" t="s">
        <v>39</v>
      </c>
      <c r="C752" s="16" t="s">
        <v>23</v>
      </c>
      <c r="D752" s="17" t="s">
        <v>10</v>
      </c>
      <c r="E752" s="18" t="s">
        <v>13</v>
      </c>
      <c r="F752" s="19">
        <v>154.63</v>
      </c>
      <c r="G752" s="17" t="s">
        <v>12</v>
      </c>
      <c r="H752" s="8" t="s">
        <v>12</v>
      </c>
    </row>
    <row r="753">
      <c r="A753" s="15">
        <v>44723.0</v>
      </c>
      <c r="B753" s="8" t="s">
        <v>39</v>
      </c>
      <c r="C753" s="16" t="s">
        <v>23</v>
      </c>
      <c r="D753" s="17" t="s">
        <v>10</v>
      </c>
      <c r="E753" s="18" t="s">
        <v>31</v>
      </c>
      <c r="F753" s="19">
        <v>110.41</v>
      </c>
      <c r="G753" s="17" t="s">
        <v>12</v>
      </c>
      <c r="H753" s="8" t="s">
        <v>12</v>
      </c>
    </row>
    <row r="754">
      <c r="A754" s="15">
        <v>44723.0</v>
      </c>
      <c r="B754" s="8" t="s">
        <v>39</v>
      </c>
      <c r="C754" s="16" t="s">
        <v>23</v>
      </c>
      <c r="D754" s="17" t="s">
        <v>10</v>
      </c>
      <c r="E754" s="18" t="s">
        <v>35</v>
      </c>
      <c r="F754" s="19">
        <v>110.41</v>
      </c>
      <c r="G754" s="17" t="s">
        <v>12</v>
      </c>
      <c r="H754" s="8" t="s">
        <v>12</v>
      </c>
    </row>
    <row r="755">
      <c r="A755" s="15">
        <v>44723.0</v>
      </c>
      <c r="B755" s="8" t="s">
        <v>39</v>
      </c>
      <c r="C755" s="16" t="s">
        <v>23</v>
      </c>
      <c r="D755" s="17" t="s">
        <v>14</v>
      </c>
      <c r="E755" s="18" t="s">
        <v>13</v>
      </c>
      <c r="F755" s="19">
        <v>64.12</v>
      </c>
      <c r="G755" s="17" t="s">
        <v>12</v>
      </c>
      <c r="H755" s="8" t="s">
        <v>12</v>
      </c>
    </row>
    <row r="756">
      <c r="A756" s="15">
        <v>44723.0</v>
      </c>
      <c r="B756" s="8" t="s">
        <v>39</v>
      </c>
      <c r="C756" s="16" t="s">
        <v>23</v>
      </c>
      <c r="D756" s="17" t="s">
        <v>14</v>
      </c>
      <c r="E756" s="18" t="s">
        <v>31</v>
      </c>
      <c r="F756" s="19">
        <v>72.14</v>
      </c>
      <c r="G756" s="17" t="s">
        <v>12</v>
      </c>
      <c r="H756" s="8" t="s">
        <v>12</v>
      </c>
    </row>
    <row r="757">
      <c r="A757" s="15">
        <v>44723.0</v>
      </c>
      <c r="B757" s="8" t="s">
        <v>39</v>
      </c>
      <c r="C757" s="16" t="s">
        <v>23</v>
      </c>
      <c r="D757" s="17" t="s">
        <v>14</v>
      </c>
      <c r="E757" s="18" t="s">
        <v>38</v>
      </c>
      <c r="F757" s="19">
        <v>72.14</v>
      </c>
      <c r="G757" s="17" t="s">
        <v>12</v>
      </c>
      <c r="H757" s="8" t="s">
        <v>12</v>
      </c>
    </row>
    <row r="758">
      <c r="A758" s="15">
        <v>44724.0</v>
      </c>
      <c r="B758" s="8" t="s">
        <v>39</v>
      </c>
      <c r="C758" s="16" t="s">
        <v>9</v>
      </c>
      <c r="D758" s="17" t="s">
        <v>10</v>
      </c>
      <c r="E758" s="18" t="s">
        <v>31</v>
      </c>
      <c r="F758" s="19">
        <v>133.84</v>
      </c>
      <c r="G758" s="17" t="s">
        <v>12</v>
      </c>
      <c r="H758" s="8" t="s">
        <v>12</v>
      </c>
    </row>
    <row r="759">
      <c r="A759" s="15">
        <v>44724.0</v>
      </c>
      <c r="B759" s="8" t="s">
        <v>39</v>
      </c>
      <c r="C759" s="16" t="s">
        <v>9</v>
      </c>
      <c r="D759" s="17" t="s">
        <v>10</v>
      </c>
      <c r="E759" s="18" t="s">
        <v>13</v>
      </c>
      <c r="F759" s="19">
        <v>105.16</v>
      </c>
      <c r="G759" s="17" t="s">
        <v>12</v>
      </c>
      <c r="H759" s="8" t="s">
        <v>12</v>
      </c>
    </row>
    <row r="760">
      <c r="A760" s="15">
        <v>44724.0</v>
      </c>
      <c r="B760" s="8" t="s">
        <v>39</v>
      </c>
      <c r="C760" s="16" t="s">
        <v>9</v>
      </c>
      <c r="D760" s="17" t="s">
        <v>10</v>
      </c>
      <c r="E760" s="18" t="s">
        <v>19</v>
      </c>
      <c r="F760" s="19">
        <v>86.05</v>
      </c>
      <c r="G760" s="17" t="s">
        <v>12</v>
      </c>
      <c r="H760" s="8" t="s">
        <v>12</v>
      </c>
    </row>
    <row r="761">
      <c r="A761" s="15">
        <v>44724.0</v>
      </c>
      <c r="B761" s="8" t="s">
        <v>39</v>
      </c>
      <c r="C761" s="16" t="s">
        <v>9</v>
      </c>
      <c r="D761" s="17" t="s">
        <v>14</v>
      </c>
      <c r="E761" s="18" t="s">
        <v>13</v>
      </c>
      <c r="F761" s="19">
        <v>61.2</v>
      </c>
      <c r="G761" s="17" t="s">
        <v>12</v>
      </c>
      <c r="H761" s="8" t="s">
        <v>12</v>
      </c>
    </row>
    <row r="762">
      <c r="A762" s="15">
        <v>44724.0</v>
      </c>
      <c r="B762" s="8" t="s">
        <v>39</v>
      </c>
      <c r="C762" s="16" t="s">
        <v>9</v>
      </c>
      <c r="D762" s="17" t="s">
        <v>14</v>
      </c>
      <c r="E762" s="18" t="s">
        <v>31</v>
      </c>
      <c r="F762" s="19">
        <v>50.96</v>
      </c>
      <c r="G762" s="17" t="s">
        <v>12</v>
      </c>
      <c r="H762" s="8" t="s">
        <v>12</v>
      </c>
    </row>
    <row r="763">
      <c r="A763" s="15">
        <v>44724.0</v>
      </c>
      <c r="B763" s="8" t="s">
        <v>39</v>
      </c>
      <c r="C763" s="16" t="s">
        <v>9</v>
      </c>
      <c r="D763" s="17" t="s">
        <v>14</v>
      </c>
      <c r="E763" s="18" t="s">
        <v>35</v>
      </c>
      <c r="F763" s="19">
        <v>61.2</v>
      </c>
      <c r="G763" s="17" t="s">
        <v>12</v>
      </c>
      <c r="H763" s="8" t="s">
        <v>12</v>
      </c>
    </row>
    <row r="764">
      <c r="A764" s="15">
        <v>44725.0</v>
      </c>
      <c r="B764" s="8" t="s">
        <v>39</v>
      </c>
      <c r="C764" s="16" t="s">
        <v>16</v>
      </c>
      <c r="D764" s="17" t="s">
        <v>10</v>
      </c>
      <c r="E764" s="18" t="s">
        <v>38</v>
      </c>
      <c r="F764" s="19">
        <v>131.38</v>
      </c>
      <c r="G764" s="17" t="s">
        <v>12</v>
      </c>
      <c r="H764" s="8" t="s">
        <v>12</v>
      </c>
    </row>
    <row r="765">
      <c r="A765" s="15">
        <v>44725.0</v>
      </c>
      <c r="B765" s="8" t="s">
        <v>39</v>
      </c>
      <c r="C765" s="16" t="s">
        <v>16</v>
      </c>
      <c r="D765" s="17" t="s">
        <v>14</v>
      </c>
      <c r="E765" s="18" t="s">
        <v>19</v>
      </c>
      <c r="F765" s="19">
        <v>128.11</v>
      </c>
      <c r="G765" s="17" t="s">
        <v>12</v>
      </c>
      <c r="H765" s="8" t="s">
        <v>12</v>
      </c>
    </row>
    <row r="766">
      <c r="A766" s="15">
        <v>44725.0</v>
      </c>
      <c r="B766" s="8" t="s">
        <v>39</v>
      </c>
      <c r="C766" s="16" t="s">
        <v>16</v>
      </c>
      <c r="D766" s="17" t="s">
        <v>14</v>
      </c>
      <c r="E766" s="18" t="s">
        <v>28</v>
      </c>
      <c r="F766" s="19">
        <v>99.64</v>
      </c>
      <c r="G766" s="17" t="s">
        <v>12</v>
      </c>
      <c r="H766" s="8" t="s">
        <v>12</v>
      </c>
    </row>
    <row r="767">
      <c r="A767" s="15">
        <v>44725.0</v>
      </c>
      <c r="B767" s="8" t="s">
        <v>39</v>
      </c>
      <c r="C767" s="16" t="s">
        <v>16</v>
      </c>
      <c r="D767" s="17" t="s">
        <v>14</v>
      </c>
      <c r="E767" s="18" t="s">
        <v>38</v>
      </c>
      <c r="F767" s="19">
        <v>14.23</v>
      </c>
      <c r="G767" s="17" t="s">
        <v>12</v>
      </c>
      <c r="H767" s="8" t="s">
        <v>12</v>
      </c>
    </row>
    <row r="768">
      <c r="A768" s="15">
        <v>44726.0</v>
      </c>
      <c r="B768" s="8" t="s">
        <v>39</v>
      </c>
      <c r="C768" s="16" t="s">
        <v>18</v>
      </c>
      <c r="D768" s="17" t="s">
        <v>10</v>
      </c>
      <c r="E768" s="18" t="s">
        <v>38</v>
      </c>
      <c r="F768" s="19">
        <v>96.9</v>
      </c>
      <c r="G768" s="17" t="s">
        <v>12</v>
      </c>
      <c r="H768" s="8" t="s">
        <v>12</v>
      </c>
    </row>
    <row r="769">
      <c r="A769" s="15">
        <v>44726.0</v>
      </c>
      <c r="B769" s="8" t="s">
        <v>39</v>
      </c>
      <c r="C769" s="16" t="s">
        <v>18</v>
      </c>
      <c r="D769" s="17" t="s">
        <v>14</v>
      </c>
      <c r="E769" s="18" t="s">
        <v>38</v>
      </c>
      <c r="F769" s="19">
        <v>15.64</v>
      </c>
      <c r="G769" s="17" t="s">
        <v>12</v>
      </c>
      <c r="H769" s="8" t="s">
        <v>12</v>
      </c>
    </row>
    <row r="770">
      <c r="A770" s="15">
        <v>44726.0</v>
      </c>
      <c r="B770" s="8" t="s">
        <v>39</v>
      </c>
      <c r="C770" s="16" t="s">
        <v>18</v>
      </c>
      <c r="D770" s="17" t="s">
        <v>14</v>
      </c>
      <c r="E770" s="18" t="s">
        <v>19</v>
      </c>
      <c r="F770" s="19">
        <v>54.74</v>
      </c>
      <c r="G770" s="17" t="s">
        <v>12</v>
      </c>
      <c r="H770" s="8" t="s">
        <v>12</v>
      </c>
    </row>
    <row r="771">
      <c r="A771" s="15">
        <v>44726.0</v>
      </c>
      <c r="B771" s="8" t="s">
        <v>39</v>
      </c>
      <c r="C771" s="16" t="s">
        <v>18</v>
      </c>
      <c r="D771" s="17" t="s">
        <v>14</v>
      </c>
      <c r="E771" s="18" t="s">
        <v>28</v>
      </c>
      <c r="F771" s="19">
        <v>54.74</v>
      </c>
      <c r="G771" s="17" t="s">
        <v>12</v>
      </c>
      <c r="H771" s="8" t="s">
        <v>12</v>
      </c>
    </row>
    <row r="772">
      <c r="A772" s="15">
        <v>44727.0</v>
      </c>
      <c r="B772" s="8" t="s">
        <v>39</v>
      </c>
      <c r="C772" s="16" t="s">
        <v>20</v>
      </c>
      <c r="D772" s="17" t="s">
        <v>10</v>
      </c>
      <c r="E772" s="18" t="s">
        <v>38</v>
      </c>
      <c r="F772" s="19">
        <v>107.28</v>
      </c>
      <c r="G772" s="17" t="s">
        <v>12</v>
      </c>
      <c r="H772" s="8" t="s">
        <v>12</v>
      </c>
    </row>
    <row r="773">
      <c r="A773" s="15">
        <v>44727.0</v>
      </c>
      <c r="B773" s="8" t="s">
        <v>39</v>
      </c>
      <c r="C773" s="16" t="s">
        <v>20</v>
      </c>
      <c r="D773" s="17" t="s">
        <v>14</v>
      </c>
      <c r="E773" s="18" t="s">
        <v>19</v>
      </c>
      <c r="F773" s="19">
        <v>101.72</v>
      </c>
      <c r="G773" s="17" t="s">
        <v>12</v>
      </c>
      <c r="H773" s="8" t="s">
        <v>12</v>
      </c>
    </row>
    <row r="774">
      <c r="A774" s="15">
        <v>44727.0</v>
      </c>
      <c r="B774" s="8" t="s">
        <v>39</v>
      </c>
      <c r="C774" s="16" t="s">
        <v>20</v>
      </c>
      <c r="D774" s="17" t="s">
        <v>14</v>
      </c>
      <c r="E774" s="18" t="s">
        <v>28</v>
      </c>
      <c r="F774" s="19">
        <v>79.12</v>
      </c>
      <c r="G774" s="17" t="s">
        <v>12</v>
      </c>
      <c r="H774" s="8" t="s">
        <v>12</v>
      </c>
    </row>
    <row r="775">
      <c r="A775" s="15">
        <v>44728.0</v>
      </c>
      <c r="B775" s="8" t="s">
        <v>39</v>
      </c>
      <c r="C775" s="16" t="s">
        <v>21</v>
      </c>
      <c r="D775" s="17" t="s">
        <v>10</v>
      </c>
      <c r="E775" s="18" t="s">
        <v>31</v>
      </c>
      <c r="F775" s="19">
        <v>84.34</v>
      </c>
      <c r="G775" s="17" t="s">
        <v>12</v>
      </c>
      <c r="H775" s="8" t="s">
        <v>12</v>
      </c>
    </row>
    <row r="776">
      <c r="A776" s="15">
        <v>44728.0</v>
      </c>
      <c r="B776" s="8" t="s">
        <v>39</v>
      </c>
      <c r="C776" s="16" t="s">
        <v>21</v>
      </c>
      <c r="D776" s="17" t="s">
        <v>14</v>
      </c>
      <c r="E776" s="18" t="s">
        <v>13</v>
      </c>
      <c r="F776" s="19">
        <v>58.9</v>
      </c>
      <c r="G776" s="17" t="s">
        <v>12</v>
      </c>
      <c r="H776" s="8" t="s">
        <v>12</v>
      </c>
    </row>
    <row r="777">
      <c r="A777" s="15">
        <v>44728.0</v>
      </c>
      <c r="B777" s="8" t="s">
        <v>39</v>
      </c>
      <c r="C777" s="16" t="s">
        <v>21</v>
      </c>
      <c r="D777" s="17" t="s">
        <v>14</v>
      </c>
      <c r="E777" s="18" t="s">
        <v>38</v>
      </c>
      <c r="F777" s="19">
        <v>58.91</v>
      </c>
      <c r="G777" s="17" t="s">
        <v>12</v>
      </c>
      <c r="H777" s="8" t="s">
        <v>12</v>
      </c>
    </row>
    <row r="778">
      <c r="A778" s="15">
        <v>44728.0</v>
      </c>
      <c r="B778" s="8" t="s">
        <v>39</v>
      </c>
      <c r="C778" s="16" t="s">
        <v>21</v>
      </c>
      <c r="D778" s="17" t="s">
        <v>14</v>
      </c>
      <c r="E778" s="18" t="s">
        <v>35</v>
      </c>
      <c r="F778" s="19">
        <v>45.79</v>
      </c>
      <c r="G778" s="17" t="s">
        <v>12</v>
      </c>
      <c r="H778" s="8" t="s">
        <v>12</v>
      </c>
    </row>
    <row r="779">
      <c r="A779" s="15">
        <v>44729.0</v>
      </c>
      <c r="B779" s="8" t="s">
        <v>39</v>
      </c>
      <c r="C779" s="16" t="s">
        <v>22</v>
      </c>
      <c r="D779" s="17" t="s">
        <v>10</v>
      </c>
      <c r="E779" s="18" t="s">
        <v>19</v>
      </c>
      <c r="F779" s="19">
        <v>116.24</v>
      </c>
      <c r="G779" s="17" t="s">
        <v>12</v>
      </c>
      <c r="H779" s="8" t="s">
        <v>12</v>
      </c>
    </row>
    <row r="780">
      <c r="A780" s="15">
        <v>44729.0</v>
      </c>
      <c r="B780" s="8" t="s">
        <v>39</v>
      </c>
      <c r="C780" s="16" t="s">
        <v>22</v>
      </c>
      <c r="D780" s="17" t="s">
        <v>14</v>
      </c>
      <c r="E780" s="18" t="s">
        <v>31</v>
      </c>
      <c r="F780" s="19">
        <v>89.6</v>
      </c>
      <c r="G780" s="17" t="s">
        <v>12</v>
      </c>
      <c r="H780" s="8" t="s">
        <v>12</v>
      </c>
    </row>
    <row r="781">
      <c r="A781" s="15">
        <v>44729.0</v>
      </c>
      <c r="B781" s="8" t="s">
        <v>39</v>
      </c>
      <c r="C781" s="16" t="s">
        <v>22</v>
      </c>
      <c r="D781" s="17" t="s">
        <v>14</v>
      </c>
      <c r="E781" s="18" t="s">
        <v>13</v>
      </c>
      <c r="F781" s="19">
        <v>89.6</v>
      </c>
      <c r="G781" s="17" t="s">
        <v>12</v>
      </c>
      <c r="H781" s="8" t="s">
        <v>12</v>
      </c>
    </row>
    <row r="782">
      <c r="A782" s="15">
        <v>44729.0</v>
      </c>
      <c r="B782" s="8" t="s">
        <v>39</v>
      </c>
      <c r="C782" s="16" t="s">
        <v>22</v>
      </c>
      <c r="D782" s="17" t="s">
        <v>14</v>
      </c>
      <c r="E782" s="18" t="s">
        <v>28</v>
      </c>
      <c r="F782" s="19">
        <v>69.66</v>
      </c>
      <c r="G782" s="17" t="s">
        <v>12</v>
      </c>
      <c r="H782" s="8" t="s">
        <v>12</v>
      </c>
    </row>
    <row r="783">
      <c r="A783" s="15">
        <v>44730.0</v>
      </c>
      <c r="B783" s="8" t="s">
        <v>39</v>
      </c>
      <c r="C783" s="16" t="s">
        <v>23</v>
      </c>
      <c r="D783" s="17" t="s">
        <v>10</v>
      </c>
      <c r="E783" s="18" t="s">
        <v>31</v>
      </c>
      <c r="F783" s="19">
        <v>170.71</v>
      </c>
      <c r="G783" s="17" t="s">
        <v>12</v>
      </c>
      <c r="H783" s="8" t="s">
        <v>12</v>
      </c>
    </row>
    <row r="784">
      <c r="A784" s="15">
        <v>44730.0</v>
      </c>
      <c r="B784" s="8" t="s">
        <v>39</v>
      </c>
      <c r="C784" s="16" t="s">
        <v>23</v>
      </c>
      <c r="D784" s="17" t="s">
        <v>10</v>
      </c>
      <c r="E784" s="18" t="s">
        <v>19</v>
      </c>
      <c r="F784" s="19">
        <v>121.94</v>
      </c>
      <c r="G784" s="17" t="s">
        <v>12</v>
      </c>
      <c r="H784" s="8" t="s">
        <v>12</v>
      </c>
    </row>
    <row r="785">
      <c r="A785" s="15">
        <v>44730.0</v>
      </c>
      <c r="B785" s="8" t="s">
        <v>39</v>
      </c>
      <c r="C785" s="16" t="s">
        <v>23</v>
      </c>
      <c r="D785" s="17" t="s">
        <v>14</v>
      </c>
      <c r="E785" s="18" t="s">
        <v>31</v>
      </c>
      <c r="F785" s="19">
        <v>121.45</v>
      </c>
      <c r="G785" s="17" t="s">
        <v>12</v>
      </c>
      <c r="H785" s="8" t="s">
        <v>12</v>
      </c>
    </row>
    <row r="786">
      <c r="A786" s="15">
        <v>44730.0</v>
      </c>
      <c r="B786" s="8" t="s">
        <v>39</v>
      </c>
      <c r="C786" s="16" t="s">
        <v>23</v>
      </c>
      <c r="D786" s="17" t="s">
        <v>14</v>
      </c>
      <c r="E786" s="18" t="s">
        <v>19</v>
      </c>
      <c r="F786" s="19">
        <v>121.45</v>
      </c>
      <c r="G786" s="17" t="s">
        <v>12</v>
      </c>
      <c r="H786" s="8" t="s">
        <v>12</v>
      </c>
    </row>
    <row r="787">
      <c r="A787" s="15">
        <v>44730.0</v>
      </c>
      <c r="B787" s="8" t="s">
        <v>39</v>
      </c>
      <c r="C787" s="16" t="s">
        <v>23</v>
      </c>
      <c r="D787" s="17" t="s">
        <v>14</v>
      </c>
      <c r="E787" s="18" t="s">
        <v>34</v>
      </c>
      <c r="F787" s="19">
        <v>0.0</v>
      </c>
      <c r="G787" s="17" t="s">
        <v>12</v>
      </c>
      <c r="H787" s="8" t="s">
        <v>12</v>
      </c>
    </row>
    <row r="788">
      <c r="A788" s="15">
        <v>44731.0</v>
      </c>
      <c r="B788" s="8" t="s">
        <v>39</v>
      </c>
      <c r="C788" s="16" t="s">
        <v>9</v>
      </c>
      <c r="D788" s="17" t="s">
        <v>10</v>
      </c>
      <c r="E788" s="18" t="s">
        <v>34</v>
      </c>
      <c r="F788" s="19">
        <v>107.11</v>
      </c>
      <c r="G788" s="17" t="s">
        <v>12</v>
      </c>
      <c r="H788" s="8" t="s">
        <v>12</v>
      </c>
    </row>
    <row r="789">
      <c r="A789" s="15">
        <v>44731.0</v>
      </c>
      <c r="B789" s="8" t="s">
        <v>39</v>
      </c>
      <c r="C789" s="16" t="s">
        <v>9</v>
      </c>
      <c r="D789" s="17" t="s">
        <v>10</v>
      </c>
      <c r="E789" s="18" t="s">
        <v>19</v>
      </c>
      <c r="F789" s="19">
        <v>45.9</v>
      </c>
      <c r="G789" s="17" t="s">
        <v>12</v>
      </c>
      <c r="H789" s="8" t="s">
        <v>12</v>
      </c>
    </row>
    <row r="790">
      <c r="A790" s="15">
        <v>44731.0</v>
      </c>
      <c r="B790" s="8" t="s">
        <v>39</v>
      </c>
      <c r="C790" s="16" t="s">
        <v>9</v>
      </c>
      <c r="D790" s="17" t="s">
        <v>10</v>
      </c>
      <c r="E790" s="18" t="s">
        <v>31</v>
      </c>
      <c r="F790" s="19">
        <v>107.11</v>
      </c>
      <c r="G790" s="17" t="s">
        <v>12</v>
      </c>
      <c r="H790" s="8" t="s">
        <v>12</v>
      </c>
    </row>
    <row r="791">
      <c r="A791" s="15">
        <v>44731.0</v>
      </c>
      <c r="B791" s="8" t="s">
        <v>39</v>
      </c>
      <c r="C791" s="16" t="s">
        <v>9</v>
      </c>
      <c r="D791" s="17" t="s">
        <v>14</v>
      </c>
      <c r="E791" s="18" t="s">
        <v>31</v>
      </c>
      <c r="F791" s="19">
        <v>50.96</v>
      </c>
      <c r="G791" s="17" t="s">
        <v>12</v>
      </c>
      <c r="H791" s="8" t="s">
        <v>12</v>
      </c>
    </row>
    <row r="792">
      <c r="A792" s="15">
        <v>44731.0</v>
      </c>
      <c r="B792" s="8" t="s">
        <v>39</v>
      </c>
      <c r="C792" s="16" t="s">
        <v>9</v>
      </c>
      <c r="D792" s="17" t="s">
        <v>14</v>
      </c>
      <c r="E792" s="18" t="s">
        <v>34</v>
      </c>
      <c r="F792" s="19">
        <v>57.35</v>
      </c>
      <c r="G792" s="17" t="s">
        <v>12</v>
      </c>
      <c r="H792" s="8" t="s">
        <v>12</v>
      </c>
    </row>
    <row r="793">
      <c r="A793" s="15">
        <v>44731.0</v>
      </c>
      <c r="B793" s="8" t="s">
        <v>39</v>
      </c>
      <c r="C793" s="16" t="s">
        <v>9</v>
      </c>
      <c r="D793" s="17" t="s">
        <v>14</v>
      </c>
      <c r="E793" s="18" t="s">
        <v>38</v>
      </c>
      <c r="F793" s="19">
        <v>38.22</v>
      </c>
      <c r="G793" s="17" t="s">
        <v>12</v>
      </c>
      <c r="H793" s="8" t="s">
        <v>12</v>
      </c>
    </row>
    <row r="794">
      <c r="A794" s="15">
        <v>44732.0</v>
      </c>
      <c r="B794" s="8" t="s">
        <v>39</v>
      </c>
      <c r="C794" s="16" t="s">
        <v>16</v>
      </c>
      <c r="D794" s="17" t="s">
        <v>10</v>
      </c>
      <c r="E794" s="18" t="s">
        <v>34</v>
      </c>
      <c r="F794" s="19">
        <v>180.74</v>
      </c>
      <c r="G794" s="17" t="s">
        <v>12</v>
      </c>
      <c r="H794" s="8" t="s">
        <v>12</v>
      </c>
    </row>
    <row r="795">
      <c r="A795" s="15">
        <v>44732.0</v>
      </c>
      <c r="B795" s="8" t="s">
        <v>39</v>
      </c>
      <c r="C795" s="16" t="s">
        <v>16</v>
      </c>
      <c r="D795" s="17" t="s">
        <v>14</v>
      </c>
      <c r="E795" s="18" t="s">
        <v>34</v>
      </c>
      <c r="F795" s="19">
        <v>86.04</v>
      </c>
      <c r="G795" s="17" t="s">
        <v>12</v>
      </c>
      <c r="H795" s="8" t="s">
        <v>12</v>
      </c>
    </row>
    <row r="796">
      <c r="A796" s="15">
        <v>44732.0</v>
      </c>
      <c r="B796" s="8" t="s">
        <v>39</v>
      </c>
      <c r="C796" s="16" t="s">
        <v>16</v>
      </c>
      <c r="D796" s="17" t="s">
        <v>14</v>
      </c>
      <c r="E796" s="18" t="s">
        <v>28</v>
      </c>
      <c r="F796" s="19">
        <v>66.93</v>
      </c>
      <c r="G796" s="17" t="s">
        <v>12</v>
      </c>
      <c r="H796" s="8" t="s">
        <v>12</v>
      </c>
    </row>
    <row r="797">
      <c r="A797" s="15">
        <v>44733.0</v>
      </c>
      <c r="B797" s="8" t="s">
        <v>39</v>
      </c>
      <c r="C797" s="16" t="s">
        <v>18</v>
      </c>
      <c r="D797" s="17" t="s">
        <v>10</v>
      </c>
      <c r="E797" s="18" t="s">
        <v>34</v>
      </c>
      <c r="F797" s="19">
        <v>129.98</v>
      </c>
      <c r="G797" s="17" t="s">
        <v>12</v>
      </c>
      <c r="H797" s="8" t="s">
        <v>12</v>
      </c>
    </row>
    <row r="798">
      <c r="A798" s="15">
        <v>44733.0</v>
      </c>
      <c r="B798" s="8" t="s">
        <v>39</v>
      </c>
      <c r="C798" s="16" t="s">
        <v>18</v>
      </c>
      <c r="D798" s="17" t="s">
        <v>14</v>
      </c>
      <c r="E798" s="18" t="s">
        <v>34</v>
      </c>
      <c r="F798" s="19">
        <v>81.19</v>
      </c>
      <c r="G798" s="17" t="s">
        <v>12</v>
      </c>
      <c r="H798" s="8" t="s">
        <v>12</v>
      </c>
    </row>
    <row r="799">
      <c r="A799" s="15">
        <v>44733.0</v>
      </c>
      <c r="B799" s="8" t="s">
        <v>39</v>
      </c>
      <c r="C799" s="16" t="s">
        <v>18</v>
      </c>
      <c r="D799" s="17" t="s">
        <v>14</v>
      </c>
      <c r="E799" s="18" t="s">
        <v>28</v>
      </c>
      <c r="F799" s="19">
        <v>71.05</v>
      </c>
      <c r="G799" s="17" t="s">
        <v>12</v>
      </c>
      <c r="H799" s="8" t="s">
        <v>12</v>
      </c>
    </row>
    <row r="800">
      <c r="A800" s="15">
        <v>44734.0</v>
      </c>
      <c r="B800" s="8" t="s">
        <v>39</v>
      </c>
      <c r="C800" s="16" t="s">
        <v>20</v>
      </c>
      <c r="D800" s="17" t="s">
        <v>10</v>
      </c>
      <c r="E800" s="18" t="s">
        <v>34</v>
      </c>
      <c r="F800" s="19">
        <v>96.2</v>
      </c>
      <c r="G800" s="17" t="s">
        <v>12</v>
      </c>
      <c r="H800" s="8" t="s">
        <v>12</v>
      </c>
    </row>
    <row r="801">
      <c r="A801" s="15">
        <v>44734.0</v>
      </c>
      <c r="B801" s="8" t="s">
        <v>39</v>
      </c>
      <c r="C801" s="16" t="s">
        <v>20</v>
      </c>
      <c r="D801" s="17" t="s">
        <v>14</v>
      </c>
      <c r="E801" s="18" t="s">
        <v>19</v>
      </c>
      <c r="F801" s="19">
        <v>64.03</v>
      </c>
      <c r="G801" s="17" t="s">
        <v>12</v>
      </c>
      <c r="H801" s="8" t="s">
        <v>12</v>
      </c>
    </row>
    <row r="802">
      <c r="A802" s="15">
        <v>44734.0</v>
      </c>
      <c r="B802" s="8" t="s">
        <v>39</v>
      </c>
      <c r="C802" s="16" t="s">
        <v>20</v>
      </c>
      <c r="D802" s="17" t="s">
        <v>14</v>
      </c>
      <c r="E802" s="18" t="s">
        <v>38</v>
      </c>
      <c r="F802" s="19">
        <v>64.03</v>
      </c>
      <c r="G802" s="17" t="s">
        <v>12</v>
      </c>
      <c r="H802" s="8" t="s">
        <v>12</v>
      </c>
    </row>
    <row r="803">
      <c r="A803" s="15">
        <v>44734.0</v>
      </c>
      <c r="B803" s="8" t="s">
        <v>39</v>
      </c>
      <c r="C803" s="16" t="s">
        <v>20</v>
      </c>
      <c r="D803" s="17" t="s">
        <v>14</v>
      </c>
      <c r="E803" s="18" t="s">
        <v>35</v>
      </c>
      <c r="F803" s="19">
        <v>49.81</v>
      </c>
      <c r="G803" s="17" t="s">
        <v>12</v>
      </c>
      <c r="H803" s="8" t="s">
        <v>12</v>
      </c>
    </row>
    <row r="804">
      <c r="A804" s="15">
        <v>44735.0</v>
      </c>
      <c r="B804" s="8" t="s">
        <v>39</v>
      </c>
      <c r="C804" s="16" t="s">
        <v>21</v>
      </c>
      <c r="D804" s="17" t="s">
        <v>10</v>
      </c>
      <c r="E804" s="18" t="s">
        <v>34</v>
      </c>
      <c r="F804" s="19">
        <v>51.94</v>
      </c>
      <c r="G804" s="17" t="s">
        <v>12</v>
      </c>
      <c r="H804" s="8" t="s">
        <v>12</v>
      </c>
    </row>
    <row r="805">
      <c r="A805" s="15">
        <v>44735.0</v>
      </c>
      <c r="B805" s="8" t="s">
        <v>39</v>
      </c>
      <c r="C805" s="16" t="s">
        <v>21</v>
      </c>
      <c r="D805" s="17" t="s">
        <v>14</v>
      </c>
      <c r="E805" s="18" t="s">
        <v>13</v>
      </c>
      <c r="F805" s="19">
        <v>50.11</v>
      </c>
      <c r="G805" s="17" t="s">
        <v>12</v>
      </c>
      <c r="H805" s="8" t="s">
        <v>12</v>
      </c>
    </row>
    <row r="806">
      <c r="A806" s="15">
        <v>44735.0</v>
      </c>
      <c r="B806" s="8" t="s">
        <v>39</v>
      </c>
      <c r="C806" s="16" t="s">
        <v>21</v>
      </c>
      <c r="D806" s="17" t="s">
        <v>14</v>
      </c>
      <c r="E806" s="18" t="s">
        <v>38</v>
      </c>
      <c r="F806" s="19">
        <v>50.11</v>
      </c>
      <c r="G806" s="17" t="s">
        <v>12</v>
      </c>
      <c r="H806" s="8" t="s">
        <v>12</v>
      </c>
    </row>
    <row r="807">
      <c r="A807" s="15">
        <v>44735.0</v>
      </c>
      <c r="B807" s="8" t="s">
        <v>39</v>
      </c>
      <c r="C807" s="16" t="s">
        <v>21</v>
      </c>
      <c r="D807" s="17" t="s">
        <v>14</v>
      </c>
      <c r="E807" s="18" t="s">
        <v>28</v>
      </c>
      <c r="F807" s="19">
        <v>38.99</v>
      </c>
      <c r="G807" s="17" t="s">
        <v>12</v>
      </c>
      <c r="H807" s="8" t="s">
        <v>12</v>
      </c>
    </row>
    <row r="808">
      <c r="A808" s="15">
        <v>44736.0</v>
      </c>
      <c r="B808" s="8" t="s">
        <v>39</v>
      </c>
      <c r="C808" s="16" t="s">
        <v>22</v>
      </c>
      <c r="D808" s="17" t="s">
        <v>10</v>
      </c>
      <c r="E808" s="18" t="s">
        <v>19</v>
      </c>
      <c r="F808" s="19">
        <v>109.71</v>
      </c>
      <c r="G808" s="17" t="s">
        <v>12</v>
      </c>
      <c r="H808" s="8" t="s">
        <v>12</v>
      </c>
    </row>
    <row r="809">
      <c r="A809" s="15">
        <v>44736.0</v>
      </c>
      <c r="B809" s="8" t="s">
        <v>39</v>
      </c>
      <c r="C809" s="16" t="s">
        <v>22</v>
      </c>
      <c r="D809" s="17" t="s">
        <v>14</v>
      </c>
      <c r="E809" s="18" t="s">
        <v>19</v>
      </c>
      <c r="F809" s="19">
        <v>65.07</v>
      </c>
      <c r="G809" s="17" t="s">
        <v>12</v>
      </c>
      <c r="H809" s="8" t="s">
        <v>12</v>
      </c>
    </row>
    <row r="810">
      <c r="A810" s="15">
        <v>44736.0</v>
      </c>
      <c r="B810" s="8" t="s">
        <v>39</v>
      </c>
      <c r="C810" s="16" t="s">
        <v>22</v>
      </c>
      <c r="D810" s="17" t="s">
        <v>14</v>
      </c>
      <c r="E810" s="18" t="s">
        <v>31</v>
      </c>
      <c r="F810" s="19">
        <v>65.07</v>
      </c>
      <c r="G810" s="17" t="s">
        <v>12</v>
      </c>
      <c r="H810" s="8" t="s">
        <v>12</v>
      </c>
    </row>
    <row r="811">
      <c r="A811" s="15">
        <v>44736.0</v>
      </c>
      <c r="B811" s="8" t="s">
        <v>39</v>
      </c>
      <c r="C811" s="16" t="s">
        <v>22</v>
      </c>
      <c r="D811" s="17" t="s">
        <v>14</v>
      </c>
      <c r="E811" s="18" t="s">
        <v>35</v>
      </c>
      <c r="F811" s="19">
        <v>50.6</v>
      </c>
      <c r="G811" s="17" t="s">
        <v>12</v>
      </c>
      <c r="H811" s="8" t="s">
        <v>12</v>
      </c>
    </row>
    <row r="812">
      <c r="A812" s="15">
        <v>44737.0</v>
      </c>
      <c r="B812" s="8" t="s">
        <v>39</v>
      </c>
      <c r="C812" s="16" t="s">
        <v>23</v>
      </c>
      <c r="D812" s="17" t="s">
        <v>10</v>
      </c>
      <c r="E812" s="18" t="s">
        <v>13</v>
      </c>
      <c r="F812" s="19">
        <v>48.04</v>
      </c>
      <c r="G812" s="17" t="s">
        <v>12</v>
      </c>
      <c r="H812" s="8" t="s">
        <v>12</v>
      </c>
    </row>
    <row r="813">
      <c r="A813" s="15">
        <v>44737.0</v>
      </c>
      <c r="B813" s="8" t="s">
        <v>39</v>
      </c>
      <c r="C813" s="16" t="s">
        <v>23</v>
      </c>
      <c r="D813" s="17" t="s">
        <v>10</v>
      </c>
      <c r="E813" s="18" t="s">
        <v>31</v>
      </c>
      <c r="F813" s="19">
        <v>48.04</v>
      </c>
      <c r="G813" s="17" t="s">
        <v>12</v>
      </c>
      <c r="H813" s="8" t="s">
        <v>12</v>
      </c>
    </row>
    <row r="814">
      <c r="A814" s="15">
        <v>44737.0</v>
      </c>
      <c r="B814" s="8" t="s">
        <v>39</v>
      </c>
      <c r="C814" s="16" t="s">
        <v>23</v>
      </c>
      <c r="D814" s="17" t="s">
        <v>10</v>
      </c>
      <c r="E814" s="18" t="s">
        <v>35</v>
      </c>
      <c r="F814" s="19">
        <v>38.45</v>
      </c>
      <c r="G814" s="17" t="s">
        <v>12</v>
      </c>
      <c r="H814" s="8" t="s">
        <v>12</v>
      </c>
    </row>
    <row r="815">
      <c r="A815" s="15">
        <v>44737.0</v>
      </c>
      <c r="B815" s="8" t="s">
        <v>39</v>
      </c>
      <c r="C815" s="16" t="s">
        <v>23</v>
      </c>
      <c r="D815" s="17" t="s">
        <v>14</v>
      </c>
      <c r="E815" s="18" t="s">
        <v>31</v>
      </c>
      <c r="F815" s="19">
        <v>58.84</v>
      </c>
      <c r="G815" s="17" t="s">
        <v>12</v>
      </c>
      <c r="H815" s="8" t="s">
        <v>12</v>
      </c>
    </row>
    <row r="816">
      <c r="A816" s="15">
        <v>44737.0</v>
      </c>
      <c r="B816" s="8" t="s">
        <v>39</v>
      </c>
      <c r="C816" s="16" t="s">
        <v>23</v>
      </c>
      <c r="D816" s="17" t="s">
        <v>14</v>
      </c>
      <c r="E816" s="18" t="s">
        <v>38</v>
      </c>
      <c r="F816" s="19">
        <v>58.84</v>
      </c>
      <c r="G816" s="17" t="s">
        <v>12</v>
      </c>
      <c r="H816" s="8" t="s">
        <v>12</v>
      </c>
    </row>
    <row r="817">
      <c r="A817" s="15">
        <v>44737.0</v>
      </c>
      <c r="B817" s="8" t="s">
        <v>39</v>
      </c>
      <c r="C817" s="16" t="s">
        <v>23</v>
      </c>
      <c r="D817" s="17" t="s">
        <v>14</v>
      </c>
      <c r="E817" s="18" t="s">
        <v>19</v>
      </c>
      <c r="F817" s="19">
        <v>52.3</v>
      </c>
      <c r="G817" s="17" t="s">
        <v>12</v>
      </c>
      <c r="H817" s="8" t="s">
        <v>12</v>
      </c>
    </row>
    <row r="818">
      <c r="A818" s="15">
        <v>44738.0</v>
      </c>
      <c r="B818" s="8" t="s">
        <v>39</v>
      </c>
      <c r="C818" s="16" t="s">
        <v>9</v>
      </c>
      <c r="D818" s="17" t="s">
        <v>10</v>
      </c>
      <c r="E818" s="18" t="s">
        <v>31</v>
      </c>
      <c r="F818" s="19">
        <v>41.44</v>
      </c>
      <c r="G818" s="17" t="s">
        <v>12</v>
      </c>
      <c r="H818" s="8" t="s">
        <v>12</v>
      </c>
    </row>
    <row r="819">
      <c r="A819" s="15">
        <v>44738.0</v>
      </c>
      <c r="B819" s="8" t="s">
        <v>39</v>
      </c>
      <c r="C819" s="16" t="s">
        <v>9</v>
      </c>
      <c r="D819" s="17" t="s">
        <v>10</v>
      </c>
      <c r="E819" s="18" t="s">
        <v>13</v>
      </c>
      <c r="F819" s="19">
        <v>59.15</v>
      </c>
      <c r="G819" s="17" t="s">
        <v>12</v>
      </c>
      <c r="H819" s="8" t="s">
        <v>12</v>
      </c>
    </row>
    <row r="820">
      <c r="A820" s="15">
        <v>44738.0</v>
      </c>
      <c r="B820" s="8" t="s">
        <v>39</v>
      </c>
      <c r="C820" s="16" t="s">
        <v>9</v>
      </c>
      <c r="D820" s="17" t="s">
        <v>10</v>
      </c>
      <c r="E820" s="18" t="s">
        <v>19</v>
      </c>
      <c r="F820" s="19">
        <v>50.28</v>
      </c>
      <c r="G820" s="17" t="s">
        <v>12</v>
      </c>
      <c r="H820" s="8" t="s">
        <v>12</v>
      </c>
    </row>
    <row r="821">
      <c r="A821" s="15">
        <v>44738.0</v>
      </c>
      <c r="B821" s="8" t="s">
        <v>39</v>
      </c>
      <c r="C821" s="16" t="s">
        <v>9</v>
      </c>
      <c r="D821" s="17" t="s">
        <v>14</v>
      </c>
      <c r="E821" s="18" t="s">
        <v>31</v>
      </c>
      <c r="F821" s="19">
        <v>41.66</v>
      </c>
      <c r="G821" s="17" t="s">
        <v>12</v>
      </c>
      <c r="H821" s="8" t="s">
        <v>12</v>
      </c>
    </row>
    <row r="822">
      <c r="A822" s="15">
        <v>44738.0</v>
      </c>
      <c r="B822" s="8" t="s">
        <v>39</v>
      </c>
      <c r="C822" s="16" t="s">
        <v>9</v>
      </c>
      <c r="D822" s="17" t="s">
        <v>14</v>
      </c>
      <c r="E822" s="18" t="s">
        <v>13</v>
      </c>
      <c r="F822" s="19">
        <v>27.7</v>
      </c>
      <c r="G822" s="17" t="s">
        <v>12</v>
      </c>
      <c r="H822" s="8" t="s">
        <v>12</v>
      </c>
    </row>
    <row r="823">
      <c r="A823" s="15">
        <v>44738.0</v>
      </c>
      <c r="B823" s="8" t="s">
        <v>39</v>
      </c>
      <c r="C823" s="16" t="s">
        <v>9</v>
      </c>
      <c r="D823" s="17" t="s">
        <v>14</v>
      </c>
      <c r="E823" s="18" t="s">
        <v>38</v>
      </c>
      <c r="F823" s="19">
        <v>50.0</v>
      </c>
      <c r="G823" s="17" t="s">
        <v>12</v>
      </c>
      <c r="H823" s="8" t="s">
        <v>12</v>
      </c>
    </row>
    <row r="824">
      <c r="A824" s="15">
        <v>44739.0</v>
      </c>
      <c r="B824" s="8" t="s">
        <v>39</v>
      </c>
      <c r="C824" s="16" t="s">
        <v>16</v>
      </c>
      <c r="D824" s="17" t="s">
        <v>10</v>
      </c>
      <c r="E824" s="18" t="s">
        <v>34</v>
      </c>
      <c r="F824" s="19">
        <v>54.65</v>
      </c>
      <c r="G824" s="17" t="s">
        <v>12</v>
      </c>
      <c r="H824" s="8" t="s">
        <v>12</v>
      </c>
    </row>
    <row r="825">
      <c r="A825" s="15">
        <v>44739.0</v>
      </c>
      <c r="B825" s="8" t="s">
        <v>39</v>
      </c>
      <c r="C825" s="16" t="s">
        <v>16</v>
      </c>
      <c r="D825" s="17" t="s">
        <v>14</v>
      </c>
      <c r="E825" s="18" t="s">
        <v>34</v>
      </c>
      <c r="F825" s="19">
        <v>101.18</v>
      </c>
      <c r="G825" s="17" t="s">
        <v>12</v>
      </c>
      <c r="H825" s="8" t="s">
        <v>12</v>
      </c>
    </row>
    <row r="826">
      <c r="A826" s="15">
        <v>44739.0</v>
      </c>
      <c r="B826" s="8" t="s">
        <v>39</v>
      </c>
      <c r="C826" s="16" t="s">
        <v>16</v>
      </c>
      <c r="D826" s="17" t="s">
        <v>14</v>
      </c>
      <c r="E826" s="18" t="s">
        <v>28</v>
      </c>
      <c r="F826" s="19">
        <v>78.7</v>
      </c>
      <c r="G826" s="17" t="s">
        <v>12</v>
      </c>
      <c r="H826" s="8" t="s">
        <v>12</v>
      </c>
    </row>
    <row r="827">
      <c r="A827" s="15">
        <v>44740.0</v>
      </c>
      <c r="B827" s="8" t="s">
        <v>39</v>
      </c>
      <c r="C827" s="16" t="s">
        <v>18</v>
      </c>
      <c r="D827" s="17" t="s">
        <v>10</v>
      </c>
      <c r="E827" s="18" t="s">
        <v>34</v>
      </c>
      <c r="F827" s="19">
        <v>99.36</v>
      </c>
      <c r="G827" s="17" t="s">
        <v>12</v>
      </c>
      <c r="H827" s="8" t="s">
        <v>12</v>
      </c>
    </row>
    <row r="828">
      <c r="A828" s="15">
        <v>44740.0</v>
      </c>
      <c r="B828" s="8" t="s">
        <v>39</v>
      </c>
      <c r="C828" s="16" t="s">
        <v>18</v>
      </c>
      <c r="D828" s="17" t="s">
        <v>14</v>
      </c>
      <c r="E828" s="18" t="s">
        <v>34</v>
      </c>
      <c r="F828" s="19">
        <v>108.49</v>
      </c>
      <c r="G828" s="17" t="s">
        <v>12</v>
      </c>
      <c r="H828" s="8" t="s">
        <v>12</v>
      </c>
    </row>
    <row r="829">
      <c r="A829" s="15">
        <v>44740.0</v>
      </c>
      <c r="B829" s="8" t="s">
        <v>39</v>
      </c>
      <c r="C829" s="16" t="s">
        <v>18</v>
      </c>
      <c r="D829" s="17" t="s">
        <v>14</v>
      </c>
      <c r="E829" s="18" t="s">
        <v>28</v>
      </c>
      <c r="F829" s="19">
        <v>84.39</v>
      </c>
      <c r="G829" s="17" t="s">
        <v>12</v>
      </c>
      <c r="H829" s="8" t="s">
        <v>12</v>
      </c>
    </row>
    <row r="830">
      <c r="A830" s="15">
        <v>44741.0</v>
      </c>
      <c r="B830" s="8" t="s">
        <v>39</v>
      </c>
      <c r="C830" s="16" t="s">
        <v>20</v>
      </c>
      <c r="D830" s="17" t="s">
        <v>10</v>
      </c>
      <c r="E830" s="18" t="s">
        <v>34</v>
      </c>
      <c r="F830" s="19">
        <v>60.43</v>
      </c>
      <c r="G830" s="17" t="s">
        <v>12</v>
      </c>
      <c r="H830" s="8" t="s">
        <v>12</v>
      </c>
    </row>
    <row r="831">
      <c r="A831" s="15">
        <v>44741.0</v>
      </c>
      <c r="B831" s="8" t="s">
        <v>39</v>
      </c>
      <c r="C831" s="16" t="s">
        <v>20</v>
      </c>
      <c r="D831" s="17" t="s">
        <v>14</v>
      </c>
      <c r="E831" s="18" t="s">
        <v>19</v>
      </c>
      <c r="F831" s="19">
        <v>58.87</v>
      </c>
      <c r="G831" s="17" t="s">
        <v>12</v>
      </c>
      <c r="H831" s="8" t="s">
        <v>12</v>
      </c>
    </row>
    <row r="832">
      <c r="A832" s="15">
        <v>44741.0</v>
      </c>
      <c r="B832" s="8" t="s">
        <v>39</v>
      </c>
      <c r="C832" s="16" t="s">
        <v>20</v>
      </c>
      <c r="D832" s="17" t="s">
        <v>14</v>
      </c>
      <c r="E832" s="18" t="s">
        <v>28</v>
      </c>
      <c r="F832" s="19">
        <v>45.78</v>
      </c>
      <c r="G832" s="17" t="s">
        <v>12</v>
      </c>
      <c r="H832" s="8" t="s">
        <v>12</v>
      </c>
    </row>
    <row r="833">
      <c r="A833" s="15">
        <v>44742.0</v>
      </c>
      <c r="B833" s="8" t="s">
        <v>39</v>
      </c>
      <c r="C833" s="16" t="s">
        <v>21</v>
      </c>
      <c r="D833" s="17" t="s">
        <v>10</v>
      </c>
      <c r="E833" s="18" t="s">
        <v>31</v>
      </c>
      <c r="F833" s="19">
        <v>108.33</v>
      </c>
      <c r="G833" s="17" t="s">
        <v>12</v>
      </c>
      <c r="H833" s="8" t="s">
        <v>12</v>
      </c>
    </row>
    <row r="834">
      <c r="A834" s="15">
        <v>44742.0</v>
      </c>
      <c r="B834" s="8" t="s">
        <v>39</v>
      </c>
      <c r="C834" s="16" t="s">
        <v>21</v>
      </c>
      <c r="D834" s="17" t="s">
        <v>14</v>
      </c>
      <c r="E834" s="18" t="s">
        <v>13</v>
      </c>
      <c r="F834" s="19">
        <v>47.39</v>
      </c>
      <c r="G834" s="17" t="s">
        <v>12</v>
      </c>
      <c r="H834" s="8" t="s">
        <v>12</v>
      </c>
    </row>
    <row r="835">
      <c r="A835" s="15">
        <v>44742.0</v>
      </c>
      <c r="B835" s="8" t="s">
        <v>39</v>
      </c>
      <c r="C835" s="16" t="s">
        <v>21</v>
      </c>
      <c r="D835" s="17" t="s">
        <v>14</v>
      </c>
      <c r="E835" s="18" t="s">
        <v>38</v>
      </c>
      <c r="F835" s="19">
        <v>26.31</v>
      </c>
      <c r="G835" s="17" t="s">
        <v>12</v>
      </c>
      <c r="H835" s="8" t="s">
        <v>12</v>
      </c>
    </row>
    <row r="836">
      <c r="A836" s="15">
        <v>44742.0</v>
      </c>
      <c r="B836" s="8" t="s">
        <v>39</v>
      </c>
      <c r="C836" s="16" t="s">
        <v>21</v>
      </c>
      <c r="D836" s="17" t="s">
        <v>14</v>
      </c>
      <c r="E836" s="18" t="s">
        <v>28</v>
      </c>
      <c r="F836" s="19">
        <v>36.86</v>
      </c>
      <c r="G836" s="17" t="s">
        <v>12</v>
      </c>
      <c r="H836" s="8" t="s">
        <v>12</v>
      </c>
    </row>
    <row r="837">
      <c r="A837" s="15">
        <v>44743.0</v>
      </c>
      <c r="B837" s="8" t="s">
        <v>40</v>
      </c>
      <c r="C837" s="16" t="s">
        <v>22</v>
      </c>
      <c r="D837" s="17" t="s">
        <v>10</v>
      </c>
      <c r="E837" s="18" t="s">
        <v>19</v>
      </c>
      <c r="F837" s="19">
        <v>76.07</v>
      </c>
      <c r="G837" s="17" t="s">
        <v>12</v>
      </c>
      <c r="H837" s="8" t="s">
        <v>12</v>
      </c>
    </row>
    <row r="838">
      <c r="A838" s="15">
        <v>44743.0</v>
      </c>
      <c r="B838" s="8" t="s">
        <v>40</v>
      </c>
      <c r="C838" s="16" t="s">
        <v>22</v>
      </c>
      <c r="D838" s="17" t="s">
        <v>14</v>
      </c>
      <c r="E838" s="18" t="s">
        <v>19</v>
      </c>
      <c r="F838" s="19">
        <v>32.41</v>
      </c>
      <c r="G838" s="17" t="s">
        <v>12</v>
      </c>
      <c r="H838" s="8" t="s">
        <v>12</v>
      </c>
    </row>
    <row r="839">
      <c r="A839" s="15">
        <v>44743.0</v>
      </c>
      <c r="B839" s="8" t="s">
        <v>40</v>
      </c>
      <c r="C839" s="16" t="s">
        <v>22</v>
      </c>
      <c r="D839" s="17" t="s">
        <v>14</v>
      </c>
      <c r="E839" s="18" t="s">
        <v>31</v>
      </c>
      <c r="F839" s="19">
        <v>37.04</v>
      </c>
      <c r="G839" s="17" t="s">
        <v>12</v>
      </c>
      <c r="H839" s="8" t="s">
        <v>12</v>
      </c>
    </row>
    <row r="840">
      <c r="A840" s="15">
        <v>44743.0</v>
      </c>
      <c r="B840" s="8" t="s">
        <v>40</v>
      </c>
      <c r="C840" s="16" t="s">
        <v>22</v>
      </c>
      <c r="D840" s="17" t="s">
        <v>14</v>
      </c>
      <c r="E840" s="18" t="s">
        <v>28</v>
      </c>
      <c r="F840" s="19">
        <v>32.41</v>
      </c>
      <c r="G840" s="17" t="s">
        <v>12</v>
      </c>
      <c r="H840" s="8" t="s">
        <v>12</v>
      </c>
    </row>
    <row r="841">
      <c r="A841" s="15">
        <v>44744.0</v>
      </c>
      <c r="B841" s="8" t="s">
        <v>40</v>
      </c>
      <c r="C841" s="16" t="s">
        <v>23</v>
      </c>
      <c r="D841" s="17" t="s">
        <v>10</v>
      </c>
      <c r="E841" s="18" t="s">
        <v>13</v>
      </c>
      <c r="F841" s="19">
        <v>133.56</v>
      </c>
      <c r="G841" s="17" t="s">
        <v>12</v>
      </c>
      <c r="H841" s="8" t="s">
        <v>12</v>
      </c>
    </row>
    <row r="842">
      <c r="A842" s="15">
        <v>44744.0</v>
      </c>
      <c r="B842" s="8" t="s">
        <v>40</v>
      </c>
      <c r="C842" s="16" t="s">
        <v>23</v>
      </c>
      <c r="D842" s="17" t="s">
        <v>10</v>
      </c>
      <c r="E842" s="18" t="s">
        <v>31</v>
      </c>
      <c r="F842" s="19">
        <v>76.32</v>
      </c>
      <c r="G842" s="17" t="s">
        <v>12</v>
      </c>
      <c r="H842" s="8" t="s">
        <v>12</v>
      </c>
    </row>
    <row r="843">
      <c r="A843" s="15">
        <v>44744.0</v>
      </c>
      <c r="B843" s="8" t="s">
        <v>40</v>
      </c>
      <c r="C843" s="16" t="s">
        <v>23</v>
      </c>
      <c r="D843" s="17" t="s">
        <v>10</v>
      </c>
      <c r="E843" s="18" t="s">
        <v>35</v>
      </c>
      <c r="F843" s="19">
        <v>57.23</v>
      </c>
      <c r="G843" s="17" t="s">
        <v>12</v>
      </c>
      <c r="H843" s="8" t="s">
        <v>12</v>
      </c>
    </row>
    <row r="844">
      <c r="A844" s="15">
        <v>44744.0</v>
      </c>
      <c r="B844" s="8" t="s">
        <v>40</v>
      </c>
      <c r="C844" s="16" t="s">
        <v>23</v>
      </c>
      <c r="D844" s="17" t="s">
        <v>14</v>
      </c>
      <c r="E844" s="18" t="s">
        <v>13</v>
      </c>
      <c r="F844" s="19">
        <v>69.02</v>
      </c>
      <c r="G844" s="17" t="s">
        <v>12</v>
      </c>
      <c r="H844" s="8" t="s">
        <v>12</v>
      </c>
    </row>
    <row r="845">
      <c r="A845" s="15">
        <v>44744.0</v>
      </c>
      <c r="B845" s="8" t="s">
        <v>40</v>
      </c>
      <c r="C845" s="16" t="s">
        <v>23</v>
      </c>
      <c r="D845" s="17" t="s">
        <v>14</v>
      </c>
      <c r="E845" s="18" t="s">
        <v>31</v>
      </c>
      <c r="F845" s="19">
        <v>77.65</v>
      </c>
      <c r="G845" s="17" t="s">
        <v>12</v>
      </c>
      <c r="H845" s="8" t="s">
        <v>12</v>
      </c>
    </row>
    <row r="846">
      <c r="A846" s="15">
        <v>44744.0</v>
      </c>
      <c r="B846" s="8" t="s">
        <v>40</v>
      </c>
      <c r="C846" s="16" t="s">
        <v>23</v>
      </c>
      <c r="D846" s="17" t="s">
        <v>14</v>
      </c>
      <c r="E846" s="18" t="s">
        <v>38</v>
      </c>
      <c r="F846" s="19">
        <v>77.65</v>
      </c>
      <c r="G846" s="17" t="s">
        <v>12</v>
      </c>
      <c r="H846" s="8" t="s">
        <v>12</v>
      </c>
    </row>
    <row r="847">
      <c r="A847" s="15">
        <v>44745.0</v>
      </c>
      <c r="B847" s="8" t="s">
        <v>40</v>
      </c>
      <c r="C847" s="16" t="s">
        <v>9</v>
      </c>
      <c r="D847" s="17" t="s">
        <v>10</v>
      </c>
      <c r="E847" s="18" t="s">
        <v>31</v>
      </c>
      <c r="F847" s="19">
        <v>109.97</v>
      </c>
      <c r="G847" s="17" t="s">
        <v>12</v>
      </c>
      <c r="H847" s="8" t="s">
        <v>12</v>
      </c>
    </row>
    <row r="848">
      <c r="A848" s="15">
        <v>44745.0</v>
      </c>
      <c r="B848" s="8" t="s">
        <v>40</v>
      </c>
      <c r="C848" s="16" t="s">
        <v>9</v>
      </c>
      <c r="D848" s="17" t="s">
        <v>10</v>
      </c>
      <c r="E848" s="18" t="s">
        <v>13</v>
      </c>
      <c r="F848" s="19">
        <v>39.27</v>
      </c>
      <c r="G848" s="17" t="s">
        <v>12</v>
      </c>
      <c r="H848" s="8" t="s">
        <v>12</v>
      </c>
    </row>
    <row r="849">
      <c r="A849" s="15">
        <v>44745.0</v>
      </c>
      <c r="B849" s="8" t="s">
        <v>40</v>
      </c>
      <c r="C849" s="16" t="s">
        <v>9</v>
      </c>
      <c r="D849" s="17" t="s">
        <v>10</v>
      </c>
      <c r="E849" s="18" t="s">
        <v>19</v>
      </c>
      <c r="F849" s="19">
        <v>78.52</v>
      </c>
      <c r="G849" s="17" t="s">
        <v>12</v>
      </c>
      <c r="H849" s="8" t="s">
        <v>12</v>
      </c>
    </row>
    <row r="850">
      <c r="A850" s="15">
        <v>44745.0</v>
      </c>
      <c r="B850" s="8" t="s">
        <v>40</v>
      </c>
      <c r="C850" s="16" t="s">
        <v>9</v>
      </c>
      <c r="D850" s="17" t="s">
        <v>14</v>
      </c>
      <c r="E850" s="18" t="s">
        <v>38</v>
      </c>
      <c r="F850" s="19">
        <v>47.0</v>
      </c>
      <c r="G850" s="17" t="s">
        <v>12</v>
      </c>
      <c r="H850" s="8" t="s">
        <v>12</v>
      </c>
    </row>
    <row r="851">
      <c r="A851" s="15">
        <v>44745.0</v>
      </c>
      <c r="B851" s="8" t="s">
        <v>40</v>
      </c>
      <c r="C851" s="16" t="s">
        <v>9</v>
      </c>
      <c r="D851" s="17" t="s">
        <v>14</v>
      </c>
      <c r="E851" s="18" t="s">
        <v>31</v>
      </c>
      <c r="F851" s="19">
        <v>36.5</v>
      </c>
      <c r="G851" s="17" t="s">
        <v>12</v>
      </c>
      <c r="H851" s="8" t="s">
        <v>12</v>
      </c>
    </row>
    <row r="852">
      <c r="A852" s="15">
        <v>44745.0</v>
      </c>
      <c r="B852" s="8" t="s">
        <v>40</v>
      </c>
      <c r="C852" s="16" t="s">
        <v>9</v>
      </c>
      <c r="D852" s="17" t="s">
        <v>14</v>
      </c>
      <c r="E852" s="18" t="s">
        <v>35</v>
      </c>
      <c r="F852" s="19">
        <v>36.5</v>
      </c>
      <c r="G852" s="17" t="s">
        <v>12</v>
      </c>
      <c r="H852" s="8" t="s">
        <v>12</v>
      </c>
    </row>
    <row r="853">
      <c r="A853" s="15">
        <v>44746.0</v>
      </c>
      <c r="B853" s="8" t="s">
        <v>40</v>
      </c>
      <c r="C853" s="16" t="s">
        <v>16</v>
      </c>
      <c r="D853" s="17" t="s">
        <v>10</v>
      </c>
      <c r="E853" s="18" t="s">
        <v>34</v>
      </c>
      <c r="F853" s="19">
        <v>70.83</v>
      </c>
      <c r="G853" s="17" t="s">
        <v>12</v>
      </c>
      <c r="H853" s="8" t="s">
        <v>12</v>
      </c>
    </row>
    <row r="854">
      <c r="A854" s="15">
        <v>44746.0</v>
      </c>
      <c r="B854" s="8" t="s">
        <v>40</v>
      </c>
      <c r="C854" s="16" t="s">
        <v>16</v>
      </c>
      <c r="D854" s="17" t="s">
        <v>10</v>
      </c>
      <c r="E854" s="18" t="s">
        <v>38</v>
      </c>
      <c r="F854" s="19">
        <v>56.6</v>
      </c>
      <c r="G854" s="17" t="s">
        <v>12</v>
      </c>
      <c r="H854" s="8" t="s">
        <v>12</v>
      </c>
    </row>
    <row r="855">
      <c r="A855" s="15">
        <v>44746.0</v>
      </c>
      <c r="B855" s="8" t="s">
        <v>40</v>
      </c>
      <c r="C855" s="16" t="s">
        <v>16</v>
      </c>
      <c r="D855" s="17" t="s">
        <v>14</v>
      </c>
      <c r="E855" s="18" t="s">
        <v>34</v>
      </c>
      <c r="F855" s="19">
        <v>101.57</v>
      </c>
      <c r="G855" s="17" t="s">
        <v>12</v>
      </c>
      <c r="H855" s="8" t="s">
        <v>12</v>
      </c>
    </row>
    <row r="856">
      <c r="A856" s="15">
        <v>44746.0</v>
      </c>
      <c r="B856" s="8" t="s">
        <v>40</v>
      </c>
      <c r="C856" s="16" t="s">
        <v>16</v>
      </c>
      <c r="D856" s="17" t="s">
        <v>14</v>
      </c>
      <c r="E856" s="18" t="s">
        <v>38</v>
      </c>
      <c r="F856" s="19">
        <v>101.58</v>
      </c>
      <c r="G856" s="17" t="s">
        <v>12</v>
      </c>
      <c r="H856" s="8" t="s">
        <v>12</v>
      </c>
    </row>
    <row r="857">
      <c r="A857" s="15">
        <v>44746.0</v>
      </c>
      <c r="B857" s="8" t="s">
        <v>40</v>
      </c>
      <c r="C857" s="16" t="s">
        <v>16</v>
      </c>
      <c r="D857" s="17" t="s">
        <v>14</v>
      </c>
      <c r="E857" s="18" t="s">
        <v>35</v>
      </c>
      <c r="F857" s="19">
        <v>73.35</v>
      </c>
      <c r="G857" s="17" t="s">
        <v>12</v>
      </c>
      <c r="H857" s="8" t="s">
        <v>12</v>
      </c>
    </row>
    <row r="858">
      <c r="A858" s="15">
        <v>44747.0</v>
      </c>
      <c r="B858" s="8" t="s">
        <v>40</v>
      </c>
      <c r="C858" s="16" t="s">
        <v>18</v>
      </c>
      <c r="D858" s="17" t="s">
        <v>10</v>
      </c>
      <c r="E858" s="18" t="s">
        <v>34</v>
      </c>
      <c r="F858" s="19">
        <v>117.11</v>
      </c>
      <c r="G858" s="17" t="s">
        <v>12</v>
      </c>
      <c r="H858" s="8" t="s">
        <v>12</v>
      </c>
    </row>
    <row r="859">
      <c r="A859" s="15">
        <v>44747.0</v>
      </c>
      <c r="B859" s="8" t="s">
        <v>40</v>
      </c>
      <c r="C859" s="16" t="s">
        <v>18</v>
      </c>
      <c r="D859" s="17" t="s">
        <v>14</v>
      </c>
      <c r="E859" s="18" t="s">
        <v>34</v>
      </c>
      <c r="F859" s="19">
        <v>80.29</v>
      </c>
      <c r="G859" s="17" t="s">
        <v>12</v>
      </c>
      <c r="H859" s="8" t="s">
        <v>12</v>
      </c>
    </row>
    <row r="860">
      <c r="A860" s="15">
        <v>44747.0</v>
      </c>
      <c r="B860" s="8" t="s">
        <v>40</v>
      </c>
      <c r="C860" s="16" t="s">
        <v>18</v>
      </c>
      <c r="D860" s="17" t="s">
        <v>14</v>
      </c>
      <c r="E860" s="18" t="s">
        <v>28</v>
      </c>
      <c r="F860" s="19">
        <v>66.12</v>
      </c>
      <c r="G860" s="17" t="s">
        <v>12</v>
      </c>
      <c r="H860" s="8" t="s">
        <v>12</v>
      </c>
    </row>
    <row r="861">
      <c r="A861" s="15">
        <v>44747.0</v>
      </c>
      <c r="B861" s="8" t="s">
        <v>40</v>
      </c>
      <c r="C861" s="16" t="s">
        <v>18</v>
      </c>
      <c r="D861" s="17" t="s">
        <v>14</v>
      </c>
      <c r="E861" s="18" t="s">
        <v>35</v>
      </c>
      <c r="F861" s="19">
        <v>66.12</v>
      </c>
      <c r="G861" s="17" t="s">
        <v>12</v>
      </c>
      <c r="H861" s="8" t="s">
        <v>12</v>
      </c>
    </row>
    <row r="862">
      <c r="A862" s="15">
        <v>44748.0</v>
      </c>
      <c r="B862" s="8" t="s">
        <v>40</v>
      </c>
      <c r="C862" s="16" t="s">
        <v>20</v>
      </c>
      <c r="D862" s="17" t="s">
        <v>10</v>
      </c>
      <c r="E862" s="18" t="s">
        <v>19</v>
      </c>
      <c r="F862" s="19">
        <v>31.28</v>
      </c>
      <c r="G862" s="17" t="s">
        <v>12</v>
      </c>
      <c r="H862" s="8" t="s">
        <v>12</v>
      </c>
    </row>
    <row r="863">
      <c r="A863" s="15">
        <v>44748.0</v>
      </c>
      <c r="B863" s="8" t="s">
        <v>40</v>
      </c>
      <c r="C863" s="16" t="s">
        <v>20</v>
      </c>
      <c r="D863" s="17" t="s">
        <v>14</v>
      </c>
      <c r="E863" s="18" t="s">
        <v>19</v>
      </c>
      <c r="F863" s="19">
        <v>58.54</v>
      </c>
      <c r="G863" s="17" t="s">
        <v>12</v>
      </c>
      <c r="H863" s="8" t="s">
        <v>12</v>
      </c>
    </row>
    <row r="864">
      <c r="A864" s="15">
        <v>44748.0</v>
      </c>
      <c r="B864" s="8" t="s">
        <v>40</v>
      </c>
      <c r="C864" s="16" t="s">
        <v>20</v>
      </c>
      <c r="D864" s="17" t="s">
        <v>14</v>
      </c>
      <c r="E864" s="18" t="s">
        <v>31</v>
      </c>
      <c r="F864" s="19">
        <v>52.03</v>
      </c>
      <c r="G864" s="17" t="s">
        <v>12</v>
      </c>
      <c r="H864" s="8" t="s">
        <v>12</v>
      </c>
    </row>
    <row r="865">
      <c r="A865" s="15">
        <v>44749.0</v>
      </c>
      <c r="B865" s="8" t="s">
        <v>40</v>
      </c>
      <c r="C865" s="16" t="s">
        <v>21</v>
      </c>
      <c r="D865" s="17" t="s">
        <v>10</v>
      </c>
      <c r="E865" s="18" t="s">
        <v>31</v>
      </c>
      <c r="F865" s="19">
        <v>80.42</v>
      </c>
      <c r="G865" s="17" t="s">
        <v>12</v>
      </c>
      <c r="H865" s="8" t="s">
        <v>12</v>
      </c>
    </row>
    <row r="866">
      <c r="A866" s="15">
        <v>44749.0</v>
      </c>
      <c r="B866" s="8" t="s">
        <v>40</v>
      </c>
      <c r="C866" s="16" t="s">
        <v>21</v>
      </c>
      <c r="D866" s="17" t="s">
        <v>14</v>
      </c>
      <c r="E866" s="18" t="s">
        <v>31</v>
      </c>
      <c r="F866" s="19">
        <v>48.36</v>
      </c>
      <c r="G866" s="17" t="s">
        <v>12</v>
      </c>
      <c r="H866" s="8" t="s">
        <v>12</v>
      </c>
    </row>
    <row r="867">
      <c r="A867" s="15">
        <v>44749.0</v>
      </c>
      <c r="B867" s="8" t="s">
        <v>40</v>
      </c>
      <c r="C867" s="16" t="s">
        <v>21</v>
      </c>
      <c r="D867" s="17" t="s">
        <v>14</v>
      </c>
      <c r="E867" s="18" t="s">
        <v>13</v>
      </c>
      <c r="F867" s="19">
        <v>54.41</v>
      </c>
      <c r="G867" s="17" t="s">
        <v>12</v>
      </c>
      <c r="H867" s="8" t="s">
        <v>12</v>
      </c>
    </row>
    <row r="868">
      <c r="A868" s="15">
        <v>44749.0</v>
      </c>
      <c r="B868" s="8" t="s">
        <v>40</v>
      </c>
      <c r="C868" s="16" t="s">
        <v>21</v>
      </c>
      <c r="D868" s="17" t="s">
        <v>14</v>
      </c>
      <c r="E868" s="18" t="s">
        <v>35</v>
      </c>
      <c r="F868" s="19">
        <v>42.32</v>
      </c>
      <c r="G868" s="17" t="s">
        <v>12</v>
      </c>
      <c r="H868" s="8" t="s">
        <v>12</v>
      </c>
    </row>
    <row r="869">
      <c r="A869" s="15">
        <v>44750.0</v>
      </c>
      <c r="B869" s="8" t="s">
        <v>40</v>
      </c>
      <c r="C869" s="16" t="s">
        <v>22</v>
      </c>
      <c r="D869" s="17" t="s">
        <v>10</v>
      </c>
      <c r="E869" s="18" t="s">
        <v>31</v>
      </c>
      <c r="F869" s="19">
        <v>73.2</v>
      </c>
      <c r="G869" s="17" t="s">
        <v>12</v>
      </c>
      <c r="H869" s="8" t="s">
        <v>12</v>
      </c>
    </row>
    <row r="870">
      <c r="A870" s="15">
        <v>44750.0</v>
      </c>
      <c r="B870" s="8" t="s">
        <v>40</v>
      </c>
      <c r="C870" s="16" t="s">
        <v>22</v>
      </c>
      <c r="D870" s="17" t="s">
        <v>14</v>
      </c>
      <c r="E870" s="18" t="s">
        <v>31</v>
      </c>
      <c r="F870" s="19">
        <v>85.61</v>
      </c>
      <c r="G870" s="17" t="s">
        <v>12</v>
      </c>
      <c r="H870" s="8" t="s">
        <v>12</v>
      </c>
    </row>
    <row r="871">
      <c r="A871" s="15">
        <v>44750.0</v>
      </c>
      <c r="B871" s="8" t="s">
        <v>40</v>
      </c>
      <c r="C871" s="16" t="s">
        <v>22</v>
      </c>
      <c r="D871" s="17" t="s">
        <v>14</v>
      </c>
      <c r="E871" s="18" t="s">
        <v>19</v>
      </c>
      <c r="F871" s="19">
        <v>71.35</v>
      </c>
      <c r="G871" s="17" t="s">
        <v>12</v>
      </c>
      <c r="H871" s="8" t="s">
        <v>12</v>
      </c>
    </row>
    <row r="872">
      <c r="A872" s="15">
        <v>44750.0</v>
      </c>
      <c r="B872" s="8" t="s">
        <v>40</v>
      </c>
      <c r="C872" s="16" t="s">
        <v>22</v>
      </c>
      <c r="D872" s="17" t="s">
        <v>14</v>
      </c>
      <c r="E872" s="18" t="s">
        <v>28</v>
      </c>
      <c r="F872" s="19">
        <v>66.59</v>
      </c>
      <c r="G872" s="17" t="s">
        <v>12</v>
      </c>
      <c r="H872" s="8" t="s">
        <v>12</v>
      </c>
    </row>
    <row r="873">
      <c r="A873" s="15">
        <v>44751.0</v>
      </c>
      <c r="B873" s="8" t="s">
        <v>40</v>
      </c>
      <c r="C873" s="16" t="s">
        <v>23</v>
      </c>
      <c r="D873" s="17" t="s">
        <v>10</v>
      </c>
      <c r="E873" s="18" t="s">
        <v>13</v>
      </c>
      <c r="F873" s="19">
        <v>78.19</v>
      </c>
      <c r="G873" s="17" t="s">
        <v>12</v>
      </c>
      <c r="H873" s="8" t="s">
        <v>12</v>
      </c>
    </row>
    <row r="874">
      <c r="A874" s="15">
        <v>44751.0</v>
      </c>
      <c r="B874" s="8" t="s">
        <v>40</v>
      </c>
      <c r="C874" s="16" t="s">
        <v>23</v>
      </c>
      <c r="D874" s="17" t="s">
        <v>10</v>
      </c>
      <c r="E874" s="18" t="s">
        <v>38</v>
      </c>
      <c r="F874" s="19">
        <v>55.85</v>
      </c>
      <c r="G874" s="17" t="s">
        <v>12</v>
      </c>
      <c r="H874" s="8" t="s">
        <v>12</v>
      </c>
    </row>
    <row r="875">
      <c r="A875" s="15">
        <v>44751.0</v>
      </c>
      <c r="B875" s="8" t="s">
        <v>40</v>
      </c>
      <c r="C875" s="16" t="s">
        <v>23</v>
      </c>
      <c r="D875" s="17" t="s">
        <v>10</v>
      </c>
      <c r="E875" s="18" t="s">
        <v>35</v>
      </c>
      <c r="F875" s="19">
        <v>33.5</v>
      </c>
      <c r="G875" s="17" t="s">
        <v>12</v>
      </c>
      <c r="H875" s="8" t="s">
        <v>12</v>
      </c>
    </row>
    <row r="876">
      <c r="A876" s="15">
        <v>44751.0</v>
      </c>
      <c r="B876" s="8" t="s">
        <v>40</v>
      </c>
      <c r="C876" s="16" t="s">
        <v>23</v>
      </c>
      <c r="D876" s="17" t="s">
        <v>14</v>
      </c>
      <c r="E876" s="18" t="s">
        <v>13</v>
      </c>
      <c r="F876" s="19">
        <v>52.09</v>
      </c>
      <c r="G876" s="17" t="s">
        <v>12</v>
      </c>
      <c r="H876" s="8" t="s">
        <v>12</v>
      </c>
    </row>
    <row r="877">
      <c r="A877" s="15">
        <v>44751.0</v>
      </c>
      <c r="B877" s="8" t="s">
        <v>40</v>
      </c>
      <c r="C877" s="16" t="s">
        <v>23</v>
      </c>
      <c r="D877" s="17" t="s">
        <v>14</v>
      </c>
      <c r="E877" s="18" t="s">
        <v>19</v>
      </c>
      <c r="F877" s="19">
        <v>52.09</v>
      </c>
      <c r="G877" s="17" t="s">
        <v>12</v>
      </c>
      <c r="H877" s="8" t="s">
        <v>12</v>
      </c>
    </row>
    <row r="878">
      <c r="A878" s="15">
        <v>44751.0</v>
      </c>
      <c r="B878" s="8" t="s">
        <v>40</v>
      </c>
      <c r="C878" s="16" t="s">
        <v>23</v>
      </c>
      <c r="D878" s="17" t="s">
        <v>14</v>
      </c>
      <c r="E878" s="18" t="s">
        <v>38</v>
      </c>
      <c r="F878" s="19">
        <v>58.6</v>
      </c>
      <c r="G878" s="17" t="s">
        <v>12</v>
      </c>
      <c r="H878" s="8" t="s">
        <v>12</v>
      </c>
    </row>
    <row r="879">
      <c r="A879" s="15">
        <v>44752.0</v>
      </c>
      <c r="B879" s="8" t="s">
        <v>40</v>
      </c>
      <c r="C879" s="16" t="s">
        <v>9</v>
      </c>
      <c r="D879" s="17" t="s">
        <v>10</v>
      </c>
      <c r="E879" s="18" t="s">
        <v>34</v>
      </c>
      <c r="F879" s="19">
        <v>125.65</v>
      </c>
      <c r="G879" s="17" t="s">
        <v>12</v>
      </c>
      <c r="H879" s="8" t="s">
        <v>12</v>
      </c>
    </row>
    <row r="880">
      <c r="A880" s="15">
        <v>44752.0</v>
      </c>
      <c r="B880" s="8" t="s">
        <v>40</v>
      </c>
      <c r="C880" s="16" t="s">
        <v>9</v>
      </c>
      <c r="D880" s="17" t="s">
        <v>10</v>
      </c>
      <c r="E880" s="18" t="s">
        <v>13</v>
      </c>
      <c r="F880" s="19">
        <v>89.75</v>
      </c>
      <c r="G880" s="17" t="s">
        <v>12</v>
      </c>
      <c r="H880" s="8" t="s">
        <v>12</v>
      </c>
    </row>
    <row r="881">
      <c r="A881" s="15">
        <v>44752.0</v>
      </c>
      <c r="B881" s="8" t="s">
        <v>40</v>
      </c>
      <c r="C881" s="16" t="s">
        <v>9</v>
      </c>
      <c r="D881" s="17" t="s">
        <v>10</v>
      </c>
      <c r="E881" s="18" t="s">
        <v>19</v>
      </c>
      <c r="F881" s="19">
        <v>80.71</v>
      </c>
      <c r="G881" s="17" t="s">
        <v>12</v>
      </c>
      <c r="H881" s="8" t="s">
        <v>12</v>
      </c>
    </row>
    <row r="882">
      <c r="A882" s="15">
        <v>44752.0</v>
      </c>
      <c r="B882" s="8" t="s">
        <v>40</v>
      </c>
      <c r="C882" s="16" t="s">
        <v>9</v>
      </c>
      <c r="D882" s="17" t="s">
        <v>14</v>
      </c>
      <c r="E882" s="18" t="s">
        <v>13</v>
      </c>
      <c r="F882" s="19">
        <v>68.65</v>
      </c>
      <c r="G882" s="17" t="s">
        <v>12</v>
      </c>
      <c r="H882" s="8" t="s">
        <v>12</v>
      </c>
    </row>
    <row r="883">
      <c r="A883" s="15">
        <v>44752.0</v>
      </c>
      <c r="B883" s="8" t="s">
        <v>40</v>
      </c>
      <c r="C883" s="16" t="s">
        <v>9</v>
      </c>
      <c r="D883" s="17" t="s">
        <v>14</v>
      </c>
      <c r="E883" s="18" t="s">
        <v>19</v>
      </c>
      <c r="F883" s="19">
        <v>68.65</v>
      </c>
      <c r="G883" s="17" t="s">
        <v>12</v>
      </c>
      <c r="H883" s="8" t="s">
        <v>12</v>
      </c>
    </row>
    <row r="884">
      <c r="A884" s="15">
        <v>44752.0</v>
      </c>
      <c r="B884" s="8" t="s">
        <v>40</v>
      </c>
      <c r="C884" s="16" t="s">
        <v>9</v>
      </c>
      <c r="D884" s="17" t="s">
        <v>14</v>
      </c>
      <c r="E884" s="18" t="s">
        <v>35</v>
      </c>
      <c r="F884" s="19">
        <v>68.65</v>
      </c>
      <c r="G884" s="17" t="s">
        <v>12</v>
      </c>
      <c r="H884" s="8" t="s">
        <v>12</v>
      </c>
    </row>
    <row r="885">
      <c r="A885" s="15">
        <v>44753.0</v>
      </c>
      <c r="B885" s="8" t="s">
        <v>40</v>
      </c>
      <c r="C885" s="16" t="s">
        <v>16</v>
      </c>
      <c r="D885" s="17" t="s">
        <v>10</v>
      </c>
      <c r="E885" s="18" t="s">
        <v>34</v>
      </c>
      <c r="F885" s="19">
        <v>86.88</v>
      </c>
      <c r="G885" s="17" t="s">
        <v>12</v>
      </c>
      <c r="H885" s="8" t="s">
        <v>12</v>
      </c>
    </row>
    <row r="886">
      <c r="A886" s="15">
        <v>44753.0</v>
      </c>
      <c r="B886" s="8" t="s">
        <v>40</v>
      </c>
      <c r="C886" s="16" t="s">
        <v>16</v>
      </c>
      <c r="D886" s="17" t="s">
        <v>14</v>
      </c>
      <c r="E886" s="18" t="s">
        <v>34</v>
      </c>
      <c r="F886" s="19">
        <v>33.0</v>
      </c>
      <c r="G886" s="17" t="s">
        <v>12</v>
      </c>
      <c r="H886" s="8" t="s">
        <v>12</v>
      </c>
    </row>
    <row r="887">
      <c r="A887" s="15">
        <v>44753.0</v>
      </c>
      <c r="B887" s="8" t="s">
        <v>40</v>
      </c>
      <c r="C887" s="16" t="s">
        <v>16</v>
      </c>
      <c r="D887" s="17" t="s">
        <v>14</v>
      </c>
      <c r="E887" s="18" t="s">
        <v>38</v>
      </c>
      <c r="F887" s="19">
        <v>58.87</v>
      </c>
      <c r="G887" s="17" t="s">
        <v>12</v>
      </c>
      <c r="H887" s="8" t="s">
        <v>12</v>
      </c>
    </row>
    <row r="888">
      <c r="A888" s="15">
        <v>44753.0</v>
      </c>
      <c r="B888" s="8" t="s">
        <v>40</v>
      </c>
      <c r="C888" s="16" t="s">
        <v>16</v>
      </c>
      <c r="D888" s="17" t="s">
        <v>14</v>
      </c>
      <c r="E888" s="18" t="s">
        <v>35</v>
      </c>
      <c r="F888" s="19">
        <v>46.0</v>
      </c>
      <c r="G888" s="17" t="s">
        <v>12</v>
      </c>
      <c r="H888" s="8" t="s">
        <v>12</v>
      </c>
    </row>
    <row r="889">
      <c r="A889" s="15">
        <v>44754.0</v>
      </c>
      <c r="B889" s="8" t="s">
        <v>40</v>
      </c>
      <c r="C889" s="16" t="s">
        <v>18</v>
      </c>
      <c r="D889" s="17" t="s">
        <v>10</v>
      </c>
      <c r="E889" s="18" t="s">
        <v>34</v>
      </c>
      <c r="F889" s="19">
        <v>72.68</v>
      </c>
      <c r="G889" s="17" t="s">
        <v>12</v>
      </c>
      <c r="H889" s="8" t="s">
        <v>12</v>
      </c>
    </row>
    <row r="890">
      <c r="A890" s="15">
        <v>44754.0</v>
      </c>
      <c r="B890" s="8" t="s">
        <v>40</v>
      </c>
      <c r="C890" s="16" t="s">
        <v>18</v>
      </c>
      <c r="D890" s="17" t="s">
        <v>14</v>
      </c>
      <c r="E890" s="18" t="s">
        <v>34</v>
      </c>
      <c r="F890" s="19">
        <v>44.27</v>
      </c>
      <c r="G890" s="17" t="s">
        <v>12</v>
      </c>
      <c r="H890" s="8" t="s">
        <v>12</v>
      </c>
    </row>
    <row r="891">
      <c r="A891" s="15">
        <v>44754.0</v>
      </c>
      <c r="B891" s="8" t="s">
        <v>40</v>
      </c>
      <c r="C891" s="16" t="s">
        <v>18</v>
      </c>
      <c r="D891" s="17" t="s">
        <v>14</v>
      </c>
      <c r="E891" s="18" t="s">
        <v>19</v>
      </c>
      <c r="F891" s="19">
        <v>49.8</v>
      </c>
      <c r="G891" s="17" t="s">
        <v>12</v>
      </c>
      <c r="H891" s="8" t="s">
        <v>12</v>
      </c>
    </row>
    <row r="892">
      <c r="A892" s="15">
        <v>44755.0</v>
      </c>
      <c r="B892" s="8" t="s">
        <v>40</v>
      </c>
      <c r="C892" s="16" t="s">
        <v>20</v>
      </c>
      <c r="D892" s="17" t="s">
        <v>10</v>
      </c>
      <c r="E892" s="18" t="s">
        <v>19</v>
      </c>
      <c r="F892" s="19">
        <v>40.14</v>
      </c>
      <c r="G892" s="17" t="s">
        <v>12</v>
      </c>
      <c r="H892" s="8" t="s">
        <v>12</v>
      </c>
    </row>
    <row r="893">
      <c r="A893" s="15">
        <v>44755.0</v>
      </c>
      <c r="B893" s="8" t="s">
        <v>40</v>
      </c>
      <c r="C893" s="16" t="s">
        <v>20</v>
      </c>
      <c r="D893" s="17" t="s">
        <v>14</v>
      </c>
      <c r="E893" s="18" t="s">
        <v>19</v>
      </c>
      <c r="F893" s="19">
        <v>57.6</v>
      </c>
      <c r="G893" s="17" t="s">
        <v>12</v>
      </c>
      <c r="H893" s="8" t="s">
        <v>12</v>
      </c>
    </row>
    <row r="894">
      <c r="A894" s="15">
        <v>44755.0</v>
      </c>
      <c r="B894" s="8" t="s">
        <v>40</v>
      </c>
      <c r="C894" s="16" t="s">
        <v>20</v>
      </c>
      <c r="D894" s="17" t="s">
        <v>14</v>
      </c>
      <c r="E894" s="18" t="s">
        <v>38</v>
      </c>
      <c r="F894" s="19">
        <v>86.4</v>
      </c>
      <c r="G894" s="17" t="s">
        <v>12</v>
      </c>
      <c r="H894" s="8" t="s">
        <v>12</v>
      </c>
    </row>
    <row r="895">
      <c r="A895" s="15">
        <v>44755.0</v>
      </c>
      <c r="B895" s="8" t="s">
        <v>40</v>
      </c>
      <c r="C895" s="16" t="s">
        <v>20</v>
      </c>
      <c r="D895" s="17" t="s">
        <v>14</v>
      </c>
      <c r="E895" s="18" t="s">
        <v>34</v>
      </c>
      <c r="F895" s="19">
        <v>67.21</v>
      </c>
      <c r="G895" s="17" t="s">
        <v>12</v>
      </c>
      <c r="H895" s="8" t="s">
        <v>12</v>
      </c>
    </row>
    <row r="896">
      <c r="A896" s="15">
        <v>44756.0</v>
      </c>
      <c r="B896" s="8" t="s">
        <v>40</v>
      </c>
      <c r="C896" s="16" t="s">
        <v>21</v>
      </c>
      <c r="D896" s="17" t="s">
        <v>10</v>
      </c>
      <c r="E896" s="18" t="s">
        <v>19</v>
      </c>
      <c r="F896" s="19">
        <v>133.29</v>
      </c>
      <c r="G896" s="17" t="s">
        <v>12</v>
      </c>
      <c r="H896" s="8" t="s">
        <v>12</v>
      </c>
    </row>
    <row r="897">
      <c r="A897" s="15">
        <v>44756.0</v>
      </c>
      <c r="B897" s="8" t="s">
        <v>40</v>
      </c>
      <c r="C897" s="16" t="s">
        <v>21</v>
      </c>
      <c r="D897" s="17" t="s">
        <v>14</v>
      </c>
      <c r="E897" s="18" t="s">
        <v>13</v>
      </c>
      <c r="F897" s="19">
        <v>62.91</v>
      </c>
      <c r="G897" s="17" t="s">
        <v>12</v>
      </c>
      <c r="H897" s="8" t="s">
        <v>12</v>
      </c>
    </row>
    <row r="898">
      <c r="A898" s="15">
        <v>44756.0</v>
      </c>
      <c r="B898" s="8" t="s">
        <v>40</v>
      </c>
      <c r="C898" s="16" t="s">
        <v>21</v>
      </c>
      <c r="D898" s="17" t="s">
        <v>14</v>
      </c>
      <c r="E898" s="18" t="s">
        <v>38</v>
      </c>
      <c r="F898" s="19">
        <v>62.91</v>
      </c>
      <c r="G898" s="17" t="s">
        <v>12</v>
      </c>
      <c r="H898" s="8" t="s">
        <v>12</v>
      </c>
    </row>
    <row r="899">
      <c r="A899" s="15">
        <v>44756.0</v>
      </c>
      <c r="B899" s="8" t="s">
        <v>40</v>
      </c>
      <c r="C899" s="16" t="s">
        <v>21</v>
      </c>
      <c r="D899" s="17" t="s">
        <v>14</v>
      </c>
      <c r="E899" s="18" t="s">
        <v>35</v>
      </c>
      <c r="F899" s="19">
        <v>34.93</v>
      </c>
      <c r="G899" s="17" t="s">
        <v>12</v>
      </c>
      <c r="H899" s="8" t="s">
        <v>12</v>
      </c>
    </row>
    <row r="900">
      <c r="A900" s="15">
        <v>44757.0</v>
      </c>
      <c r="B900" s="8" t="s">
        <v>40</v>
      </c>
      <c r="C900" s="16" t="s">
        <v>22</v>
      </c>
      <c r="D900" s="17" t="s">
        <v>10</v>
      </c>
      <c r="E900" s="18" t="s">
        <v>31</v>
      </c>
      <c r="F900" s="19">
        <v>70.9</v>
      </c>
      <c r="G900" s="17" t="s">
        <v>12</v>
      </c>
      <c r="H900" s="8" t="s">
        <v>12</v>
      </c>
    </row>
    <row r="901">
      <c r="A901" s="15">
        <v>44757.0</v>
      </c>
      <c r="B901" s="8" t="s">
        <v>40</v>
      </c>
      <c r="C901" s="16" t="s">
        <v>22</v>
      </c>
      <c r="D901" s="17" t="s">
        <v>10</v>
      </c>
      <c r="E901" s="18" t="s">
        <v>34</v>
      </c>
      <c r="F901" s="19">
        <v>10.63</v>
      </c>
      <c r="G901" s="17" t="s">
        <v>12</v>
      </c>
      <c r="H901" s="8" t="s">
        <v>12</v>
      </c>
    </row>
    <row r="902">
      <c r="A902" s="15">
        <v>44757.0</v>
      </c>
      <c r="B902" s="8" t="s">
        <v>40</v>
      </c>
      <c r="C902" s="16" t="s">
        <v>22</v>
      </c>
      <c r="D902" s="17" t="s">
        <v>14</v>
      </c>
      <c r="E902" s="18" t="s">
        <v>31</v>
      </c>
      <c r="F902" s="19">
        <v>83.93</v>
      </c>
      <c r="G902" s="17" t="s">
        <v>12</v>
      </c>
      <c r="H902" s="8" t="s">
        <v>12</v>
      </c>
    </row>
    <row r="903">
      <c r="A903" s="15">
        <v>44757.0</v>
      </c>
      <c r="B903" s="8" t="s">
        <v>40</v>
      </c>
      <c r="C903" s="16" t="s">
        <v>22</v>
      </c>
      <c r="D903" s="17" t="s">
        <v>14</v>
      </c>
      <c r="E903" s="18" t="s">
        <v>13</v>
      </c>
      <c r="F903" s="19">
        <v>83.93</v>
      </c>
      <c r="G903" s="17" t="s">
        <v>12</v>
      </c>
      <c r="H903" s="8" t="s">
        <v>12</v>
      </c>
    </row>
    <row r="904">
      <c r="A904" s="15">
        <v>44757.0</v>
      </c>
      <c r="B904" s="8" t="s">
        <v>40</v>
      </c>
      <c r="C904" s="16" t="s">
        <v>22</v>
      </c>
      <c r="D904" s="17" t="s">
        <v>14</v>
      </c>
      <c r="E904" s="18" t="s">
        <v>19</v>
      </c>
      <c r="F904" s="19">
        <v>74.56</v>
      </c>
      <c r="G904" s="17" t="s">
        <v>12</v>
      </c>
      <c r="H904" s="8" t="s">
        <v>12</v>
      </c>
    </row>
    <row r="905">
      <c r="A905" s="15">
        <v>44758.0</v>
      </c>
      <c r="B905" s="8" t="s">
        <v>40</v>
      </c>
      <c r="C905" s="16" t="s">
        <v>23</v>
      </c>
      <c r="D905" s="17" t="s">
        <v>10</v>
      </c>
      <c r="E905" s="18" t="s">
        <v>13</v>
      </c>
      <c r="F905" s="19">
        <v>97.37</v>
      </c>
      <c r="G905" s="17" t="s">
        <v>12</v>
      </c>
      <c r="H905" s="8" t="s">
        <v>12</v>
      </c>
    </row>
    <row r="906">
      <c r="A906" s="15">
        <v>44758.0</v>
      </c>
      <c r="B906" s="8" t="s">
        <v>40</v>
      </c>
      <c r="C906" s="16" t="s">
        <v>23</v>
      </c>
      <c r="D906" s="17" t="s">
        <v>10</v>
      </c>
      <c r="E906" s="18" t="s">
        <v>31</v>
      </c>
      <c r="F906" s="19">
        <v>69.55</v>
      </c>
      <c r="G906" s="17" t="s">
        <v>12</v>
      </c>
      <c r="H906" s="8" t="s">
        <v>12</v>
      </c>
    </row>
    <row r="907">
      <c r="A907" s="15">
        <v>44758.0</v>
      </c>
      <c r="B907" s="8" t="s">
        <v>40</v>
      </c>
      <c r="C907" s="16" t="s">
        <v>23</v>
      </c>
      <c r="D907" s="17" t="s">
        <v>10</v>
      </c>
      <c r="E907" s="18" t="s">
        <v>35</v>
      </c>
      <c r="F907" s="19">
        <v>55.6</v>
      </c>
      <c r="G907" s="17" t="s">
        <v>12</v>
      </c>
      <c r="H907" s="8" t="s">
        <v>12</v>
      </c>
    </row>
    <row r="908">
      <c r="A908" s="15">
        <v>44758.0</v>
      </c>
      <c r="B908" s="8" t="s">
        <v>40</v>
      </c>
      <c r="C908" s="16" t="s">
        <v>23</v>
      </c>
      <c r="D908" s="17" t="s">
        <v>14</v>
      </c>
      <c r="E908" s="18" t="s">
        <v>31</v>
      </c>
      <c r="F908" s="19">
        <v>42.21</v>
      </c>
      <c r="G908" s="17" t="s">
        <v>12</v>
      </c>
      <c r="H908" s="8" t="s">
        <v>12</v>
      </c>
    </row>
    <row r="909">
      <c r="A909" s="15">
        <v>44758.0</v>
      </c>
      <c r="B909" s="8" t="s">
        <v>40</v>
      </c>
      <c r="C909" s="16" t="s">
        <v>23</v>
      </c>
      <c r="D909" s="17" t="s">
        <v>14</v>
      </c>
      <c r="E909" s="18" t="s">
        <v>19</v>
      </c>
      <c r="F909" s="19">
        <v>58.44</v>
      </c>
      <c r="G909" s="17" t="s">
        <v>12</v>
      </c>
      <c r="H909" s="8" t="s">
        <v>12</v>
      </c>
    </row>
    <row r="910">
      <c r="A910" s="15">
        <v>44758.0</v>
      </c>
      <c r="B910" s="8" t="s">
        <v>40</v>
      </c>
      <c r="C910" s="16" t="s">
        <v>23</v>
      </c>
      <c r="D910" s="17" t="s">
        <v>14</v>
      </c>
      <c r="E910" s="18" t="s">
        <v>38</v>
      </c>
      <c r="F910" s="19">
        <v>58.44</v>
      </c>
      <c r="G910" s="17" t="s">
        <v>12</v>
      </c>
      <c r="H910" s="8" t="s">
        <v>12</v>
      </c>
    </row>
    <row r="911">
      <c r="A911" s="15">
        <v>44759.0</v>
      </c>
      <c r="B911" s="8" t="s">
        <v>40</v>
      </c>
      <c r="C911" s="16" t="s">
        <v>9</v>
      </c>
      <c r="D911" s="17" t="s">
        <v>10</v>
      </c>
      <c r="E911" s="18" t="s">
        <v>38</v>
      </c>
      <c r="F911" s="19">
        <v>68.55</v>
      </c>
      <c r="G911" s="17" t="s">
        <v>12</v>
      </c>
      <c r="H911" s="8" t="s">
        <v>12</v>
      </c>
    </row>
    <row r="912">
      <c r="A912" s="15">
        <v>44759.0</v>
      </c>
      <c r="B912" s="8" t="s">
        <v>40</v>
      </c>
      <c r="C912" s="16" t="s">
        <v>9</v>
      </c>
      <c r="D912" s="17" t="s">
        <v>10</v>
      </c>
      <c r="E912" s="18" t="s">
        <v>13</v>
      </c>
      <c r="F912" s="19">
        <v>80.66</v>
      </c>
      <c r="G912" s="17" t="s">
        <v>12</v>
      </c>
      <c r="H912" s="8" t="s">
        <v>12</v>
      </c>
    </row>
    <row r="913">
      <c r="A913" s="15">
        <v>44759.0</v>
      </c>
      <c r="B913" s="8" t="s">
        <v>40</v>
      </c>
      <c r="C913" s="16" t="s">
        <v>9</v>
      </c>
      <c r="D913" s="17" t="s">
        <v>10</v>
      </c>
      <c r="E913" s="18" t="s">
        <v>31</v>
      </c>
      <c r="F913" s="19">
        <v>112.91</v>
      </c>
      <c r="G913" s="17" t="s">
        <v>12</v>
      </c>
      <c r="H913" s="8" t="s">
        <v>12</v>
      </c>
    </row>
    <row r="914">
      <c r="A914" s="15">
        <v>44759.0</v>
      </c>
      <c r="B914" s="8" t="s">
        <v>40</v>
      </c>
      <c r="C914" s="16" t="s">
        <v>9</v>
      </c>
      <c r="D914" s="17" t="s">
        <v>14</v>
      </c>
      <c r="E914" s="18" t="s">
        <v>13</v>
      </c>
      <c r="F914" s="19">
        <v>52.58</v>
      </c>
      <c r="G914" s="17" t="s">
        <v>12</v>
      </c>
      <c r="H914" s="8" t="s">
        <v>12</v>
      </c>
    </row>
    <row r="915">
      <c r="A915" s="15">
        <v>44759.0</v>
      </c>
      <c r="B915" s="8" t="s">
        <v>40</v>
      </c>
      <c r="C915" s="16" t="s">
        <v>9</v>
      </c>
      <c r="D915" s="17" t="s">
        <v>14</v>
      </c>
      <c r="E915" s="18" t="s">
        <v>19</v>
      </c>
      <c r="F915" s="19">
        <v>52.58</v>
      </c>
      <c r="G915" s="17" t="s">
        <v>12</v>
      </c>
      <c r="H915" s="8" t="s">
        <v>12</v>
      </c>
    </row>
    <row r="916">
      <c r="A916" s="15">
        <v>44759.0</v>
      </c>
      <c r="B916" s="8" t="s">
        <v>40</v>
      </c>
      <c r="C916" s="16" t="s">
        <v>9</v>
      </c>
      <c r="D916" s="17" t="s">
        <v>14</v>
      </c>
      <c r="E916" s="18" t="s">
        <v>35</v>
      </c>
      <c r="F916" s="19">
        <v>52.58</v>
      </c>
      <c r="G916" s="17" t="s">
        <v>12</v>
      </c>
      <c r="H916" s="8" t="s">
        <v>12</v>
      </c>
    </row>
    <row r="917">
      <c r="A917" s="15">
        <v>44760.0</v>
      </c>
      <c r="B917" s="8" t="s">
        <v>40</v>
      </c>
      <c r="C917" s="16" t="s">
        <v>16</v>
      </c>
      <c r="D917" s="17" t="s">
        <v>10</v>
      </c>
      <c r="E917" s="18" t="s">
        <v>34</v>
      </c>
      <c r="F917" s="19">
        <v>85.98</v>
      </c>
      <c r="G917" s="17" t="s">
        <v>12</v>
      </c>
      <c r="H917" s="8" t="s">
        <v>12</v>
      </c>
    </row>
    <row r="918">
      <c r="A918" s="15">
        <v>44760.0</v>
      </c>
      <c r="B918" s="8" t="s">
        <v>40</v>
      </c>
      <c r="C918" s="16" t="s">
        <v>16</v>
      </c>
      <c r="D918" s="17" t="s">
        <v>14</v>
      </c>
      <c r="E918" s="18" t="s">
        <v>34</v>
      </c>
      <c r="F918" s="19">
        <v>38.97</v>
      </c>
      <c r="G918" s="17" t="s">
        <v>12</v>
      </c>
      <c r="H918" s="8" t="s">
        <v>12</v>
      </c>
    </row>
    <row r="919">
      <c r="A919" s="15">
        <v>44760.0</v>
      </c>
      <c r="B919" s="8" t="s">
        <v>40</v>
      </c>
      <c r="C919" s="16" t="s">
        <v>16</v>
      </c>
      <c r="D919" s="17" t="s">
        <v>14</v>
      </c>
      <c r="E919" s="18" t="s">
        <v>35</v>
      </c>
      <c r="F919" s="19">
        <v>30.31</v>
      </c>
      <c r="G919" s="17" t="s">
        <v>12</v>
      </c>
      <c r="H919" s="8" t="s">
        <v>12</v>
      </c>
    </row>
    <row r="920">
      <c r="A920" s="15">
        <v>44760.0</v>
      </c>
      <c r="B920" s="8" t="s">
        <v>40</v>
      </c>
      <c r="C920" s="16" t="s">
        <v>16</v>
      </c>
      <c r="D920" s="17" t="s">
        <v>14</v>
      </c>
      <c r="E920" s="18" t="s">
        <v>38</v>
      </c>
      <c r="F920" s="19">
        <v>30.31</v>
      </c>
      <c r="G920" s="17" t="s">
        <v>12</v>
      </c>
      <c r="H920" s="8" t="s">
        <v>12</v>
      </c>
    </row>
    <row r="921">
      <c r="A921" s="15">
        <v>44761.0</v>
      </c>
      <c r="B921" s="8" t="s">
        <v>40</v>
      </c>
      <c r="C921" s="16" t="s">
        <v>18</v>
      </c>
      <c r="D921" s="17" t="s">
        <v>10</v>
      </c>
      <c r="E921" s="18" t="s">
        <v>34</v>
      </c>
      <c r="F921" s="19">
        <v>39.05</v>
      </c>
      <c r="G921" s="17" t="s">
        <v>12</v>
      </c>
      <c r="H921" s="8" t="s">
        <v>12</v>
      </c>
    </row>
    <row r="922">
      <c r="A922" s="15">
        <v>44761.0</v>
      </c>
      <c r="B922" s="8" t="s">
        <v>40</v>
      </c>
      <c r="C922" s="16" t="s">
        <v>18</v>
      </c>
      <c r="D922" s="17" t="s">
        <v>14</v>
      </c>
      <c r="E922" s="18" t="s">
        <v>34</v>
      </c>
      <c r="F922" s="19">
        <v>113.63</v>
      </c>
      <c r="G922" s="17" t="s">
        <v>12</v>
      </c>
      <c r="H922" s="8" t="s">
        <v>12</v>
      </c>
    </row>
    <row r="923">
      <c r="A923" s="15">
        <v>44761.0</v>
      </c>
      <c r="B923" s="8" t="s">
        <v>40</v>
      </c>
      <c r="C923" s="16" t="s">
        <v>18</v>
      </c>
      <c r="D923" s="17" t="s">
        <v>14</v>
      </c>
      <c r="E923" s="18" t="s">
        <v>19</v>
      </c>
      <c r="F923" s="19">
        <v>113.63</v>
      </c>
      <c r="G923" s="17" t="s">
        <v>12</v>
      </c>
      <c r="H923" s="8" t="s">
        <v>12</v>
      </c>
    </row>
    <row r="924">
      <c r="A924" s="15">
        <v>44762.0</v>
      </c>
      <c r="B924" s="8" t="s">
        <v>40</v>
      </c>
      <c r="C924" s="16" t="s">
        <v>20</v>
      </c>
      <c r="D924" s="17" t="s">
        <v>10</v>
      </c>
      <c r="E924" s="18" t="s">
        <v>19</v>
      </c>
      <c r="F924" s="19">
        <v>57.19</v>
      </c>
      <c r="G924" s="17" t="s">
        <v>12</v>
      </c>
      <c r="H924" s="8" t="s">
        <v>12</v>
      </c>
    </row>
    <row r="925">
      <c r="A925" s="15">
        <v>44762.0</v>
      </c>
      <c r="B925" s="8" t="s">
        <v>40</v>
      </c>
      <c r="C925" s="16" t="s">
        <v>20</v>
      </c>
      <c r="D925" s="17" t="s">
        <v>14</v>
      </c>
      <c r="E925" s="18" t="s">
        <v>19</v>
      </c>
      <c r="F925" s="19">
        <v>56.14</v>
      </c>
      <c r="G925" s="17" t="s">
        <v>12</v>
      </c>
      <c r="H925" s="8" t="s">
        <v>12</v>
      </c>
    </row>
    <row r="926">
      <c r="A926" s="15">
        <v>44762.0</v>
      </c>
      <c r="B926" s="8" t="s">
        <v>40</v>
      </c>
      <c r="C926" s="16" t="s">
        <v>20</v>
      </c>
      <c r="D926" s="17" t="s">
        <v>14</v>
      </c>
      <c r="E926" s="18" t="s">
        <v>28</v>
      </c>
      <c r="F926" s="19">
        <v>43.66</v>
      </c>
      <c r="G926" s="17" t="s">
        <v>12</v>
      </c>
      <c r="H926" s="8" t="s">
        <v>12</v>
      </c>
    </row>
    <row r="927">
      <c r="A927" s="15">
        <v>44762.0</v>
      </c>
      <c r="B927" s="8" t="s">
        <v>40</v>
      </c>
      <c r="C927" s="16" t="s">
        <v>20</v>
      </c>
      <c r="D927" s="17" t="s">
        <v>14</v>
      </c>
      <c r="E927" s="18" t="s">
        <v>35</v>
      </c>
      <c r="F927" s="19">
        <v>37.43</v>
      </c>
      <c r="G927" s="17" t="s">
        <v>12</v>
      </c>
      <c r="H927" s="8" t="s">
        <v>12</v>
      </c>
    </row>
    <row r="928">
      <c r="A928" s="15">
        <v>44763.0</v>
      </c>
      <c r="B928" s="8" t="s">
        <v>40</v>
      </c>
      <c r="C928" s="16" t="s">
        <v>21</v>
      </c>
      <c r="D928" s="17" t="s">
        <v>10</v>
      </c>
      <c r="E928" s="18" t="s">
        <v>34</v>
      </c>
      <c r="F928" s="19">
        <v>89.04</v>
      </c>
      <c r="G928" s="17" t="s">
        <v>12</v>
      </c>
      <c r="H928" s="8" t="s">
        <v>12</v>
      </c>
    </row>
    <row r="929">
      <c r="A929" s="15">
        <v>44763.0</v>
      </c>
      <c r="B929" s="8" t="s">
        <v>40</v>
      </c>
      <c r="C929" s="16" t="s">
        <v>21</v>
      </c>
      <c r="D929" s="17" t="s">
        <v>14</v>
      </c>
      <c r="E929" s="18" t="s">
        <v>34</v>
      </c>
      <c r="F929" s="19">
        <v>21.0</v>
      </c>
      <c r="G929" s="17" t="s">
        <v>12</v>
      </c>
      <c r="H929" s="8" t="s">
        <v>12</v>
      </c>
    </row>
    <row r="930">
      <c r="A930" s="15">
        <v>44763.0</v>
      </c>
      <c r="B930" s="8" t="s">
        <v>40</v>
      </c>
      <c r="C930" s="16" t="s">
        <v>21</v>
      </c>
      <c r="D930" s="17" t="s">
        <v>14</v>
      </c>
      <c r="E930" s="18" t="s">
        <v>38</v>
      </c>
      <c r="F930" s="19">
        <v>33.3</v>
      </c>
      <c r="G930" s="17" t="s">
        <v>12</v>
      </c>
      <c r="H930" s="8" t="s">
        <v>12</v>
      </c>
    </row>
    <row r="931">
      <c r="A931" s="15">
        <v>44763.0</v>
      </c>
      <c r="B931" s="8" t="s">
        <v>40</v>
      </c>
      <c r="C931" s="16" t="s">
        <v>21</v>
      </c>
      <c r="D931" s="17" t="s">
        <v>14</v>
      </c>
      <c r="E931" s="18" t="s">
        <v>35</v>
      </c>
      <c r="F931" s="19">
        <v>27.0</v>
      </c>
      <c r="G931" s="17" t="s">
        <v>12</v>
      </c>
      <c r="H931" s="8" t="s">
        <v>12</v>
      </c>
    </row>
    <row r="932">
      <c r="A932" s="15">
        <v>44764.0</v>
      </c>
      <c r="B932" s="8" t="s">
        <v>40</v>
      </c>
      <c r="C932" s="16" t="s">
        <v>22</v>
      </c>
      <c r="D932" s="17" t="s">
        <v>10</v>
      </c>
      <c r="E932" s="18" t="s">
        <v>19</v>
      </c>
      <c r="F932" s="19">
        <v>109.64</v>
      </c>
      <c r="G932" s="17" t="s">
        <v>12</v>
      </c>
      <c r="H932" s="8" t="s">
        <v>12</v>
      </c>
    </row>
    <row r="933">
      <c r="A933" s="15">
        <v>44764.0</v>
      </c>
      <c r="B933" s="8" t="s">
        <v>40</v>
      </c>
      <c r="C933" s="16" t="s">
        <v>22</v>
      </c>
      <c r="D933" s="17" t="s">
        <v>10</v>
      </c>
      <c r="E933" s="18" t="s">
        <v>38</v>
      </c>
      <c r="F933" s="19">
        <v>36.55</v>
      </c>
      <c r="G933" s="17" t="s">
        <v>12</v>
      </c>
      <c r="H933" s="8" t="s">
        <v>12</v>
      </c>
    </row>
    <row r="934">
      <c r="A934" s="15">
        <v>44764.0</v>
      </c>
      <c r="B934" s="8" t="s">
        <v>40</v>
      </c>
      <c r="C934" s="16" t="s">
        <v>22</v>
      </c>
      <c r="D934" s="17" t="s">
        <v>14</v>
      </c>
      <c r="E934" s="18" t="s">
        <v>19</v>
      </c>
      <c r="F934" s="19">
        <v>56.43</v>
      </c>
      <c r="G934" s="17" t="s">
        <v>12</v>
      </c>
      <c r="H934" s="8" t="s">
        <v>12</v>
      </c>
    </row>
    <row r="935">
      <c r="A935" s="15">
        <v>44764.0</v>
      </c>
      <c r="B935" s="8" t="s">
        <v>40</v>
      </c>
      <c r="C935" s="16" t="s">
        <v>22</v>
      </c>
      <c r="D935" s="17" t="s">
        <v>14</v>
      </c>
      <c r="E935" s="18" t="s">
        <v>28</v>
      </c>
      <c r="F935" s="19">
        <v>56.43</v>
      </c>
      <c r="G935" s="17" t="s">
        <v>12</v>
      </c>
      <c r="H935" s="8" t="s">
        <v>12</v>
      </c>
    </row>
    <row r="936">
      <c r="A936" s="15">
        <v>44764.0</v>
      </c>
      <c r="B936" s="8" t="s">
        <v>40</v>
      </c>
      <c r="C936" s="16" t="s">
        <v>22</v>
      </c>
      <c r="D936" s="17" t="s">
        <v>14</v>
      </c>
      <c r="E936" s="18" t="s">
        <v>13</v>
      </c>
      <c r="F936" s="19">
        <v>49.56</v>
      </c>
      <c r="G936" s="17" t="s">
        <v>12</v>
      </c>
      <c r="H936" s="8" t="s">
        <v>12</v>
      </c>
    </row>
    <row r="937">
      <c r="A937" s="15">
        <v>44765.0</v>
      </c>
      <c r="B937" s="8" t="s">
        <v>40</v>
      </c>
      <c r="C937" s="16" t="s">
        <v>23</v>
      </c>
      <c r="D937" s="17" t="s">
        <v>10</v>
      </c>
      <c r="E937" s="18" t="s">
        <v>13</v>
      </c>
      <c r="F937" s="19">
        <v>107.31</v>
      </c>
      <c r="G937" s="17" t="s">
        <v>12</v>
      </c>
      <c r="H937" s="8" t="s">
        <v>12</v>
      </c>
    </row>
    <row r="938">
      <c r="A938" s="15">
        <v>44765.0</v>
      </c>
      <c r="B938" s="8" t="s">
        <v>40</v>
      </c>
      <c r="C938" s="16" t="s">
        <v>23</v>
      </c>
      <c r="D938" s="17" t="s">
        <v>10</v>
      </c>
      <c r="E938" s="18" t="s">
        <v>31</v>
      </c>
      <c r="F938" s="19">
        <v>76.65</v>
      </c>
      <c r="G938" s="17" t="s">
        <v>12</v>
      </c>
      <c r="H938" s="8" t="s">
        <v>12</v>
      </c>
    </row>
    <row r="939">
      <c r="A939" s="15">
        <v>44765.0</v>
      </c>
      <c r="B939" s="8" t="s">
        <v>40</v>
      </c>
      <c r="C939" s="16" t="s">
        <v>23</v>
      </c>
      <c r="D939" s="17" t="s">
        <v>10</v>
      </c>
      <c r="E939" s="18" t="s">
        <v>35</v>
      </c>
      <c r="F939" s="19">
        <v>53.71</v>
      </c>
      <c r="G939" s="17" t="s">
        <v>12</v>
      </c>
      <c r="H939" s="8" t="s">
        <v>12</v>
      </c>
    </row>
    <row r="940">
      <c r="A940" s="15">
        <v>44765.0</v>
      </c>
      <c r="B940" s="8" t="s">
        <v>40</v>
      </c>
      <c r="C940" s="16" t="s">
        <v>23</v>
      </c>
      <c r="D940" s="17" t="s">
        <v>14</v>
      </c>
      <c r="E940" s="18" t="s">
        <v>31</v>
      </c>
      <c r="F940" s="19">
        <v>66.33</v>
      </c>
      <c r="G940" s="17" t="s">
        <v>12</v>
      </c>
      <c r="H940" s="8" t="s">
        <v>12</v>
      </c>
    </row>
    <row r="941">
      <c r="A941" s="15">
        <v>44765.0</v>
      </c>
      <c r="B941" s="8" t="s">
        <v>40</v>
      </c>
      <c r="C941" s="16" t="s">
        <v>23</v>
      </c>
      <c r="D941" s="17" t="s">
        <v>14</v>
      </c>
      <c r="E941" s="18" t="s">
        <v>19</v>
      </c>
      <c r="F941" s="19">
        <v>66.33</v>
      </c>
      <c r="G941" s="17" t="s">
        <v>12</v>
      </c>
      <c r="H941" s="8" t="s">
        <v>12</v>
      </c>
    </row>
    <row r="942">
      <c r="A942" s="15">
        <v>44766.0</v>
      </c>
      <c r="B942" s="8" t="s">
        <v>40</v>
      </c>
      <c r="C942" s="16" t="s">
        <v>9</v>
      </c>
      <c r="D942" s="17" t="s">
        <v>10</v>
      </c>
      <c r="E942" s="18" t="s">
        <v>31</v>
      </c>
      <c r="F942" s="19">
        <v>66.51</v>
      </c>
      <c r="G942" s="17" t="s">
        <v>12</v>
      </c>
      <c r="H942" s="8" t="s">
        <v>12</v>
      </c>
    </row>
    <row r="943">
      <c r="A943" s="15">
        <v>44766.0</v>
      </c>
      <c r="B943" s="8" t="s">
        <v>40</v>
      </c>
      <c r="C943" s="16" t="s">
        <v>9</v>
      </c>
      <c r="D943" s="17" t="s">
        <v>10</v>
      </c>
      <c r="E943" s="18" t="s">
        <v>13</v>
      </c>
      <c r="F943" s="19">
        <v>57.01</v>
      </c>
      <c r="G943" s="17" t="s">
        <v>12</v>
      </c>
      <c r="H943" s="8" t="s">
        <v>12</v>
      </c>
    </row>
    <row r="944">
      <c r="A944" s="15">
        <v>44766.0</v>
      </c>
      <c r="B944" s="8" t="s">
        <v>40</v>
      </c>
      <c r="C944" s="16" t="s">
        <v>9</v>
      </c>
      <c r="D944" s="17" t="s">
        <v>10</v>
      </c>
      <c r="E944" s="18" t="s">
        <v>19</v>
      </c>
      <c r="F944" s="19">
        <v>63.35</v>
      </c>
      <c r="G944" s="17" t="s">
        <v>12</v>
      </c>
      <c r="H944" s="8" t="s">
        <v>12</v>
      </c>
    </row>
    <row r="945">
      <c r="A945" s="15">
        <v>44766.0</v>
      </c>
      <c r="B945" s="8" t="s">
        <v>40</v>
      </c>
      <c r="C945" s="16" t="s">
        <v>9</v>
      </c>
      <c r="D945" s="17" t="s">
        <v>14</v>
      </c>
      <c r="E945" s="18" t="s">
        <v>31</v>
      </c>
      <c r="F945" s="19">
        <v>63.37</v>
      </c>
      <c r="G945" s="17" t="s">
        <v>12</v>
      </c>
      <c r="H945" s="8" t="s">
        <v>12</v>
      </c>
    </row>
    <row r="946">
      <c r="A946" s="15">
        <v>44766.0</v>
      </c>
      <c r="B946" s="8" t="s">
        <v>40</v>
      </c>
      <c r="C946" s="16" t="s">
        <v>9</v>
      </c>
      <c r="D946" s="17" t="s">
        <v>14</v>
      </c>
      <c r="E946" s="18" t="s">
        <v>35</v>
      </c>
      <c r="F946" s="19">
        <v>63.37</v>
      </c>
      <c r="G946" s="17" t="s">
        <v>12</v>
      </c>
      <c r="H946" s="8" t="s">
        <v>12</v>
      </c>
    </row>
    <row r="947">
      <c r="A947" s="15">
        <v>44766.0</v>
      </c>
      <c r="B947" s="8" t="s">
        <v>40</v>
      </c>
      <c r="C947" s="16" t="s">
        <v>9</v>
      </c>
      <c r="D947" s="17" t="s">
        <v>14</v>
      </c>
      <c r="E947" s="18" t="s">
        <v>38</v>
      </c>
      <c r="F947" s="19">
        <v>35.22</v>
      </c>
      <c r="G947" s="17" t="s">
        <v>12</v>
      </c>
      <c r="H947" s="8" t="s">
        <v>12</v>
      </c>
    </row>
    <row r="948">
      <c r="A948" s="15">
        <v>44767.0</v>
      </c>
      <c r="B948" s="8" t="s">
        <v>40</v>
      </c>
      <c r="C948" s="16" t="s">
        <v>16</v>
      </c>
      <c r="D948" s="17" t="s">
        <v>10</v>
      </c>
      <c r="E948" s="18" t="s">
        <v>34</v>
      </c>
      <c r="F948" s="19">
        <v>127.72</v>
      </c>
      <c r="G948" s="17" t="s">
        <v>12</v>
      </c>
      <c r="H948" s="8" t="s">
        <v>12</v>
      </c>
    </row>
    <row r="949">
      <c r="A949" s="15">
        <v>44767.0</v>
      </c>
      <c r="B949" s="8" t="s">
        <v>40</v>
      </c>
      <c r="C949" s="16" t="s">
        <v>16</v>
      </c>
      <c r="D949" s="17" t="s">
        <v>14</v>
      </c>
      <c r="E949" s="18" t="s">
        <v>34</v>
      </c>
      <c r="F949" s="19">
        <v>85.05</v>
      </c>
      <c r="G949" s="17" t="s">
        <v>12</v>
      </c>
      <c r="H949" s="8" t="s">
        <v>12</v>
      </c>
    </row>
    <row r="950">
      <c r="A950" s="15">
        <v>44767.0</v>
      </c>
      <c r="B950" s="8" t="s">
        <v>40</v>
      </c>
      <c r="C950" s="16" t="s">
        <v>16</v>
      </c>
      <c r="D950" s="17" t="s">
        <v>14</v>
      </c>
      <c r="E950" s="18" t="s">
        <v>28</v>
      </c>
      <c r="F950" s="19">
        <v>66.15</v>
      </c>
      <c r="G950" s="17" t="s">
        <v>12</v>
      </c>
      <c r="H950" s="8" t="s">
        <v>12</v>
      </c>
    </row>
    <row r="951">
      <c r="A951" s="15">
        <v>44768.0</v>
      </c>
      <c r="B951" s="8" t="s">
        <v>40</v>
      </c>
      <c r="C951" s="16" t="s">
        <v>18</v>
      </c>
      <c r="D951" s="17" t="s">
        <v>10</v>
      </c>
      <c r="E951" s="18" t="s">
        <v>34</v>
      </c>
      <c r="F951" s="19">
        <v>50.14</v>
      </c>
      <c r="G951" s="17" t="s">
        <v>12</v>
      </c>
      <c r="H951" s="8" t="s">
        <v>12</v>
      </c>
    </row>
    <row r="952">
      <c r="A952" s="15">
        <v>44768.0</v>
      </c>
      <c r="B952" s="8" t="s">
        <v>40</v>
      </c>
      <c r="C952" s="16" t="s">
        <v>18</v>
      </c>
      <c r="D952" s="17" t="s">
        <v>14</v>
      </c>
      <c r="E952" s="18" t="s">
        <v>19</v>
      </c>
      <c r="F952" s="19">
        <v>78.41</v>
      </c>
      <c r="G952" s="17" t="s">
        <v>12</v>
      </c>
      <c r="H952" s="8" t="s">
        <v>12</v>
      </c>
    </row>
    <row r="953">
      <c r="A953" s="15">
        <v>44768.0</v>
      </c>
      <c r="B953" s="8" t="s">
        <v>40</v>
      </c>
      <c r="C953" s="16" t="s">
        <v>18</v>
      </c>
      <c r="D953" s="17" t="s">
        <v>14</v>
      </c>
      <c r="E953" s="18" t="s">
        <v>38</v>
      </c>
      <c r="F953" s="19">
        <v>78.41</v>
      </c>
      <c r="G953" s="17" t="s">
        <v>12</v>
      </c>
      <c r="H953" s="8" t="s">
        <v>12</v>
      </c>
    </row>
    <row r="954">
      <c r="A954" s="15">
        <v>44769.0</v>
      </c>
      <c r="B954" s="8" t="s">
        <v>40</v>
      </c>
      <c r="C954" s="16" t="s">
        <v>20</v>
      </c>
      <c r="D954" s="17" t="s">
        <v>10</v>
      </c>
      <c r="E954" s="18" t="s">
        <v>19</v>
      </c>
      <c r="F954" s="19">
        <v>54.8</v>
      </c>
      <c r="G954" s="17" t="s">
        <v>12</v>
      </c>
      <c r="H954" s="8" t="s">
        <v>12</v>
      </c>
    </row>
    <row r="955">
      <c r="A955" s="15">
        <v>44769.0</v>
      </c>
      <c r="B955" s="8" t="s">
        <v>40</v>
      </c>
      <c r="C955" s="16" t="s">
        <v>20</v>
      </c>
      <c r="D955" s="17" t="s">
        <v>14</v>
      </c>
      <c r="E955" s="18" t="s">
        <v>19</v>
      </c>
      <c r="F955" s="19">
        <v>60.48</v>
      </c>
      <c r="G955" s="17" t="s">
        <v>12</v>
      </c>
      <c r="H955" s="8" t="s">
        <v>12</v>
      </c>
    </row>
    <row r="956">
      <c r="A956" s="15">
        <v>44769.0</v>
      </c>
      <c r="B956" s="8" t="s">
        <v>40</v>
      </c>
      <c r="C956" s="16" t="s">
        <v>20</v>
      </c>
      <c r="D956" s="17" t="s">
        <v>14</v>
      </c>
      <c r="E956" s="18" t="s">
        <v>38</v>
      </c>
      <c r="F956" s="19">
        <v>68.08</v>
      </c>
      <c r="G956" s="17" t="s">
        <v>12</v>
      </c>
      <c r="H956" s="8" t="s">
        <v>12</v>
      </c>
    </row>
    <row r="957">
      <c r="A957" s="15">
        <v>44770.0</v>
      </c>
      <c r="B957" s="8" t="s">
        <v>40</v>
      </c>
      <c r="C957" s="16" t="s">
        <v>21</v>
      </c>
      <c r="D957" s="17" t="s">
        <v>10</v>
      </c>
      <c r="E957" s="18" t="s">
        <v>31</v>
      </c>
      <c r="F957" s="19">
        <v>50.65</v>
      </c>
      <c r="G957" s="17" t="s">
        <v>12</v>
      </c>
      <c r="H957" s="8" t="s">
        <v>12</v>
      </c>
    </row>
    <row r="958">
      <c r="A958" s="15">
        <v>44770.0</v>
      </c>
      <c r="B958" s="8" t="s">
        <v>40</v>
      </c>
      <c r="C958" s="16" t="s">
        <v>21</v>
      </c>
      <c r="D958" s="17" t="s">
        <v>14</v>
      </c>
      <c r="E958" s="18" t="s">
        <v>31</v>
      </c>
      <c r="F958" s="19">
        <v>66.55</v>
      </c>
      <c r="G958" s="17" t="s">
        <v>12</v>
      </c>
      <c r="H958" s="8" t="s">
        <v>12</v>
      </c>
    </row>
    <row r="959">
      <c r="A959" s="15">
        <v>44770.0</v>
      </c>
      <c r="B959" s="8" t="s">
        <v>40</v>
      </c>
      <c r="C959" s="16" t="s">
        <v>21</v>
      </c>
      <c r="D959" s="17" t="s">
        <v>14</v>
      </c>
      <c r="E959" s="18" t="s">
        <v>28</v>
      </c>
      <c r="F959" s="19">
        <v>103.53</v>
      </c>
      <c r="G959" s="17" t="s">
        <v>12</v>
      </c>
      <c r="H959" s="8" t="s">
        <v>12</v>
      </c>
    </row>
    <row r="960">
      <c r="A960" s="15">
        <v>44771.0</v>
      </c>
      <c r="B960" s="8" t="s">
        <v>40</v>
      </c>
      <c r="C960" s="16" t="s">
        <v>22</v>
      </c>
      <c r="D960" s="17" t="s">
        <v>10</v>
      </c>
      <c r="E960" s="18" t="s">
        <v>34</v>
      </c>
      <c r="F960" s="19">
        <v>101.65</v>
      </c>
      <c r="G960" s="17" t="s">
        <v>12</v>
      </c>
      <c r="H960" s="8" t="s">
        <v>12</v>
      </c>
    </row>
    <row r="961">
      <c r="A961" s="15">
        <v>44771.0</v>
      </c>
      <c r="B961" s="8" t="s">
        <v>40</v>
      </c>
      <c r="C961" s="16" t="s">
        <v>22</v>
      </c>
      <c r="D961" s="17" t="s">
        <v>14</v>
      </c>
      <c r="E961" s="18" t="s">
        <v>34</v>
      </c>
      <c r="F961" s="19">
        <v>46.87</v>
      </c>
      <c r="G961" s="17" t="s">
        <v>12</v>
      </c>
      <c r="H961" s="8" t="s">
        <v>12</v>
      </c>
    </row>
    <row r="962">
      <c r="A962" s="15">
        <v>44771.0</v>
      </c>
      <c r="B962" s="8" t="s">
        <v>40</v>
      </c>
      <c r="C962" s="16" t="s">
        <v>22</v>
      </c>
      <c r="D962" s="17" t="s">
        <v>14</v>
      </c>
      <c r="E962" s="18" t="s">
        <v>13</v>
      </c>
      <c r="F962" s="19">
        <v>70.38</v>
      </c>
      <c r="G962" s="17" t="s">
        <v>12</v>
      </c>
      <c r="H962" s="8" t="s">
        <v>12</v>
      </c>
    </row>
    <row r="963">
      <c r="A963" s="15">
        <v>44771.0</v>
      </c>
      <c r="B963" s="8" t="s">
        <v>40</v>
      </c>
      <c r="C963" s="16" t="s">
        <v>22</v>
      </c>
      <c r="D963" s="17" t="s">
        <v>14</v>
      </c>
      <c r="E963" s="18" t="s">
        <v>28</v>
      </c>
      <c r="F963" s="19">
        <v>54.74</v>
      </c>
      <c r="G963" s="17" t="s">
        <v>12</v>
      </c>
      <c r="H963" s="8" t="s">
        <v>12</v>
      </c>
    </row>
    <row r="964">
      <c r="A964" s="15">
        <v>44772.0</v>
      </c>
      <c r="B964" s="8" t="s">
        <v>40</v>
      </c>
      <c r="C964" s="16" t="s">
        <v>23</v>
      </c>
      <c r="D964" s="17" t="s">
        <v>10</v>
      </c>
      <c r="E964" s="18" t="s">
        <v>13</v>
      </c>
      <c r="F964" s="19">
        <v>110.11</v>
      </c>
      <c r="G964" s="17" t="s">
        <v>12</v>
      </c>
      <c r="H964" s="8" t="s">
        <v>12</v>
      </c>
    </row>
    <row r="965">
      <c r="A965" s="15">
        <v>44772.0</v>
      </c>
      <c r="B965" s="8" t="s">
        <v>40</v>
      </c>
      <c r="C965" s="16" t="s">
        <v>23</v>
      </c>
      <c r="D965" s="17" t="s">
        <v>10</v>
      </c>
      <c r="E965" s="18" t="s">
        <v>31</v>
      </c>
      <c r="F965" s="19">
        <v>62.92</v>
      </c>
      <c r="G965" s="17" t="s">
        <v>12</v>
      </c>
      <c r="H965" s="8" t="s">
        <v>12</v>
      </c>
    </row>
    <row r="966">
      <c r="A966" s="15">
        <v>44772.0</v>
      </c>
      <c r="B966" s="8" t="s">
        <v>40</v>
      </c>
      <c r="C966" s="16" t="s">
        <v>23</v>
      </c>
      <c r="D966" s="17" t="s">
        <v>10</v>
      </c>
      <c r="E966" s="18" t="s">
        <v>35</v>
      </c>
      <c r="F966" s="19">
        <v>39.33</v>
      </c>
      <c r="G966" s="17" t="s">
        <v>12</v>
      </c>
      <c r="H966" s="8" t="s">
        <v>12</v>
      </c>
    </row>
    <row r="967">
      <c r="A967" s="15">
        <v>44772.0</v>
      </c>
      <c r="B967" s="8" t="s">
        <v>40</v>
      </c>
      <c r="C967" s="16" t="s">
        <v>23</v>
      </c>
      <c r="D967" s="17" t="s">
        <v>14</v>
      </c>
      <c r="E967" s="18" t="s">
        <v>13</v>
      </c>
      <c r="F967" s="19">
        <v>64.59</v>
      </c>
      <c r="G967" s="17" t="s">
        <v>12</v>
      </c>
      <c r="H967" s="8" t="s">
        <v>12</v>
      </c>
    </row>
    <row r="968">
      <c r="A968" s="15">
        <v>44772.0</v>
      </c>
      <c r="B968" s="8" t="s">
        <v>40</v>
      </c>
      <c r="C968" s="16" t="s">
        <v>23</v>
      </c>
      <c r="D968" s="17" t="s">
        <v>14</v>
      </c>
      <c r="E968" s="18" t="s">
        <v>31</v>
      </c>
      <c r="F968" s="19">
        <v>64.59</v>
      </c>
      <c r="G968" s="17" t="s">
        <v>12</v>
      </c>
      <c r="H968" s="8" t="s">
        <v>12</v>
      </c>
    </row>
    <row r="969">
      <c r="A969" s="15">
        <v>44773.0</v>
      </c>
      <c r="B969" s="8" t="s">
        <v>40</v>
      </c>
      <c r="C969" s="16" t="s">
        <v>9</v>
      </c>
      <c r="D969" s="17" t="s">
        <v>10</v>
      </c>
      <c r="E969" s="18" t="s">
        <v>31</v>
      </c>
      <c r="F969" s="19">
        <v>98.27</v>
      </c>
      <c r="G969" s="17" t="s">
        <v>12</v>
      </c>
      <c r="H969" s="8" t="s">
        <v>12</v>
      </c>
    </row>
    <row r="970">
      <c r="A970" s="15">
        <v>44773.0</v>
      </c>
      <c r="B970" s="8" t="s">
        <v>40</v>
      </c>
      <c r="C970" s="16" t="s">
        <v>9</v>
      </c>
      <c r="D970" s="17" t="s">
        <v>10</v>
      </c>
      <c r="E970" s="18" t="s">
        <v>13</v>
      </c>
      <c r="F970" s="19">
        <v>59.65</v>
      </c>
      <c r="G970" s="17" t="s">
        <v>12</v>
      </c>
      <c r="H970" s="8" t="s">
        <v>12</v>
      </c>
    </row>
    <row r="971">
      <c r="A971" s="15">
        <v>44773.0</v>
      </c>
      <c r="B971" s="8" t="s">
        <v>40</v>
      </c>
      <c r="C971" s="16" t="s">
        <v>9</v>
      </c>
      <c r="D971" s="17" t="s">
        <v>10</v>
      </c>
      <c r="E971" s="18" t="s">
        <v>35</v>
      </c>
      <c r="F971" s="19">
        <v>70.18</v>
      </c>
      <c r="G971" s="17" t="s">
        <v>12</v>
      </c>
      <c r="H971" s="8" t="s">
        <v>12</v>
      </c>
    </row>
    <row r="972">
      <c r="A972" s="15">
        <v>44773.0</v>
      </c>
      <c r="B972" s="8" t="s">
        <v>40</v>
      </c>
      <c r="C972" s="16" t="s">
        <v>9</v>
      </c>
      <c r="D972" s="17" t="s">
        <v>14</v>
      </c>
      <c r="E972" s="18" t="s">
        <v>31</v>
      </c>
      <c r="F972" s="19">
        <v>101.65</v>
      </c>
      <c r="G972" s="17" t="s">
        <v>12</v>
      </c>
      <c r="H972" s="8" t="s">
        <v>12</v>
      </c>
    </row>
    <row r="973">
      <c r="A973" s="15">
        <v>44773.0</v>
      </c>
      <c r="B973" s="8" t="s">
        <v>40</v>
      </c>
      <c r="C973" s="16" t="s">
        <v>9</v>
      </c>
      <c r="D973" s="17" t="s">
        <v>14</v>
      </c>
      <c r="E973" s="18" t="s">
        <v>13</v>
      </c>
      <c r="F973" s="19">
        <v>79.1</v>
      </c>
      <c r="G973" s="17" t="s">
        <v>12</v>
      </c>
      <c r="H973" s="8" t="s">
        <v>12</v>
      </c>
    </row>
    <row r="974">
      <c r="A974" s="15">
        <v>44773.0</v>
      </c>
      <c r="B974" s="8" t="s">
        <v>40</v>
      </c>
      <c r="C974" s="16" t="s">
        <v>9</v>
      </c>
      <c r="D974" s="17" t="s">
        <v>14</v>
      </c>
      <c r="E974" s="18" t="s">
        <v>35</v>
      </c>
      <c r="F974" s="19">
        <v>101.65</v>
      </c>
      <c r="G974" s="17" t="s">
        <v>12</v>
      </c>
      <c r="H974" s="8" t="s">
        <v>12</v>
      </c>
    </row>
    <row r="975">
      <c r="A975" s="15">
        <v>44774.0</v>
      </c>
      <c r="B975" s="8" t="s">
        <v>41</v>
      </c>
      <c r="C975" s="16" t="s">
        <v>16</v>
      </c>
      <c r="D975" s="17" t="s">
        <v>10</v>
      </c>
      <c r="E975" s="18" t="s">
        <v>34</v>
      </c>
      <c r="F975" s="19">
        <v>116.46</v>
      </c>
      <c r="G975" s="17" t="s">
        <v>12</v>
      </c>
      <c r="H975" s="8" t="s">
        <v>12</v>
      </c>
    </row>
    <row r="976">
      <c r="A976" s="15">
        <v>44774.0</v>
      </c>
      <c r="B976" s="8" t="s">
        <v>41</v>
      </c>
      <c r="C976" s="16" t="s">
        <v>16</v>
      </c>
      <c r="D976" s="17" t="s">
        <v>14</v>
      </c>
      <c r="E976" s="18" t="s">
        <v>34</v>
      </c>
      <c r="F976" s="19">
        <v>90.73</v>
      </c>
      <c r="G976" s="17" t="s">
        <v>12</v>
      </c>
      <c r="H976" s="8" t="s">
        <v>12</v>
      </c>
    </row>
    <row r="977">
      <c r="A977" s="15">
        <v>44774.0</v>
      </c>
      <c r="B977" s="8" t="s">
        <v>41</v>
      </c>
      <c r="C977" s="16" t="s">
        <v>16</v>
      </c>
      <c r="D977" s="17" t="s">
        <v>14</v>
      </c>
      <c r="E977" s="18" t="s">
        <v>28</v>
      </c>
      <c r="F977" s="19">
        <v>70.56</v>
      </c>
      <c r="G977" s="17" t="s">
        <v>12</v>
      </c>
      <c r="H977" s="8" t="s">
        <v>12</v>
      </c>
    </row>
    <row r="978">
      <c r="A978" s="15">
        <v>44775.0</v>
      </c>
      <c r="B978" s="8" t="s">
        <v>41</v>
      </c>
      <c r="C978" s="16" t="s">
        <v>18</v>
      </c>
      <c r="D978" s="17" t="s">
        <v>10</v>
      </c>
      <c r="E978" s="18" t="s">
        <v>34</v>
      </c>
      <c r="F978" s="19">
        <v>76.19</v>
      </c>
      <c r="G978" s="17" t="s">
        <v>12</v>
      </c>
      <c r="H978" s="8" t="s">
        <v>12</v>
      </c>
    </row>
    <row r="979">
      <c r="A979" s="15">
        <v>44775.0</v>
      </c>
      <c r="B979" s="8" t="s">
        <v>41</v>
      </c>
      <c r="C979" s="16" t="s">
        <v>18</v>
      </c>
      <c r="D979" s="17" t="s">
        <v>14</v>
      </c>
      <c r="E979" s="18" t="s">
        <v>34</v>
      </c>
      <c r="F979" s="19">
        <v>79.5</v>
      </c>
      <c r="G979" s="17" t="s">
        <v>12</v>
      </c>
      <c r="H979" s="8" t="s">
        <v>12</v>
      </c>
    </row>
    <row r="980">
      <c r="A980" s="15">
        <v>44775.0</v>
      </c>
      <c r="B980" s="8" t="s">
        <v>41</v>
      </c>
      <c r="C980" s="16" t="s">
        <v>18</v>
      </c>
      <c r="D980" s="17" t="s">
        <v>14</v>
      </c>
      <c r="E980" s="18" t="s">
        <v>38</v>
      </c>
      <c r="F980" s="19">
        <v>79.5</v>
      </c>
      <c r="G980" s="17" t="s">
        <v>12</v>
      </c>
      <c r="H980" s="8" t="s">
        <v>12</v>
      </c>
    </row>
    <row r="981">
      <c r="A981" s="15">
        <v>44776.0</v>
      </c>
      <c r="B981" s="8" t="s">
        <v>41</v>
      </c>
      <c r="C981" s="16" t="s">
        <v>20</v>
      </c>
      <c r="D981" s="17" t="s">
        <v>10</v>
      </c>
      <c r="E981" s="18" t="s">
        <v>19</v>
      </c>
      <c r="F981" s="19">
        <v>42.01</v>
      </c>
      <c r="G981" s="17" t="s">
        <v>12</v>
      </c>
      <c r="H981" s="8" t="s">
        <v>12</v>
      </c>
    </row>
    <row r="982">
      <c r="A982" s="15">
        <v>44776.0</v>
      </c>
      <c r="B982" s="8" t="s">
        <v>41</v>
      </c>
      <c r="C982" s="16" t="s">
        <v>20</v>
      </c>
      <c r="D982" s="17" t="s">
        <v>14</v>
      </c>
      <c r="E982" s="18" t="s">
        <v>19</v>
      </c>
      <c r="F982" s="19">
        <v>53.99</v>
      </c>
      <c r="G982" s="17" t="s">
        <v>12</v>
      </c>
      <c r="H982" s="8" t="s">
        <v>12</v>
      </c>
    </row>
    <row r="983">
      <c r="A983" s="15">
        <v>44776.0</v>
      </c>
      <c r="B983" s="8" t="s">
        <v>41</v>
      </c>
      <c r="C983" s="16" t="s">
        <v>20</v>
      </c>
      <c r="D983" s="17" t="s">
        <v>14</v>
      </c>
      <c r="E983" s="18" t="s">
        <v>35</v>
      </c>
      <c r="F983" s="19">
        <v>42.0</v>
      </c>
      <c r="G983" s="17" t="s">
        <v>12</v>
      </c>
      <c r="H983" s="8" t="s">
        <v>12</v>
      </c>
    </row>
    <row r="984">
      <c r="A984" s="15">
        <v>44777.0</v>
      </c>
      <c r="B984" s="8" t="s">
        <v>41</v>
      </c>
      <c r="C984" s="16" t="s">
        <v>21</v>
      </c>
      <c r="D984" s="17" t="s">
        <v>10</v>
      </c>
      <c r="E984" s="18" t="s">
        <v>34</v>
      </c>
      <c r="F984" s="19">
        <v>93.45</v>
      </c>
      <c r="G984" s="17" t="s">
        <v>12</v>
      </c>
      <c r="H984" s="8" t="s">
        <v>12</v>
      </c>
    </row>
    <row r="985">
      <c r="A985" s="15">
        <v>44777.0</v>
      </c>
      <c r="B985" s="8" t="s">
        <v>41</v>
      </c>
      <c r="C985" s="16" t="s">
        <v>21</v>
      </c>
      <c r="D985" s="17" t="s">
        <v>14</v>
      </c>
      <c r="E985" s="18" t="s">
        <v>34</v>
      </c>
      <c r="F985" s="19">
        <v>75.33</v>
      </c>
      <c r="G985" s="17" t="s">
        <v>12</v>
      </c>
      <c r="H985" s="8" t="s">
        <v>12</v>
      </c>
    </row>
    <row r="986">
      <c r="A986" s="15">
        <v>44777.0</v>
      </c>
      <c r="B986" s="8" t="s">
        <v>41</v>
      </c>
      <c r="C986" s="16" t="s">
        <v>21</v>
      </c>
      <c r="D986" s="17" t="s">
        <v>14</v>
      </c>
      <c r="E986" s="18" t="s">
        <v>38</v>
      </c>
      <c r="F986" s="19">
        <v>75.34</v>
      </c>
      <c r="G986" s="17" t="s">
        <v>12</v>
      </c>
      <c r="H986" s="8" t="s">
        <v>12</v>
      </c>
    </row>
    <row r="987">
      <c r="A987" s="15">
        <v>44778.0</v>
      </c>
      <c r="B987" s="8" t="s">
        <v>41</v>
      </c>
      <c r="C987" s="16" t="s">
        <v>22</v>
      </c>
      <c r="D987" s="17" t="s">
        <v>10</v>
      </c>
      <c r="E987" s="18" t="s">
        <v>31</v>
      </c>
      <c r="F987" s="19">
        <v>77.91</v>
      </c>
      <c r="G987" s="17" t="s">
        <v>12</v>
      </c>
      <c r="H987" s="8" t="s">
        <v>12</v>
      </c>
    </row>
    <row r="988">
      <c r="A988" s="15">
        <v>44778.0</v>
      </c>
      <c r="B988" s="8" t="s">
        <v>41</v>
      </c>
      <c r="C988" s="16" t="s">
        <v>22</v>
      </c>
      <c r="D988" s="17" t="s">
        <v>14</v>
      </c>
      <c r="E988" s="18" t="s">
        <v>31</v>
      </c>
      <c r="F988" s="19">
        <v>78.88</v>
      </c>
      <c r="G988" s="17" t="s">
        <v>12</v>
      </c>
      <c r="H988" s="8" t="s">
        <v>12</v>
      </c>
    </row>
    <row r="989">
      <c r="A989" s="15">
        <v>44778.0</v>
      </c>
      <c r="B989" s="8" t="s">
        <v>41</v>
      </c>
      <c r="C989" s="16" t="s">
        <v>22</v>
      </c>
      <c r="D989" s="17" t="s">
        <v>14</v>
      </c>
      <c r="E989" s="18" t="s">
        <v>13</v>
      </c>
      <c r="F989" s="19">
        <v>78.88</v>
      </c>
      <c r="G989" s="17" t="s">
        <v>12</v>
      </c>
      <c r="H989" s="8" t="s">
        <v>12</v>
      </c>
    </row>
    <row r="990">
      <c r="A990" s="15">
        <v>44778.0</v>
      </c>
      <c r="B990" s="8" t="s">
        <v>41</v>
      </c>
      <c r="C990" s="16" t="s">
        <v>22</v>
      </c>
      <c r="D990" s="17" t="s">
        <v>14</v>
      </c>
      <c r="E990" s="18" t="s">
        <v>38</v>
      </c>
      <c r="F990" s="19">
        <v>78.88</v>
      </c>
      <c r="G990" s="17" t="s">
        <v>12</v>
      </c>
      <c r="H990" s="8" t="s">
        <v>12</v>
      </c>
    </row>
    <row r="991">
      <c r="A991" s="15">
        <v>44779.0</v>
      </c>
      <c r="B991" s="8" t="s">
        <v>41</v>
      </c>
      <c r="C991" s="16" t="s">
        <v>23</v>
      </c>
      <c r="D991" s="17" t="s">
        <v>10</v>
      </c>
      <c r="E991" s="18" t="s">
        <v>13</v>
      </c>
      <c r="F991" s="19">
        <v>99.89</v>
      </c>
      <c r="G991" s="17" t="s">
        <v>12</v>
      </c>
      <c r="H991" s="8" t="s">
        <v>12</v>
      </c>
    </row>
    <row r="992">
      <c r="A992" s="15">
        <v>44779.0</v>
      </c>
      <c r="B992" s="8" t="s">
        <v>41</v>
      </c>
      <c r="C992" s="16" t="s">
        <v>23</v>
      </c>
      <c r="D992" s="17" t="s">
        <v>10</v>
      </c>
      <c r="E992" s="18" t="s">
        <v>31</v>
      </c>
      <c r="F992" s="19">
        <v>71.35</v>
      </c>
      <c r="G992" s="17" t="s">
        <v>12</v>
      </c>
      <c r="H992" s="8" t="s">
        <v>12</v>
      </c>
    </row>
    <row r="993">
      <c r="A993" s="15">
        <v>44779.0</v>
      </c>
      <c r="B993" s="8" t="s">
        <v>41</v>
      </c>
      <c r="C993" s="16" t="s">
        <v>23</v>
      </c>
      <c r="D993" s="17" t="s">
        <v>10</v>
      </c>
      <c r="E993" s="18" t="s">
        <v>38</v>
      </c>
      <c r="F993" s="19">
        <v>32.1</v>
      </c>
      <c r="G993" s="17" t="s">
        <v>12</v>
      </c>
      <c r="H993" s="8" t="s">
        <v>12</v>
      </c>
    </row>
    <row r="994">
      <c r="A994" s="15">
        <v>44779.0</v>
      </c>
      <c r="B994" s="8" t="s">
        <v>41</v>
      </c>
      <c r="C994" s="16" t="s">
        <v>23</v>
      </c>
      <c r="D994" s="17" t="s">
        <v>14</v>
      </c>
      <c r="E994" s="18" t="s">
        <v>13</v>
      </c>
      <c r="F994" s="19">
        <v>40.65</v>
      </c>
      <c r="G994" s="17" t="s">
        <v>12</v>
      </c>
      <c r="H994" s="8" t="s">
        <v>12</v>
      </c>
    </row>
    <row r="995">
      <c r="A995" s="15">
        <v>44779.0</v>
      </c>
      <c r="B995" s="8" t="s">
        <v>41</v>
      </c>
      <c r="C995" s="16" t="s">
        <v>23</v>
      </c>
      <c r="D995" s="17" t="s">
        <v>14</v>
      </c>
      <c r="E995" s="18" t="s">
        <v>31</v>
      </c>
      <c r="F995" s="19">
        <v>40.64</v>
      </c>
      <c r="G995" s="17" t="s">
        <v>12</v>
      </c>
      <c r="H995" s="8" t="s">
        <v>12</v>
      </c>
    </row>
    <row r="996">
      <c r="A996" s="15">
        <v>44780.0</v>
      </c>
      <c r="B996" s="8" t="s">
        <v>41</v>
      </c>
      <c r="C996" s="16" t="s">
        <v>9</v>
      </c>
      <c r="D996" s="17" t="s">
        <v>10</v>
      </c>
      <c r="E996" s="18" t="s">
        <v>31</v>
      </c>
      <c r="F996" s="19">
        <v>145.79</v>
      </c>
      <c r="G996" s="17" t="s">
        <v>12</v>
      </c>
      <c r="H996" s="8" t="s">
        <v>12</v>
      </c>
    </row>
    <row r="997">
      <c r="A997" s="15">
        <v>44780.0</v>
      </c>
      <c r="B997" s="8" t="s">
        <v>41</v>
      </c>
      <c r="C997" s="16" t="s">
        <v>9</v>
      </c>
      <c r="D997" s="17" t="s">
        <v>10</v>
      </c>
      <c r="E997" s="18" t="s">
        <v>13</v>
      </c>
      <c r="F997" s="19">
        <v>145.79</v>
      </c>
      <c r="G997" s="17" t="s">
        <v>12</v>
      </c>
      <c r="H997" s="8" t="s">
        <v>12</v>
      </c>
    </row>
    <row r="998">
      <c r="A998" s="15">
        <v>44780.0</v>
      </c>
      <c r="B998" s="8" t="s">
        <v>41</v>
      </c>
      <c r="C998" s="16" t="s">
        <v>9</v>
      </c>
      <c r="D998" s="17" t="s">
        <v>14</v>
      </c>
      <c r="E998" s="18" t="s">
        <v>13</v>
      </c>
      <c r="F998" s="19">
        <v>64.74</v>
      </c>
      <c r="G998" s="17" t="s">
        <v>12</v>
      </c>
      <c r="H998" s="8" t="s">
        <v>12</v>
      </c>
    </row>
    <row r="999">
      <c r="A999" s="15">
        <v>44780.0</v>
      </c>
      <c r="B999" s="8" t="s">
        <v>41</v>
      </c>
      <c r="C999" s="16" t="s">
        <v>9</v>
      </c>
      <c r="D999" s="17" t="s">
        <v>14</v>
      </c>
      <c r="E999" s="18" t="s">
        <v>31</v>
      </c>
      <c r="F999" s="19">
        <v>64.74</v>
      </c>
      <c r="G999" s="17" t="s">
        <v>12</v>
      </c>
      <c r="H999" s="8" t="s">
        <v>12</v>
      </c>
    </row>
    <row r="1000">
      <c r="A1000" s="15">
        <v>44781.0</v>
      </c>
      <c r="B1000" s="8" t="s">
        <v>41</v>
      </c>
      <c r="C1000" s="16" t="s">
        <v>16</v>
      </c>
      <c r="D1000" s="17" t="s">
        <v>10</v>
      </c>
      <c r="E1000" s="18" t="s">
        <v>34</v>
      </c>
      <c r="F1000" s="19">
        <v>73.79</v>
      </c>
      <c r="G1000" s="17" t="s">
        <v>12</v>
      </c>
      <c r="H1000" s="8" t="s">
        <v>12</v>
      </c>
    </row>
    <row r="1001">
      <c r="A1001" s="15">
        <v>44781.0</v>
      </c>
      <c r="B1001" s="8" t="s">
        <v>41</v>
      </c>
      <c r="C1001" s="16" t="s">
        <v>16</v>
      </c>
      <c r="D1001" s="17" t="s">
        <v>14</v>
      </c>
      <c r="E1001" s="18" t="s">
        <v>34</v>
      </c>
      <c r="F1001" s="19">
        <v>66.53</v>
      </c>
      <c r="G1001" s="17" t="s">
        <v>12</v>
      </c>
      <c r="H1001" s="8" t="s">
        <v>12</v>
      </c>
    </row>
    <row r="1002">
      <c r="A1002" s="15">
        <v>44781.0</v>
      </c>
      <c r="B1002" s="8" t="s">
        <v>41</v>
      </c>
      <c r="C1002" s="16" t="s">
        <v>16</v>
      </c>
      <c r="D1002" s="17" t="s">
        <v>14</v>
      </c>
      <c r="E1002" s="18" t="s">
        <v>19</v>
      </c>
      <c r="F1002" s="19">
        <v>66.53</v>
      </c>
      <c r="G1002" s="17" t="s">
        <v>12</v>
      </c>
      <c r="H1002" s="8" t="s">
        <v>12</v>
      </c>
    </row>
    <row r="1003">
      <c r="A1003" s="15">
        <v>44782.0</v>
      </c>
      <c r="B1003" s="8" t="s">
        <v>41</v>
      </c>
      <c r="C1003" s="16" t="s">
        <v>18</v>
      </c>
      <c r="D1003" s="17" t="s">
        <v>10</v>
      </c>
      <c r="E1003" s="18" t="s">
        <v>34</v>
      </c>
      <c r="F1003" s="19">
        <v>57.52</v>
      </c>
      <c r="G1003" s="17" t="s">
        <v>12</v>
      </c>
      <c r="H1003" s="8" t="s">
        <v>12</v>
      </c>
    </row>
    <row r="1004">
      <c r="A1004" s="15">
        <v>44782.0</v>
      </c>
      <c r="B1004" s="8" t="s">
        <v>41</v>
      </c>
      <c r="C1004" s="16" t="s">
        <v>18</v>
      </c>
      <c r="D1004" s="17" t="s">
        <v>14</v>
      </c>
      <c r="E1004" s="18" t="s">
        <v>34</v>
      </c>
      <c r="F1004" s="19">
        <v>103.65</v>
      </c>
      <c r="G1004" s="17" t="s">
        <v>12</v>
      </c>
      <c r="H1004" s="8" t="s">
        <v>12</v>
      </c>
    </row>
    <row r="1005">
      <c r="A1005" s="15">
        <v>44782.0</v>
      </c>
      <c r="B1005" s="8" t="s">
        <v>41</v>
      </c>
      <c r="C1005" s="16" t="s">
        <v>18</v>
      </c>
      <c r="D1005" s="17" t="s">
        <v>14</v>
      </c>
      <c r="E1005" s="18" t="s">
        <v>38</v>
      </c>
      <c r="F1005" s="19">
        <v>103.66</v>
      </c>
      <c r="G1005" s="17" t="s">
        <v>12</v>
      </c>
      <c r="H1005" s="8" t="s">
        <v>12</v>
      </c>
    </row>
    <row r="1006">
      <c r="A1006" s="15">
        <v>44783.0</v>
      </c>
      <c r="B1006" s="8" t="s">
        <v>41</v>
      </c>
      <c r="C1006" s="16" t="s">
        <v>20</v>
      </c>
      <c r="D1006" s="17" t="s">
        <v>10</v>
      </c>
      <c r="E1006" s="18" t="s">
        <v>19</v>
      </c>
      <c r="F1006" s="19">
        <v>123.27</v>
      </c>
      <c r="G1006" s="17" t="s">
        <v>12</v>
      </c>
      <c r="H1006" s="8" t="s">
        <v>12</v>
      </c>
    </row>
    <row r="1007">
      <c r="A1007" s="15">
        <v>44783.0</v>
      </c>
      <c r="B1007" s="8" t="s">
        <v>41</v>
      </c>
      <c r="C1007" s="16" t="s">
        <v>20</v>
      </c>
      <c r="D1007" s="17" t="s">
        <v>14</v>
      </c>
      <c r="E1007" s="18" t="s">
        <v>19</v>
      </c>
      <c r="F1007" s="19">
        <v>114.38</v>
      </c>
      <c r="G1007" s="17" t="s">
        <v>12</v>
      </c>
      <c r="H1007" s="8" t="s">
        <v>12</v>
      </c>
    </row>
    <row r="1008">
      <c r="A1008" s="15">
        <v>44783.0</v>
      </c>
      <c r="B1008" s="8" t="s">
        <v>41</v>
      </c>
      <c r="C1008" s="16" t="s">
        <v>20</v>
      </c>
      <c r="D1008" s="17" t="s">
        <v>14</v>
      </c>
      <c r="E1008" s="18" t="s">
        <v>38</v>
      </c>
      <c r="F1008" s="19">
        <v>114.38</v>
      </c>
      <c r="G1008" s="17" t="s">
        <v>12</v>
      </c>
      <c r="H1008" s="8" t="s">
        <v>12</v>
      </c>
    </row>
    <row r="1009">
      <c r="A1009" s="15">
        <v>44784.0</v>
      </c>
      <c r="B1009" s="8" t="s">
        <v>41</v>
      </c>
      <c r="C1009" s="16" t="s">
        <v>21</v>
      </c>
      <c r="D1009" s="17" t="s">
        <v>10</v>
      </c>
      <c r="E1009" s="18" t="s">
        <v>31</v>
      </c>
      <c r="F1009" s="19">
        <v>21.89</v>
      </c>
      <c r="G1009" s="17" t="s">
        <v>12</v>
      </c>
      <c r="H1009" s="8" t="s">
        <v>12</v>
      </c>
    </row>
    <row r="1010">
      <c r="A1010" s="15">
        <v>44784.0</v>
      </c>
      <c r="B1010" s="8" t="s">
        <v>41</v>
      </c>
      <c r="C1010" s="16" t="s">
        <v>21</v>
      </c>
      <c r="D1010" s="17" t="s">
        <v>10</v>
      </c>
      <c r="E1010" s="18" t="s">
        <v>13</v>
      </c>
      <c r="F1010" s="19">
        <v>21.89</v>
      </c>
      <c r="G1010" s="17" t="s">
        <v>12</v>
      </c>
      <c r="H1010" s="8" t="s">
        <v>12</v>
      </c>
    </row>
    <row r="1011">
      <c r="A1011" s="15">
        <v>44784.0</v>
      </c>
      <c r="B1011" s="8" t="s">
        <v>41</v>
      </c>
      <c r="C1011" s="16" t="s">
        <v>21</v>
      </c>
      <c r="D1011" s="17" t="s">
        <v>10</v>
      </c>
      <c r="E1011" s="18" t="s">
        <v>38</v>
      </c>
      <c r="F1011" s="19">
        <v>76.66</v>
      </c>
      <c r="G1011" s="17" t="s">
        <v>12</v>
      </c>
      <c r="H1011" s="8" t="s">
        <v>12</v>
      </c>
    </row>
    <row r="1012">
      <c r="A1012" s="15">
        <v>44784.0</v>
      </c>
      <c r="B1012" s="8" t="s">
        <v>41</v>
      </c>
      <c r="C1012" s="16" t="s">
        <v>21</v>
      </c>
      <c r="D1012" s="17" t="s">
        <v>14</v>
      </c>
      <c r="E1012" s="18" t="s">
        <v>38</v>
      </c>
      <c r="F1012" s="19">
        <v>97.69</v>
      </c>
      <c r="G1012" s="17" t="s">
        <v>12</v>
      </c>
      <c r="H1012" s="8" t="s">
        <v>12</v>
      </c>
    </row>
    <row r="1013">
      <c r="A1013" s="15">
        <v>44784.0</v>
      </c>
      <c r="B1013" s="8" t="s">
        <v>41</v>
      </c>
      <c r="C1013" s="16" t="s">
        <v>21</v>
      </c>
      <c r="D1013" s="17" t="s">
        <v>14</v>
      </c>
      <c r="E1013" s="18" t="s">
        <v>35</v>
      </c>
      <c r="F1013" s="19">
        <v>75.25</v>
      </c>
      <c r="G1013" s="17" t="s">
        <v>12</v>
      </c>
      <c r="H1013" s="8" t="s">
        <v>12</v>
      </c>
    </row>
    <row r="1014">
      <c r="A1014" s="15">
        <v>44784.0</v>
      </c>
      <c r="B1014" s="8" t="s">
        <v>41</v>
      </c>
      <c r="C1014" s="16" t="s">
        <v>21</v>
      </c>
      <c r="D1014" s="17" t="s">
        <v>14</v>
      </c>
      <c r="E1014" s="18" t="s">
        <v>19</v>
      </c>
      <c r="F1014" s="19">
        <v>64.5</v>
      </c>
      <c r="G1014" s="17" t="s">
        <v>12</v>
      </c>
      <c r="H1014" s="8" t="s">
        <v>12</v>
      </c>
    </row>
    <row r="1015">
      <c r="A1015" s="15">
        <v>44785.0</v>
      </c>
      <c r="B1015" s="8" t="s">
        <v>41</v>
      </c>
      <c r="C1015" s="16" t="s">
        <v>22</v>
      </c>
      <c r="D1015" s="17" t="s">
        <v>10</v>
      </c>
      <c r="E1015" s="18" t="s">
        <v>34</v>
      </c>
      <c r="F1015" s="19">
        <v>64.25</v>
      </c>
      <c r="G1015" s="17" t="s">
        <v>12</v>
      </c>
      <c r="H1015" s="8" t="s">
        <v>12</v>
      </c>
    </row>
    <row r="1016">
      <c r="A1016" s="15">
        <v>44785.0</v>
      </c>
      <c r="B1016" s="8" t="s">
        <v>41</v>
      </c>
      <c r="C1016" s="16" t="s">
        <v>22</v>
      </c>
      <c r="D1016" s="17" t="s">
        <v>14</v>
      </c>
      <c r="E1016" s="18" t="s">
        <v>31</v>
      </c>
      <c r="F1016" s="19">
        <v>80.62</v>
      </c>
      <c r="G1016" s="17" t="s">
        <v>12</v>
      </c>
      <c r="H1016" s="8" t="s">
        <v>12</v>
      </c>
    </row>
    <row r="1017">
      <c r="A1017" s="15">
        <v>44785.0</v>
      </c>
      <c r="B1017" s="8" t="s">
        <v>41</v>
      </c>
      <c r="C1017" s="16" t="s">
        <v>22</v>
      </c>
      <c r="D1017" s="17" t="s">
        <v>14</v>
      </c>
      <c r="E1017" s="18" t="s">
        <v>13</v>
      </c>
      <c r="F1017" s="19">
        <v>80.62</v>
      </c>
      <c r="G1017" s="17" t="s">
        <v>12</v>
      </c>
      <c r="H1017" s="8" t="s">
        <v>12</v>
      </c>
    </row>
    <row r="1018">
      <c r="A1018" s="15">
        <v>44785.0</v>
      </c>
      <c r="B1018" s="8" t="s">
        <v>41</v>
      </c>
      <c r="C1018" s="16" t="s">
        <v>22</v>
      </c>
      <c r="D1018" s="17" t="s">
        <v>14</v>
      </c>
      <c r="E1018" s="18" t="s">
        <v>19</v>
      </c>
      <c r="F1018" s="19">
        <v>80.62</v>
      </c>
      <c r="G1018" s="17" t="s">
        <v>12</v>
      </c>
      <c r="H1018" s="8" t="s">
        <v>12</v>
      </c>
    </row>
    <row r="1019">
      <c r="A1019" s="15">
        <v>44786.0</v>
      </c>
      <c r="B1019" s="8" t="s">
        <v>41</v>
      </c>
      <c r="C1019" s="16" t="s">
        <v>23</v>
      </c>
      <c r="D1019" s="17" t="s">
        <v>10</v>
      </c>
      <c r="E1019" s="18" t="s">
        <v>13</v>
      </c>
      <c r="F1019" s="19">
        <v>99.82</v>
      </c>
      <c r="G1019" s="17" t="s">
        <v>12</v>
      </c>
      <c r="H1019" s="8" t="s">
        <v>12</v>
      </c>
    </row>
    <row r="1020">
      <c r="A1020" s="15">
        <v>44786.0</v>
      </c>
      <c r="B1020" s="8" t="s">
        <v>41</v>
      </c>
      <c r="C1020" s="16" t="s">
        <v>23</v>
      </c>
      <c r="D1020" s="17" t="s">
        <v>10</v>
      </c>
      <c r="E1020" s="18" t="s">
        <v>31</v>
      </c>
      <c r="F1020" s="19">
        <v>71.3</v>
      </c>
      <c r="G1020" s="17" t="s">
        <v>12</v>
      </c>
      <c r="H1020" s="8" t="s">
        <v>12</v>
      </c>
    </row>
    <row r="1021">
      <c r="A1021" s="15">
        <v>44786.0</v>
      </c>
      <c r="B1021" s="8" t="s">
        <v>41</v>
      </c>
      <c r="C1021" s="16" t="s">
        <v>23</v>
      </c>
      <c r="D1021" s="17" t="s">
        <v>10</v>
      </c>
      <c r="E1021" s="18" t="s">
        <v>35</v>
      </c>
      <c r="F1021" s="19">
        <v>32.02</v>
      </c>
      <c r="G1021" s="17" t="s">
        <v>12</v>
      </c>
      <c r="H1021" s="8" t="s">
        <v>12</v>
      </c>
    </row>
    <row r="1022">
      <c r="A1022" s="15">
        <v>44786.0</v>
      </c>
      <c r="B1022" s="8" t="s">
        <v>41</v>
      </c>
      <c r="C1022" s="16" t="s">
        <v>23</v>
      </c>
      <c r="D1022" s="17" t="s">
        <v>14</v>
      </c>
      <c r="E1022" s="18" t="s">
        <v>13</v>
      </c>
      <c r="F1022" s="19">
        <v>20.93</v>
      </c>
      <c r="G1022" s="17" t="s">
        <v>12</v>
      </c>
      <c r="H1022" s="8" t="s">
        <v>12</v>
      </c>
    </row>
    <row r="1023">
      <c r="A1023" s="15">
        <v>44786.0</v>
      </c>
      <c r="B1023" s="8" t="s">
        <v>41</v>
      </c>
      <c r="C1023" s="16" t="s">
        <v>23</v>
      </c>
      <c r="D1023" s="17" t="s">
        <v>14</v>
      </c>
      <c r="E1023" s="18" t="s">
        <v>31</v>
      </c>
      <c r="F1023" s="19">
        <v>34.26</v>
      </c>
      <c r="G1023" s="17" t="s">
        <v>12</v>
      </c>
      <c r="H1023" s="8" t="s">
        <v>12</v>
      </c>
    </row>
    <row r="1024">
      <c r="A1024" s="15">
        <v>44786.0</v>
      </c>
      <c r="B1024" s="8" t="s">
        <v>41</v>
      </c>
      <c r="C1024" s="16" t="s">
        <v>23</v>
      </c>
      <c r="D1024" s="17" t="s">
        <v>14</v>
      </c>
      <c r="E1024" s="18" t="s">
        <v>19</v>
      </c>
      <c r="F1024" s="19">
        <v>34.26</v>
      </c>
      <c r="G1024" s="17" t="s">
        <v>12</v>
      </c>
      <c r="H1024" s="8" t="s">
        <v>12</v>
      </c>
    </row>
    <row r="1025">
      <c r="A1025" s="15">
        <v>44786.0</v>
      </c>
      <c r="B1025" s="8" t="s">
        <v>41</v>
      </c>
      <c r="C1025" s="16" t="s">
        <v>23</v>
      </c>
      <c r="D1025" s="17" t="s">
        <v>14</v>
      </c>
      <c r="E1025" s="18" t="s">
        <v>42</v>
      </c>
      <c r="F1025" s="19">
        <v>0.0</v>
      </c>
      <c r="G1025" s="20" t="s">
        <v>26</v>
      </c>
      <c r="H1025" s="8" t="s">
        <v>12</v>
      </c>
    </row>
    <row r="1026">
      <c r="A1026" s="15">
        <v>44787.0</v>
      </c>
      <c r="B1026" s="8" t="s">
        <v>41</v>
      </c>
      <c r="C1026" s="16" t="s">
        <v>9</v>
      </c>
      <c r="D1026" s="17" t="s">
        <v>10</v>
      </c>
      <c r="E1026" s="18" t="s">
        <v>31</v>
      </c>
      <c r="F1026" s="19">
        <v>130.75</v>
      </c>
      <c r="G1026" s="17" t="s">
        <v>12</v>
      </c>
      <c r="H1026" s="8" t="s">
        <v>12</v>
      </c>
    </row>
    <row r="1027">
      <c r="A1027" s="15">
        <v>44787.0</v>
      </c>
      <c r="B1027" s="8" t="s">
        <v>41</v>
      </c>
      <c r="C1027" s="16" t="s">
        <v>9</v>
      </c>
      <c r="D1027" s="17" t="s">
        <v>10</v>
      </c>
      <c r="E1027" s="18" t="s">
        <v>19</v>
      </c>
      <c r="F1027" s="19">
        <v>93.34</v>
      </c>
      <c r="G1027" s="17" t="s">
        <v>12</v>
      </c>
      <c r="H1027" s="8" t="s">
        <v>12</v>
      </c>
    </row>
    <row r="1028">
      <c r="A1028" s="15">
        <v>44787.0</v>
      </c>
      <c r="B1028" s="8" t="s">
        <v>41</v>
      </c>
      <c r="C1028" s="16" t="s">
        <v>9</v>
      </c>
      <c r="D1028" s="17" t="s">
        <v>10</v>
      </c>
      <c r="E1028" s="18" t="s">
        <v>42</v>
      </c>
      <c r="F1028" s="19">
        <v>0.0</v>
      </c>
      <c r="G1028" s="20" t="s">
        <v>26</v>
      </c>
      <c r="H1028" s="8" t="s">
        <v>12</v>
      </c>
    </row>
    <row r="1029">
      <c r="A1029" s="15">
        <v>44787.0</v>
      </c>
      <c r="B1029" s="8" t="s">
        <v>41</v>
      </c>
      <c r="C1029" s="16" t="s">
        <v>9</v>
      </c>
      <c r="D1029" s="17" t="s">
        <v>14</v>
      </c>
      <c r="E1029" s="18" t="s">
        <v>13</v>
      </c>
      <c r="F1029" s="19">
        <v>15.82</v>
      </c>
      <c r="G1029" s="17" t="s">
        <v>12</v>
      </c>
      <c r="H1029" s="8" t="s">
        <v>12</v>
      </c>
    </row>
    <row r="1030">
      <c r="A1030" s="15">
        <v>44787.0</v>
      </c>
      <c r="B1030" s="8" t="s">
        <v>41</v>
      </c>
      <c r="C1030" s="16" t="s">
        <v>9</v>
      </c>
      <c r="D1030" s="17" t="s">
        <v>14</v>
      </c>
      <c r="E1030" s="18" t="s">
        <v>31</v>
      </c>
      <c r="F1030" s="19">
        <v>13.56</v>
      </c>
      <c r="G1030" s="17" t="s">
        <v>12</v>
      </c>
      <c r="H1030" s="8" t="s">
        <v>12</v>
      </c>
    </row>
    <row r="1031">
      <c r="A1031" s="15">
        <v>44787.0</v>
      </c>
      <c r="B1031" s="8" t="s">
        <v>41</v>
      </c>
      <c r="C1031" s="16" t="s">
        <v>9</v>
      </c>
      <c r="D1031" s="17" t="s">
        <v>14</v>
      </c>
      <c r="E1031" s="18" t="s">
        <v>38</v>
      </c>
      <c r="F1031" s="19">
        <v>18.91</v>
      </c>
      <c r="G1031" s="17" t="s">
        <v>12</v>
      </c>
      <c r="H1031" s="8" t="s">
        <v>12</v>
      </c>
    </row>
    <row r="1032">
      <c r="A1032" s="10">
        <v>44788.0</v>
      </c>
      <c r="B1032" s="8" t="s">
        <v>41</v>
      </c>
      <c r="C1032" s="21" t="s">
        <v>16</v>
      </c>
      <c r="D1032" s="6" t="s">
        <v>10</v>
      </c>
      <c r="E1032" s="22" t="s">
        <v>34</v>
      </c>
      <c r="F1032" s="7">
        <v>111.93</v>
      </c>
      <c r="G1032" s="17" t="s">
        <v>12</v>
      </c>
      <c r="H1032" s="8" t="s">
        <v>12</v>
      </c>
    </row>
    <row r="1033">
      <c r="A1033" s="10">
        <v>44788.0</v>
      </c>
      <c r="B1033" s="8" t="s">
        <v>41</v>
      </c>
      <c r="C1033" s="21" t="s">
        <v>16</v>
      </c>
      <c r="D1033" s="6" t="s">
        <v>14</v>
      </c>
      <c r="E1033" s="22" t="s">
        <v>34</v>
      </c>
      <c r="F1033" s="7">
        <v>146.49</v>
      </c>
      <c r="G1033" s="17" t="s">
        <v>12</v>
      </c>
      <c r="H1033" s="8" t="s">
        <v>12</v>
      </c>
    </row>
    <row r="1034">
      <c r="A1034" s="10">
        <v>44788.0</v>
      </c>
      <c r="B1034" s="8" t="s">
        <v>41</v>
      </c>
      <c r="C1034" s="21" t="s">
        <v>16</v>
      </c>
      <c r="D1034" s="6" t="s">
        <v>14</v>
      </c>
      <c r="E1034" s="22" t="s">
        <v>38</v>
      </c>
      <c r="F1034" s="7">
        <v>97.65</v>
      </c>
      <c r="G1034" s="17" t="s">
        <v>12</v>
      </c>
      <c r="H1034" s="8" t="s">
        <v>12</v>
      </c>
    </row>
    <row r="1035">
      <c r="A1035" s="10">
        <v>44788.0</v>
      </c>
      <c r="B1035" s="8" t="s">
        <v>41</v>
      </c>
      <c r="C1035" s="21" t="s">
        <v>16</v>
      </c>
      <c r="D1035" s="6" t="s">
        <v>14</v>
      </c>
      <c r="E1035" s="22" t="s">
        <v>42</v>
      </c>
      <c r="F1035" s="7">
        <v>0.0</v>
      </c>
      <c r="G1035" s="20" t="s">
        <v>26</v>
      </c>
      <c r="H1035" s="8" t="s">
        <v>12</v>
      </c>
    </row>
    <row r="1036">
      <c r="A1036" s="10">
        <v>44789.0</v>
      </c>
      <c r="B1036" s="8" t="s">
        <v>41</v>
      </c>
      <c r="C1036" s="21" t="s">
        <v>18</v>
      </c>
      <c r="D1036" s="6" t="s">
        <v>10</v>
      </c>
      <c r="E1036" s="22" t="s">
        <v>34</v>
      </c>
      <c r="F1036" s="7">
        <v>79.57</v>
      </c>
      <c r="G1036" s="17" t="s">
        <v>12</v>
      </c>
      <c r="H1036" s="8" t="s">
        <v>12</v>
      </c>
    </row>
    <row r="1037">
      <c r="A1037" s="10">
        <v>44789.0</v>
      </c>
      <c r="B1037" s="8" t="s">
        <v>41</v>
      </c>
      <c r="C1037" s="21" t="s">
        <v>18</v>
      </c>
      <c r="D1037" s="6" t="s">
        <v>14</v>
      </c>
      <c r="E1037" s="22" t="s">
        <v>19</v>
      </c>
      <c r="F1037" s="7">
        <v>59.8</v>
      </c>
      <c r="G1037" s="17" t="s">
        <v>12</v>
      </c>
      <c r="H1037" s="8" t="s">
        <v>12</v>
      </c>
    </row>
    <row r="1038">
      <c r="A1038" s="10">
        <v>44789.0</v>
      </c>
      <c r="B1038" s="8" t="s">
        <v>41</v>
      </c>
      <c r="C1038" s="21" t="s">
        <v>18</v>
      </c>
      <c r="D1038" s="6" t="s">
        <v>14</v>
      </c>
      <c r="E1038" s="22" t="s">
        <v>38</v>
      </c>
      <c r="F1038" s="7">
        <v>59.8</v>
      </c>
      <c r="G1038" s="17" t="s">
        <v>12</v>
      </c>
      <c r="H1038" s="8" t="s">
        <v>12</v>
      </c>
    </row>
    <row r="1039">
      <c r="A1039" s="10">
        <v>44789.0</v>
      </c>
      <c r="B1039" s="8" t="s">
        <v>41</v>
      </c>
      <c r="C1039" s="21" t="s">
        <v>18</v>
      </c>
      <c r="D1039" s="6" t="s">
        <v>14</v>
      </c>
      <c r="E1039" s="22" t="s">
        <v>42</v>
      </c>
      <c r="F1039" s="7">
        <v>59.8</v>
      </c>
      <c r="G1039" s="17" t="s">
        <v>12</v>
      </c>
      <c r="H1039" s="8" t="s">
        <v>12</v>
      </c>
    </row>
    <row r="1040">
      <c r="A1040" s="10">
        <v>44790.0</v>
      </c>
      <c r="B1040" s="8" t="s">
        <v>41</v>
      </c>
      <c r="C1040" s="21" t="s">
        <v>20</v>
      </c>
      <c r="D1040" s="6" t="s">
        <v>10</v>
      </c>
      <c r="E1040" s="22" t="s">
        <v>34</v>
      </c>
      <c r="F1040" s="7">
        <v>135.57</v>
      </c>
      <c r="G1040" s="17" t="s">
        <v>12</v>
      </c>
      <c r="H1040" s="8" t="s">
        <v>12</v>
      </c>
    </row>
    <row r="1041">
      <c r="A1041" s="10">
        <v>44790.0</v>
      </c>
      <c r="B1041" s="8" t="s">
        <v>41</v>
      </c>
      <c r="C1041" s="21" t="s">
        <v>20</v>
      </c>
      <c r="D1041" s="6" t="s">
        <v>14</v>
      </c>
      <c r="E1041" s="22" t="s">
        <v>38</v>
      </c>
      <c r="F1041" s="7">
        <v>81.87</v>
      </c>
      <c r="G1041" s="17" t="s">
        <v>12</v>
      </c>
      <c r="H1041" s="8" t="s">
        <v>12</v>
      </c>
    </row>
    <row r="1042">
      <c r="A1042" s="10">
        <v>44790.0</v>
      </c>
      <c r="B1042" s="8" t="s">
        <v>41</v>
      </c>
      <c r="C1042" s="21" t="s">
        <v>20</v>
      </c>
      <c r="D1042" s="6" t="s">
        <v>14</v>
      </c>
      <c r="E1042" s="22" t="s">
        <v>35</v>
      </c>
      <c r="F1042" s="7">
        <v>63.59</v>
      </c>
      <c r="G1042" s="17" t="s">
        <v>12</v>
      </c>
      <c r="H1042" s="8" t="s">
        <v>12</v>
      </c>
    </row>
    <row r="1043">
      <c r="A1043" s="10">
        <v>44790.0</v>
      </c>
      <c r="B1043" s="8" t="s">
        <v>41</v>
      </c>
      <c r="C1043" s="21" t="s">
        <v>20</v>
      </c>
      <c r="D1043" s="6" t="s">
        <v>14</v>
      </c>
      <c r="E1043" s="22" t="s">
        <v>42</v>
      </c>
      <c r="F1043" s="7">
        <v>81.76</v>
      </c>
      <c r="G1043" s="17" t="s">
        <v>12</v>
      </c>
      <c r="H1043" s="8" t="s">
        <v>12</v>
      </c>
    </row>
    <row r="1044">
      <c r="A1044" s="10">
        <v>44791.0</v>
      </c>
      <c r="B1044" s="8" t="s">
        <v>41</v>
      </c>
      <c r="C1044" s="21" t="s">
        <v>21</v>
      </c>
      <c r="D1044" s="6" t="s">
        <v>10</v>
      </c>
      <c r="E1044" s="22" t="s">
        <v>31</v>
      </c>
      <c r="F1044" s="7">
        <v>32.74</v>
      </c>
      <c r="G1044" s="17" t="s">
        <v>12</v>
      </c>
      <c r="H1044" s="8" t="s">
        <v>12</v>
      </c>
    </row>
    <row r="1045">
      <c r="A1045" s="10">
        <v>44791.0</v>
      </c>
      <c r="B1045" s="8" t="s">
        <v>41</v>
      </c>
      <c r="C1045" s="21" t="s">
        <v>21</v>
      </c>
      <c r="D1045" s="6" t="s">
        <v>10</v>
      </c>
      <c r="E1045" s="22" t="s">
        <v>42</v>
      </c>
      <c r="F1045" s="7">
        <v>4.91</v>
      </c>
      <c r="G1045" s="17" t="s">
        <v>12</v>
      </c>
      <c r="H1045" s="8" t="s">
        <v>12</v>
      </c>
    </row>
    <row r="1046">
      <c r="A1046" s="10">
        <v>44791.0</v>
      </c>
      <c r="B1046" s="8" t="s">
        <v>41</v>
      </c>
      <c r="C1046" s="21" t="s">
        <v>21</v>
      </c>
      <c r="D1046" s="6" t="s">
        <v>14</v>
      </c>
      <c r="E1046" s="22" t="s">
        <v>34</v>
      </c>
      <c r="F1046" s="7">
        <v>120.32</v>
      </c>
      <c r="G1046" s="17" t="s">
        <v>12</v>
      </c>
      <c r="H1046" s="8" t="s">
        <v>12</v>
      </c>
    </row>
    <row r="1047">
      <c r="A1047" s="10">
        <v>44791.0</v>
      </c>
      <c r="B1047" s="8" t="s">
        <v>41</v>
      </c>
      <c r="C1047" s="21" t="s">
        <v>21</v>
      </c>
      <c r="D1047" s="6" t="s">
        <v>14</v>
      </c>
      <c r="E1047" s="22" t="s">
        <v>38</v>
      </c>
      <c r="F1047" s="7">
        <v>120.32</v>
      </c>
      <c r="G1047" s="17" t="s">
        <v>12</v>
      </c>
      <c r="H1047" s="8" t="s">
        <v>12</v>
      </c>
    </row>
    <row r="1048">
      <c r="A1048" s="10">
        <v>44792.0</v>
      </c>
      <c r="B1048" s="8" t="s">
        <v>41</v>
      </c>
      <c r="C1048" s="21" t="s">
        <v>22</v>
      </c>
      <c r="D1048" s="6" t="s">
        <v>10</v>
      </c>
      <c r="E1048" s="22" t="s">
        <v>31</v>
      </c>
      <c r="F1048" s="7">
        <v>46.78</v>
      </c>
      <c r="G1048" s="17" t="s">
        <v>12</v>
      </c>
      <c r="H1048" s="8" t="s">
        <v>12</v>
      </c>
    </row>
    <row r="1049">
      <c r="A1049" s="10">
        <v>44792.0</v>
      </c>
      <c r="B1049" s="8" t="s">
        <v>41</v>
      </c>
      <c r="C1049" s="21" t="s">
        <v>22</v>
      </c>
      <c r="D1049" s="6" t="s">
        <v>10</v>
      </c>
      <c r="E1049" s="22" t="s">
        <v>42</v>
      </c>
      <c r="F1049" s="7">
        <v>46.77</v>
      </c>
      <c r="G1049" s="17" t="s">
        <v>12</v>
      </c>
      <c r="H1049" s="8" t="s">
        <v>12</v>
      </c>
    </row>
    <row r="1050">
      <c r="A1050" s="10">
        <v>44792.0</v>
      </c>
      <c r="B1050" s="8" t="s">
        <v>41</v>
      </c>
      <c r="C1050" s="21" t="s">
        <v>22</v>
      </c>
      <c r="D1050" s="6" t="s">
        <v>14</v>
      </c>
      <c r="E1050" s="22" t="s">
        <v>13</v>
      </c>
      <c r="F1050" s="7">
        <v>65.95</v>
      </c>
      <c r="G1050" s="17" t="s">
        <v>12</v>
      </c>
      <c r="H1050" s="8" t="s">
        <v>12</v>
      </c>
    </row>
    <row r="1051">
      <c r="A1051" s="10">
        <v>44792.0</v>
      </c>
      <c r="B1051" s="8" t="s">
        <v>41</v>
      </c>
      <c r="C1051" s="21" t="s">
        <v>22</v>
      </c>
      <c r="D1051" s="6" t="s">
        <v>14</v>
      </c>
      <c r="E1051" s="22" t="s">
        <v>31</v>
      </c>
      <c r="F1051" s="7">
        <v>54.95</v>
      </c>
      <c r="G1051" s="17" t="s">
        <v>12</v>
      </c>
      <c r="H1051" s="8" t="s">
        <v>12</v>
      </c>
    </row>
    <row r="1052">
      <c r="A1052" s="10">
        <v>44792.0</v>
      </c>
      <c r="B1052" s="8" t="s">
        <v>41</v>
      </c>
      <c r="C1052" s="21" t="s">
        <v>22</v>
      </c>
      <c r="D1052" s="6" t="s">
        <v>14</v>
      </c>
      <c r="E1052" s="22" t="s">
        <v>38</v>
      </c>
      <c r="F1052" s="7">
        <v>54.96</v>
      </c>
      <c r="G1052" s="17" t="s">
        <v>12</v>
      </c>
      <c r="H1052" s="8" t="s">
        <v>12</v>
      </c>
    </row>
    <row r="1053">
      <c r="A1053" s="10">
        <v>44793.0</v>
      </c>
      <c r="B1053" s="8" t="s">
        <v>41</v>
      </c>
      <c r="C1053" s="21" t="s">
        <v>23</v>
      </c>
      <c r="D1053" s="6" t="s">
        <v>10</v>
      </c>
      <c r="E1053" s="22" t="s">
        <v>13</v>
      </c>
      <c r="F1053" s="7">
        <v>84.26</v>
      </c>
      <c r="G1053" s="17" t="s">
        <v>12</v>
      </c>
      <c r="H1053" s="8" t="s">
        <v>12</v>
      </c>
    </row>
    <row r="1054">
      <c r="A1054" s="10">
        <v>44793.0</v>
      </c>
      <c r="B1054" s="8" t="s">
        <v>41</v>
      </c>
      <c r="C1054" s="21" t="s">
        <v>23</v>
      </c>
      <c r="D1054" s="6" t="s">
        <v>10</v>
      </c>
      <c r="E1054" s="22" t="s">
        <v>31</v>
      </c>
      <c r="F1054" s="7">
        <v>76.6</v>
      </c>
      <c r="G1054" s="17" t="s">
        <v>12</v>
      </c>
      <c r="H1054" s="8" t="s">
        <v>12</v>
      </c>
    </row>
    <row r="1055">
      <c r="A1055" s="10">
        <v>44793.0</v>
      </c>
      <c r="B1055" s="8" t="s">
        <v>41</v>
      </c>
      <c r="C1055" s="21" t="s">
        <v>23</v>
      </c>
      <c r="D1055" s="6" t="s">
        <v>14</v>
      </c>
      <c r="E1055" s="22" t="s">
        <v>42</v>
      </c>
      <c r="F1055" s="7">
        <v>45.06</v>
      </c>
      <c r="G1055" s="17" t="s">
        <v>12</v>
      </c>
      <c r="H1055" s="8" t="s">
        <v>12</v>
      </c>
    </row>
    <row r="1056">
      <c r="A1056" s="10">
        <v>44793.0</v>
      </c>
      <c r="B1056" s="8" t="s">
        <v>41</v>
      </c>
      <c r="C1056" s="21" t="s">
        <v>23</v>
      </c>
      <c r="D1056" s="6" t="s">
        <v>14</v>
      </c>
      <c r="E1056" s="22" t="s">
        <v>13</v>
      </c>
      <c r="F1056" s="7">
        <v>45.06</v>
      </c>
      <c r="G1056" s="17" t="s">
        <v>12</v>
      </c>
      <c r="H1056" s="8" t="s">
        <v>12</v>
      </c>
    </row>
    <row r="1057">
      <c r="A1057" s="10">
        <v>44793.0</v>
      </c>
      <c r="B1057" s="8" t="s">
        <v>41</v>
      </c>
      <c r="C1057" s="21" t="s">
        <v>23</v>
      </c>
      <c r="D1057" s="6" t="s">
        <v>14</v>
      </c>
      <c r="E1057" s="22" t="s">
        <v>35</v>
      </c>
      <c r="F1057" s="7">
        <v>45.06</v>
      </c>
      <c r="G1057" s="17" t="s">
        <v>12</v>
      </c>
      <c r="H1057" s="8" t="s">
        <v>12</v>
      </c>
    </row>
    <row r="1058">
      <c r="A1058" s="10">
        <v>44794.0</v>
      </c>
      <c r="B1058" s="8" t="s">
        <v>41</v>
      </c>
      <c r="C1058" s="21" t="s">
        <v>9</v>
      </c>
      <c r="D1058" s="6" t="s">
        <v>10</v>
      </c>
      <c r="E1058" s="22" t="s">
        <v>13</v>
      </c>
      <c r="F1058" s="7">
        <v>69.75</v>
      </c>
      <c r="G1058" s="17" t="s">
        <v>12</v>
      </c>
      <c r="H1058" s="8" t="s">
        <v>12</v>
      </c>
    </row>
    <row r="1059">
      <c r="A1059" s="10">
        <v>44794.0</v>
      </c>
      <c r="B1059" s="8" t="s">
        <v>41</v>
      </c>
      <c r="C1059" s="21" t="s">
        <v>9</v>
      </c>
      <c r="D1059" s="6" t="s">
        <v>10</v>
      </c>
      <c r="E1059" s="22" t="s">
        <v>31</v>
      </c>
      <c r="F1059" s="7">
        <v>87.22</v>
      </c>
      <c r="G1059" s="17" t="s">
        <v>12</v>
      </c>
      <c r="H1059" s="8" t="s">
        <v>12</v>
      </c>
    </row>
    <row r="1060">
      <c r="A1060" s="10">
        <v>44794.0</v>
      </c>
      <c r="B1060" s="8" t="s">
        <v>41</v>
      </c>
      <c r="C1060" s="21" t="s">
        <v>9</v>
      </c>
      <c r="D1060" s="6" t="s">
        <v>10</v>
      </c>
      <c r="E1060" s="22" t="s">
        <v>35</v>
      </c>
      <c r="F1060" s="7">
        <v>69.75</v>
      </c>
      <c r="G1060" s="17" t="s">
        <v>12</v>
      </c>
      <c r="H1060" s="8" t="s">
        <v>12</v>
      </c>
    </row>
    <row r="1061">
      <c r="A1061" s="10">
        <v>44794.0</v>
      </c>
      <c r="B1061" s="8" t="s">
        <v>41</v>
      </c>
      <c r="C1061" s="21" t="s">
        <v>9</v>
      </c>
      <c r="D1061" s="6" t="s">
        <v>14</v>
      </c>
      <c r="E1061" s="22" t="s">
        <v>13</v>
      </c>
      <c r="F1061" s="7">
        <v>52.67</v>
      </c>
      <c r="G1061" s="17" t="s">
        <v>12</v>
      </c>
      <c r="H1061" s="8" t="s">
        <v>12</v>
      </c>
    </row>
    <row r="1062">
      <c r="A1062" s="10">
        <v>44794.0</v>
      </c>
      <c r="B1062" s="8" t="s">
        <v>41</v>
      </c>
      <c r="C1062" s="21" t="s">
        <v>9</v>
      </c>
      <c r="D1062" s="6" t="s">
        <v>14</v>
      </c>
      <c r="E1062" s="22" t="s">
        <v>35</v>
      </c>
      <c r="F1062" s="7">
        <v>67.81</v>
      </c>
      <c r="G1062" s="17" t="s">
        <v>12</v>
      </c>
      <c r="H1062" s="8" t="s">
        <v>12</v>
      </c>
    </row>
    <row r="1063">
      <c r="A1063" s="10">
        <v>44794.0</v>
      </c>
      <c r="B1063" s="8" t="s">
        <v>41</v>
      </c>
      <c r="C1063" s="21" t="s">
        <v>9</v>
      </c>
      <c r="D1063" s="6" t="s">
        <v>14</v>
      </c>
      <c r="E1063" s="22" t="s">
        <v>38</v>
      </c>
      <c r="F1063" s="7">
        <v>67.72</v>
      </c>
      <c r="G1063" s="17" t="s">
        <v>12</v>
      </c>
      <c r="H1063" s="8" t="s">
        <v>12</v>
      </c>
    </row>
    <row r="1064">
      <c r="A1064" s="10">
        <v>44795.0</v>
      </c>
      <c r="B1064" s="8" t="s">
        <v>41</v>
      </c>
      <c r="C1064" s="21" t="s">
        <v>16</v>
      </c>
      <c r="D1064" s="6" t="s">
        <v>10</v>
      </c>
      <c r="E1064" s="22" t="s">
        <v>34</v>
      </c>
      <c r="F1064" s="7">
        <v>83.32</v>
      </c>
      <c r="G1064" s="17" t="s">
        <v>12</v>
      </c>
      <c r="H1064" s="8" t="s">
        <v>12</v>
      </c>
    </row>
    <row r="1065">
      <c r="A1065" s="10">
        <v>44795.0</v>
      </c>
      <c r="B1065" s="8" t="s">
        <v>41</v>
      </c>
      <c r="C1065" s="21" t="s">
        <v>16</v>
      </c>
      <c r="D1065" s="6" t="s">
        <v>14</v>
      </c>
      <c r="E1065" s="22" t="s">
        <v>34</v>
      </c>
      <c r="F1065" s="7">
        <v>100.23</v>
      </c>
      <c r="G1065" s="17" t="s">
        <v>12</v>
      </c>
      <c r="H1065" s="8" t="s">
        <v>12</v>
      </c>
    </row>
    <row r="1066">
      <c r="A1066" s="10">
        <v>44795.0</v>
      </c>
      <c r="B1066" s="8" t="s">
        <v>41</v>
      </c>
      <c r="C1066" s="21" t="s">
        <v>16</v>
      </c>
      <c r="D1066" s="6" t="s">
        <v>14</v>
      </c>
      <c r="E1066" s="22" t="s">
        <v>31</v>
      </c>
      <c r="F1066" s="7">
        <v>100.33</v>
      </c>
      <c r="G1066" s="17" t="s">
        <v>12</v>
      </c>
      <c r="H1066" s="8" t="s">
        <v>12</v>
      </c>
    </row>
    <row r="1067">
      <c r="A1067" s="10">
        <v>44796.0</v>
      </c>
      <c r="B1067" s="8" t="s">
        <v>41</v>
      </c>
      <c r="C1067" s="21" t="s">
        <v>18</v>
      </c>
      <c r="D1067" s="6" t="s">
        <v>10</v>
      </c>
      <c r="E1067" s="22" t="s">
        <v>34</v>
      </c>
      <c r="F1067" s="7">
        <v>66.75</v>
      </c>
      <c r="G1067" s="17" t="s">
        <v>12</v>
      </c>
      <c r="H1067" s="8" t="s">
        <v>12</v>
      </c>
    </row>
    <row r="1068">
      <c r="A1068" s="10">
        <v>44796.0</v>
      </c>
      <c r="B1068" s="8" t="s">
        <v>41</v>
      </c>
      <c r="C1068" s="21" t="s">
        <v>18</v>
      </c>
      <c r="D1068" s="6" t="s">
        <v>14</v>
      </c>
      <c r="E1068" s="22" t="s">
        <v>34</v>
      </c>
      <c r="F1068" s="7">
        <v>80.09</v>
      </c>
      <c r="G1068" s="17" t="s">
        <v>12</v>
      </c>
      <c r="H1068" s="8" t="s">
        <v>12</v>
      </c>
    </row>
    <row r="1069">
      <c r="A1069" s="10">
        <v>44796.0</v>
      </c>
      <c r="B1069" s="8" t="s">
        <v>41</v>
      </c>
      <c r="C1069" s="21" t="s">
        <v>18</v>
      </c>
      <c r="D1069" s="6" t="s">
        <v>14</v>
      </c>
      <c r="E1069" s="22" t="s">
        <v>31</v>
      </c>
      <c r="F1069" s="7">
        <v>80.08</v>
      </c>
      <c r="G1069" s="17" t="s">
        <v>12</v>
      </c>
      <c r="H1069" s="8" t="s">
        <v>12</v>
      </c>
    </row>
    <row r="1070">
      <c r="A1070" s="10">
        <v>44796.0</v>
      </c>
      <c r="B1070" s="8" t="s">
        <v>41</v>
      </c>
      <c r="C1070" s="21" t="s">
        <v>18</v>
      </c>
      <c r="D1070" s="6" t="s">
        <v>14</v>
      </c>
      <c r="E1070" s="22" t="s">
        <v>43</v>
      </c>
      <c r="F1070" s="7">
        <v>0.0</v>
      </c>
      <c r="G1070" s="20" t="s">
        <v>26</v>
      </c>
      <c r="H1070" s="8" t="s">
        <v>12</v>
      </c>
    </row>
    <row r="1071">
      <c r="A1071" s="10">
        <v>44797.0</v>
      </c>
      <c r="B1071" s="8" t="s">
        <v>41</v>
      </c>
      <c r="C1071" s="21" t="s">
        <v>20</v>
      </c>
      <c r="D1071" s="6" t="s">
        <v>10</v>
      </c>
      <c r="E1071" s="22" t="s">
        <v>31</v>
      </c>
      <c r="F1071" s="7">
        <v>69.74</v>
      </c>
      <c r="G1071" s="17" t="s">
        <v>12</v>
      </c>
      <c r="H1071" s="8" t="s">
        <v>12</v>
      </c>
    </row>
    <row r="1072">
      <c r="A1072" s="10">
        <v>44797.0</v>
      </c>
      <c r="B1072" s="8" t="s">
        <v>41</v>
      </c>
      <c r="C1072" s="21" t="s">
        <v>20</v>
      </c>
      <c r="D1072" s="6" t="s">
        <v>14</v>
      </c>
      <c r="E1072" s="22" t="s">
        <v>19</v>
      </c>
      <c r="F1072" s="7">
        <v>89.73</v>
      </c>
      <c r="G1072" s="17" t="s">
        <v>12</v>
      </c>
      <c r="H1072" s="8" t="s">
        <v>12</v>
      </c>
    </row>
    <row r="1073">
      <c r="A1073" s="10">
        <v>44797.0</v>
      </c>
      <c r="B1073" s="8" t="s">
        <v>41</v>
      </c>
      <c r="C1073" s="21" t="s">
        <v>20</v>
      </c>
      <c r="D1073" s="6" t="s">
        <v>14</v>
      </c>
      <c r="E1073" s="22" t="s">
        <v>42</v>
      </c>
      <c r="F1073" s="7">
        <v>89.73</v>
      </c>
      <c r="G1073" s="17" t="s">
        <v>12</v>
      </c>
      <c r="H1073" s="8" t="s">
        <v>12</v>
      </c>
    </row>
    <row r="1074">
      <c r="A1074" s="10">
        <v>44797.0</v>
      </c>
      <c r="B1074" s="8" t="s">
        <v>41</v>
      </c>
      <c r="C1074" s="21" t="s">
        <v>20</v>
      </c>
      <c r="D1074" s="6" t="s">
        <v>14</v>
      </c>
      <c r="E1074" s="22" t="s">
        <v>43</v>
      </c>
      <c r="F1074" s="7">
        <v>0.0</v>
      </c>
      <c r="G1074" s="20" t="s">
        <v>26</v>
      </c>
      <c r="H1074" s="8" t="s">
        <v>12</v>
      </c>
    </row>
    <row r="1075">
      <c r="A1075" s="10">
        <v>44798.0</v>
      </c>
      <c r="B1075" s="8" t="s">
        <v>41</v>
      </c>
      <c r="C1075" s="21" t="s">
        <v>21</v>
      </c>
      <c r="D1075" s="6" t="s">
        <v>10</v>
      </c>
      <c r="E1075" s="22" t="s">
        <v>31</v>
      </c>
      <c r="F1075" s="7">
        <v>124.16</v>
      </c>
      <c r="G1075" s="17" t="s">
        <v>12</v>
      </c>
      <c r="H1075" s="8" t="s">
        <v>12</v>
      </c>
    </row>
    <row r="1076">
      <c r="A1076" s="10">
        <v>44798.0</v>
      </c>
      <c r="B1076" s="8" t="s">
        <v>41</v>
      </c>
      <c r="C1076" s="21" t="s">
        <v>21</v>
      </c>
      <c r="D1076" s="6" t="s">
        <v>14</v>
      </c>
      <c r="E1076" s="22" t="s">
        <v>19</v>
      </c>
      <c r="F1076" s="7">
        <v>76.66</v>
      </c>
      <c r="G1076" s="17" t="s">
        <v>12</v>
      </c>
      <c r="H1076" s="8" t="s">
        <v>12</v>
      </c>
    </row>
    <row r="1077">
      <c r="A1077" s="10">
        <v>44798.0</v>
      </c>
      <c r="B1077" s="8" t="s">
        <v>41</v>
      </c>
      <c r="C1077" s="21" t="s">
        <v>21</v>
      </c>
      <c r="D1077" s="6" t="s">
        <v>14</v>
      </c>
      <c r="E1077" s="22" t="s">
        <v>42</v>
      </c>
      <c r="F1077" s="7">
        <v>76.66</v>
      </c>
      <c r="G1077" s="17" t="s">
        <v>12</v>
      </c>
      <c r="H1077" s="8" t="s">
        <v>12</v>
      </c>
    </row>
    <row r="1078">
      <c r="A1078" s="10">
        <v>44798.0</v>
      </c>
      <c r="B1078" s="8" t="s">
        <v>41</v>
      </c>
      <c r="C1078" s="21" t="s">
        <v>21</v>
      </c>
      <c r="D1078" s="6" t="s">
        <v>14</v>
      </c>
      <c r="E1078" s="22" t="s">
        <v>43</v>
      </c>
      <c r="F1078" s="7">
        <v>0.0</v>
      </c>
      <c r="G1078" s="20" t="s">
        <v>26</v>
      </c>
      <c r="H1078" s="8" t="s">
        <v>12</v>
      </c>
    </row>
    <row r="1079">
      <c r="A1079" s="10">
        <v>44799.0</v>
      </c>
      <c r="B1079" s="8" t="s">
        <v>41</v>
      </c>
      <c r="C1079" s="21" t="s">
        <v>22</v>
      </c>
      <c r="D1079" s="6" t="s">
        <v>10</v>
      </c>
      <c r="E1079" s="22" t="s">
        <v>19</v>
      </c>
      <c r="F1079" s="7">
        <v>96.05</v>
      </c>
      <c r="G1079" s="17" t="s">
        <v>12</v>
      </c>
      <c r="H1079" s="8" t="s">
        <v>12</v>
      </c>
    </row>
    <row r="1080">
      <c r="A1080" s="10">
        <v>44799.0</v>
      </c>
      <c r="B1080" s="8" t="s">
        <v>41</v>
      </c>
      <c r="C1080" s="21" t="s">
        <v>22</v>
      </c>
      <c r="D1080" s="6" t="s">
        <v>14</v>
      </c>
      <c r="E1080" s="22" t="s">
        <v>19</v>
      </c>
      <c r="F1080" s="7">
        <v>53.8</v>
      </c>
      <c r="G1080" s="17" t="s">
        <v>12</v>
      </c>
      <c r="H1080" s="8" t="s">
        <v>12</v>
      </c>
    </row>
    <row r="1081">
      <c r="A1081" s="10">
        <v>44799.0</v>
      </c>
      <c r="B1081" s="8" t="s">
        <v>41</v>
      </c>
      <c r="C1081" s="21" t="s">
        <v>22</v>
      </c>
      <c r="D1081" s="6" t="s">
        <v>14</v>
      </c>
      <c r="E1081" s="22" t="s">
        <v>38</v>
      </c>
      <c r="F1081" s="7">
        <v>53.8</v>
      </c>
      <c r="G1081" s="17" t="s">
        <v>12</v>
      </c>
      <c r="H1081" s="8" t="s">
        <v>12</v>
      </c>
    </row>
    <row r="1082">
      <c r="A1082" s="10">
        <v>44799.0</v>
      </c>
      <c r="B1082" s="8" t="s">
        <v>41</v>
      </c>
      <c r="C1082" s="21" t="s">
        <v>22</v>
      </c>
      <c r="D1082" s="6" t="s">
        <v>14</v>
      </c>
      <c r="E1082" s="22" t="s">
        <v>42</v>
      </c>
      <c r="F1082" s="7">
        <v>53.8</v>
      </c>
      <c r="G1082" s="17" t="s">
        <v>12</v>
      </c>
      <c r="H1082" s="8" t="s">
        <v>12</v>
      </c>
    </row>
    <row r="1083">
      <c r="A1083" s="10">
        <v>44800.0</v>
      </c>
      <c r="B1083" s="8" t="s">
        <v>41</v>
      </c>
      <c r="C1083" s="21" t="s">
        <v>23</v>
      </c>
      <c r="D1083" s="6" t="s">
        <v>10</v>
      </c>
      <c r="E1083" s="22" t="s">
        <v>34</v>
      </c>
      <c r="F1083" s="7">
        <v>160.58</v>
      </c>
      <c r="G1083" s="17" t="s">
        <v>12</v>
      </c>
      <c r="H1083" s="8" t="s">
        <v>12</v>
      </c>
    </row>
    <row r="1084">
      <c r="A1084" s="10">
        <v>44800.0</v>
      </c>
      <c r="B1084" s="8" t="s">
        <v>41</v>
      </c>
      <c r="C1084" s="21" t="s">
        <v>23</v>
      </c>
      <c r="D1084" s="6" t="s">
        <v>10</v>
      </c>
      <c r="E1084" s="22" t="s">
        <v>42</v>
      </c>
      <c r="F1084" s="7">
        <v>126.06</v>
      </c>
      <c r="G1084" s="17" t="s">
        <v>12</v>
      </c>
      <c r="H1084" s="8" t="s">
        <v>12</v>
      </c>
    </row>
    <row r="1085">
      <c r="A1085" s="10">
        <v>44800.0</v>
      </c>
      <c r="B1085" s="8" t="s">
        <v>41</v>
      </c>
      <c r="C1085" s="21" t="s">
        <v>23</v>
      </c>
      <c r="D1085" s="6" t="s">
        <v>10</v>
      </c>
      <c r="E1085" s="22" t="s">
        <v>35</v>
      </c>
      <c r="F1085" s="7">
        <v>103.14</v>
      </c>
      <c r="G1085" s="17" t="s">
        <v>12</v>
      </c>
      <c r="H1085" s="8" t="s">
        <v>12</v>
      </c>
    </row>
    <row r="1086">
      <c r="A1086" s="10">
        <v>44800.0</v>
      </c>
      <c r="B1086" s="8" t="s">
        <v>41</v>
      </c>
      <c r="C1086" s="21" t="s">
        <v>23</v>
      </c>
      <c r="D1086" s="6" t="s">
        <v>14</v>
      </c>
      <c r="E1086" s="22" t="s">
        <v>19</v>
      </c>
      <c r="F1086" s="7">
        <v>37.85</v>
      </c>
      <c r="G1086" s="17" t="s">
        <v>12</v>
      </c>
      <c r="H1086" s="8" t="s">
        <v>12</v>
      </c>
    </row>
    <row r="1087">
      <c r="A1087" s="10">
        <v>44800.0</v>
      </c>
      <c r="B1087" s="8" t="s">
        <v>41</v>
      </c>
      <c r="C1087" s="21" t="s">
        <v>23</v>
      </c>
      <c r="D1087" s="6" t="s">
        <v>14</v>
      </c>
      <c r="E1087" s="22" t="s">
        <v>42</v>
      </c>
      <c r="F1087" s="7">
        <v>37.85</v>
      </c>
      <c r="G1087" s="17" t="s">
        <v>12</v>
      </c>
      <c r="H1087" s="8" t="s">
        <v>12</v>
      </c>
    </row>
    <row r="1088">
      <c r="A1088" s="10">
        <v>44800.0</v>
      </c>
      <c r="B1088" s="8" t="s">
        <v>41</v>
      </c>
      <c r="C1088" s="21" t="s">
        <v>23</v>
      </c>
      <c r="D1088" s="6" t="s">
        <v>14</v>
      </c>
      <c r="E1088" s="22" t="s">
        <v>35</v>
      </c>
      <c r="F1088" s="7">
        <v>37.85</v>
      </c>
      <c r="G1088" s="17" t="s">
        <v>12</v>
      </c>
      <c r="H1088" s="8" t="s">
        <v>12</v>
      </c>
    </row>
    <row r="1089">
      <c r="A1089" s="10">
        <v>44801.0</v>
      </c>
      <c r="B1089" s="8" t="s">
        <v>41</v>
      </c>
      <c r="C1089" s="21" t="s">
        <v>9</v>
      </c>
      <c r="D1089" s="6" t="s">
        <v>10</v>
      </c>
      <c r="E1089" s="22" t="s">
        <v>38</v>
      </c>
      <c r="F1089" s="7">
        <v>120.93</v>
      </c>
      <c r="G1089" s="17" t="s">
        <v>12</v>
      </c>
      <c r="H1089" s="8" t="s">
        <v>12</v>
      </c>
    </row>
    <row r="1090">
      <c r="A1090" s="10">
        <v>44801.0</v>
      </c>
      <c r="B1090" s="8" t="s">
        <v>41</v>
      </c>
      <c r="C1090" s="21" t="s">
        <v>9</v>
      </c>
      <c r="D1090" s="6" t="s">
        <v>10</v>
      </c>
      <c r="E1090" s="22" t="s">
        <v>19</v>
      </c>
      <c r="F1090" s="7">
        <v>53.35</v>
      </c>
      <c r="G1090" s="17" t="s">
        <v>12</v>
      </c>
      <c r="H1090" s="8" t="s">
        <v>12</v>
      </c>
    </row>
    <row r="1091">
      <c r="A1091" s="10">
        <v>44801.0</v>
      </c>
      <c r="B1091" s="8" t="s">
        <v>41</v>
      </c>
      <c r="C1091" s="21" t="s">
        <v>9</v>
      </c>
      <c r="D1091" s="6" t="s">
        <v>10</v>
      </c>
      <c r="E1091" s="22" t="s">
        <v>42</v>
      </c>
      <c r="F1091" s="7">
        <v>56.02</v>
      </c>
      <c r="G1091" s="17" t="s">
        <v>12</v>
      </c>
      <c r="H1091" s="8" t="s">
        <v>12</v>
      </c>
    </row>
    <row r="1092">
      <c r="A1092" s="10">
        <v>44801.0</v>
      </c>
      <c r="B1092" s="8" t="s">
        <v>41</v>
      </c>
      <c r="C1092" s="21" t="s">
        <v>9</v>
      </c>
      <c r="D1092" s="6" t="s">
        <v>14</v>
      </c>
      <c r="E1092" s="22" t="s">
        <v>19</v>
      </c>
      <c r="F1092" s="7">
        <v>46.28</v>
      </c>
      <c r="G1092" s="17" t="s">
        <v>12</v>
      </c>
      <c r="H1092" s="8" t="s">
        <v>12</v>
      </c>
    </row>
    <row r="1093">
      <c r="A1093" s="10">
        <v>44801.0</v>
      </c>
      <c r="B1093" s="8" t="s">
        <v>41</v>
      </c>
      <c r="C1093" s="21" t="s">
        <v>9</v>
      </c>
      <c r="D1093" s="6" t="s">
        <v>14</v>
      </c>
      <c r="E1093" s="22" t="s">
        <v>42</v>
      </c>
      <c r="F1093" s="7">
        <v>46.28</v>
      </c>
      <c r="G1093" s="17" t="s">
        <v>12</v>
      </c>
      <c r="H1093" s="8" t="s">
        <v>12</v>
      </c>
    </row>
    <row r="1094">
      <c r="A1094" s="10">
        <v>44801.0</v>
      </c>
      <c r="B1094" s="8" t="s">
        <v>41</v>
      </c>
      <c r="C1094" s="21" t="s">
        <v>9</v>
      </c>
      <c r="D1094" s="6" t="s">
        <v>14</v>
      </c>
      <c r="E1094" s="22" t="s">
        <v>35</v>
      </c>
      <c r="F1094" s="7">
        <v>46.28</v>
      </c>
      <c r="G1094" s="17" t="s">
        <v>12</v>
      </c>
      <c r="H1094" s="8" t="s">
        <v>12</v>
      </c>
    </row>
    <row r="1095">
      <c r="A1095" s="10">
        <v>44802.0</v>
      </c>
      <c r="B1095" s="8" t="s">
        <v>41</v>
      </c>
      <c r="C1095" s="21" t="s">
        <v>16</v>
      </c>
      <c r="D1095" s="6" t="s">
        <v>10</v>
      </c>
      <c r="E1095" s="22" t="s">
        <v>34</v>
      </c>
      <c r="F1095" s="7">
        <v>141.34</v>
      </c>
      <c r="G1095" s="17" t="s">
        <v>12</v>
      </c>
      <c r="H1095" s="8" t="s">
        <v>12</v>
      </c>
    </row>
    <row r="1096">
      <c r="A1096" s="10">
        <v>44802.0</v>
      </c>
      <c r="B1096" s="8" t="s">
        <v>41</v>
      </c>
      <c r="C1096" s="21" t="s">
        <v>16</v>
      </c>
      <c r="D1096" s="6" t="s">
        <v>14</v>
      </c>
      <c r="E1096" s="22" t="s">
        <v>34</v>
      </c>
      <c r="F1096" s="7">
        <v>70.2</v>
      </c>
      <c r="G1096" s="17" t="s">
        <v>12</v>
      </c>
      <c r="H1096" s="8" t="s">
        <v>12</v>
      </c>
    </row>
    <row r="1097">
      <c r="A1097" s="10">
        <v>44802.0</v>
      </c>
      <c r="B1097" s="8" t="s">
        <v>41</v>
      </c>
      <c r="C1097" s="21" t="s">
        <v>16</v>
      </c>
      <c r="D1097" s="6" t="s">
        <v>14</v>
      </c>
      <c r="E1097" s="22" t="s">
        <v>42</v>
      </c>
      <c r="F1097" s="7">
        <v>70.2</v>
      </c>
      <c r="G1097" s="17" t="s">
        <v>12</v>
      </c>
      <c r="H1097" s="8" t="s">
        <v>12</v>
      </c>
    </row>
    <row r="1098">
      <c r="A1098" s="10">
        <v>44802.0</v>
      </c>
      <c r="B1098" s="8" t="s">
        <v>41</v>
      </c>
      <c r="C1098" s="21" t="s">
        <v>16</v>
      </c>
      <c r="D1098" s="6" t="s">
        <v>14</v>
      </c>
      <c r="E1098" s="22" t="s">
        <v>35</v>
      </c>
      <c r="F1098" s="7">
        <v>54.63</v>
      </c>
      <c r="G1098" s="17" t="s">
        <v>12</v>
      </c>
      <c r="H1098" s="8" t="s">
        <v>12</v>
      </c>
    </row>
    <row r="1099">
      <c r="A1099" s="10">
        <v>44803.0</v>
      </c>
      <c r="B1099" s="8" t="s">
        <v>41</v>
      </c>
      <c r="C1099" s="21" t="s">
        <v>18</v>
      </c>
      <c r="D1099" s="6" t="s">
        <v>10</v>
      </c>
      <c r="E1099" s="22" t="s">
        <v>34</v>
      </c>
      <c r="F1099" s="7">
        <v>105.12</v>
      </c>
      <c r="G1099" s="17" t="s">
        <v>12</v>
      </c>
      <c r="H1099" s="8" t="s">
        <v>12</v>
      </c>
    </row>
    <row r="1100">
      <c r="A1100" s="10">
        <v>44803.0</v>
      </c>
      <c r="B1100" s="8" t="s">
        <v>41</v>
      </c>
      <c r="C1100" s="21" t="s">
        <v>18</v>
      </c>
      <c r="D1100" s="6" t="s">
        <v>14</v>
      </c>
      <c r="E1100" s="22" t="s">
        <v>34</v>
      </c>
      <c r="F1100" s="7">
        <v>96.39</v>
      </c>
      <c r="G1100" s="17" t="s">
        <v>12</v>
      </c>
      <c r="H1100" s="8" t="s">
        <v>12</v>
      </c>
    </row>
    <row r="1101">
      <c r="A1101" s="10">
        <v>44803.0</v>
      </c>
      <c r="B1101" s="8" t="s">
        <v>41</v>
      </c>
      <c r="C1101" s="21" t="s">
        <v>18</v>
      </c>
      <c r="D1101" s="6" t="s">
        <v>14</v>
      </c>
      <c r="E1101" s="22" t="s">
        <v>35</v>
      </c>
      <c r="F1101" s="7">
        <v>75.01</v>
      </c>
      <c r="G1101" s="17" t="s">
        <v>12</v>
      </c>
      <c r="H1101" s="8" t="s">
        <v>12</v>
      </c>
    </row>
    <row r="1102">
      <c r="A1102" s="10">
        <v>44804.0</v>
      </c>
      <c r="B1102" s="8" t="s">
        <v>41</v>
      </c>
      <c r="C1102" s="21" t="s">
        <v>20</v>
      </c>
      <c r="D1102" s="6" t="s">
        <v>10</v>
      </c>
      <c r="E1102" s="22" t="s">
        <v>19</v>
      </c>
      <c r="F1102" s="7">
        <v>60.64</v>
      </c>
      <c r="G1102" s="17" t="s">
        <v>12</v>
      </c>
      <c r="H1102" s="8" t="s">
        <v>12</v>
      </c>
    </row>
    <row r="1103">
      <c r="A1103" s="10">
        <v>44804.0</v>
      </c>
      <c r="B1103" s="8" t="s">
        <v>41</v>
      </c>
      <c r="C1103" s="21" t="s">
        <v>20</v>
      </c>
      <c r="D1103" s="6" t="s">
        <v>14</v>
      </c>
      <c r="E1103" s="22" t="s">
        <v>19</v>
      </c>
      <c r="F1103" s="7">
        <v>70.46</v>
      </c>
      <c r="G1103" s="17" t="s">
        <v>12</v>
      </c>
      <c r="H1103" s="8" t="s">
        <v>12</v>
      </c>
    </row>
    <row r="1104">
      <c r="A1104" s="10">
        <v>44804.0</v>
      </c>
      <c r="B1104" s="8" t="s">
        <v>41</v>
      </c>
      <c r="C1104" s="21" t="s">
        <v>20</v>
      </c>
      <c r="D1104" s="6" t="s">
        <v>14</v>
      </c>
      <c r="E1104" s="22" t="s">
        <v>42</v>
      </c>
      <c r="F1104" s="7">
        <v>70.46</v>
      </c>
      <c r="G1104" s="17" t="s">
        <v>12</v>
      </c>
      <c r="H1104" s="8" t="s">
        <v>12</v>
      </c>
    </row>
    <row r="1105">
      <c r="A1105" s="10">
        <v>44805.0</v>
      </c>
      <c r="B1105" s="8" t="s">
        <v>44</v>
      </c>
      <c r="C1105" s="21" t="s">
        <v>21</v>
      </c>
      <c r="D1105" s="6" t="s">
        <v>10</v>
      </c>
      <c r="E1105" s="22" t="s">
        <v>31</v>
      </c>
      <c r="F1105" s="7">
        <v>66.26</v>
      </c>
      <c r="G1105" s="17" t="s">
        <v>12</v>
      </c>
      <c r="H1105" s="8" t="s">
        <v>12</v>
      </c>
    </row>
    <row r="1106">
      <c r="A1106" s="10">
        <v>44805.0</v>
      </c>
      <c r="B1106" s="8" t="s">
        <v>44</v>
      </c>
      <c r="C1106" s="21" t="s">
        <v>21</v>
      </c>
      <c r="D1106" s="6" t="s">
        <v>14</v>
      </c>
      <c r="E1106" s="22" t="s">
        <v>42</v>
      </c>
      <c r="F1106" s="7">
        <v>38.47</v>
      </c>
      <c r="G1106" s="17" t="s">
        <v>12</v>
      </c>
      <c r="H1106" s="8" t="s">
        <v>12</v>
      </c>
    </row>
    <row r="1107">
      <c r="A1107" s="10">
        <v>44805.0</v>
      </c>
      <c r="B1107" s="8" t="s">
        <v>44</v>
      </c>
      <c r="C1107" s="21" t="s">
        <v>21</v>
      </c>
      <c r="D1107" s="6" t="s">
        <v>14</v>
      </c>
      <c r="E1107" s="22" t="s">
        <v>35</v>
      </c>
      <c r="F1107" s="7">
        <v>29.92</v>
      </c>
      <c r="G1107" s="17" t="s">
        <v>12</v>
      </c>
      <c r="H1107" s="8" t="s">
        <v>12</v>
      </c>
    </row>
    <row r="1108">
      <c r="A1108" s="10">
        <v>44805.0</v>
      </c>
      <c r="B1108" s="8" t="s">
        <v>44</v>
      </c>
      <c r="C1108" s="21" t="s">
        <v>21</v>
      </c>
      <c r="D1108" s="6" t="s">
        <v>14</v>
      </c>
      <c r="E1108" s="22" t="s">
        <v>19</v>
      </c>
      <c r="F1108" s="7">
        <v>38.47</v>
      </c>
      <c r="G1108" s="17" t="s">
        <v>12</v>
      </c>
      <c r="H1108" s="8" t="s">
        <v>12</v>
      </c>
    </row>
    <row r="1109">
      <c r="A1109" s="10">
        <v>44806.0</v>
      </c>
      <c r="B1109" s="8" t="s">
        <v>44</v>
      </c>
      <c r="C1109" s="21" t="s">
        <v>22</v>
      </c>
      <c r="D1109" s="6" t="s">
        <v>10</v>
      </c>
      <c r="E1109" s="22" t="s">
        <v>31</v>
      </c>
      <c r="F1109" s="7">
        <v>153.48</v>
      </c>
      <c r="G1109" s="17" t="s">
        <v>12</v>
      </c>
      <c r="H1109" s="8" t="s">
        <v>12</v>
      </c>
    </row>
    <row r="1110">
      <c r="A1110" s="10">
        <v>44806.0</v>
      </c>
      <c r="B1110" s="8" t="s">
        <v>44</v>
      </c>
      <c r="C1110" s="21" t="s">
        <v>22</v>
      </c>
      <c r="D1110" s="6" t="s">
        <v>14</v>
      </c>
      <c r="E1110" s="22" t="s">
        <v>31</v>
      </c>
      <c r="F1110" s="7">
        <v>105.18</v>
      </c>
      <c r="G1110" s="17" t="s">
        <v>12</v>
      </c>
      <c r="H1110" s="8" t="s">
        <v>12</v>
      </c>
    </row>
    <row r="1111">
      <c r="A1111" s="10">
        <v>44806.0</v>
      </c>
      <c r="B1111" s="8" t="s">
        <v>44</v>
      </c>
      <c r="C1111" s="21" t="s">
        <v>22</v>
      </c>
      <c r="D1111" s="6" t="s">
        <v>14</v>
      </c>
      <c r="E1111" s="22" t="s">
        <v>19</v>
      </c>
      <c r="F1111" s="7">
        <v>0.0</v>
      </c>
      <c r="G1111" s="17" t="s">
        <v>12</v>
      </c>
      <c r="H1111" s="8" t="s">
        <v>12</v>
      </c>
    </row>
    <row r="1112">
      <c r="A1112" s="10">
        <v>44806.0</v>
      </c>
      <c r="B1112" s="8" t="s">
        <v>44</v>
      </c>
      <c r="C1112" s="21" t="s">
        <v>22</v>
      </c>
      <c r="D1112" s="6" t="s">
        <v>14</v>
      </c>
      <c r="E1112" s="22" t="s">
        <v>42</v>
      </c>
      <c r="F1112" s="7">
        <v>105.19</v>
      </c>
      <c r="G1112" s="17" t="s">
        <v>12</v>
      </c>
      <c r="H1112" s="8" t="s">
        <v>12</v>
      </c>
    </row>
    <row r="1113">
      <c r="A1113" s="10">
        <v>44807.0</v>
      </c>
      <c r="B1113" s="8" t="s">
        <v>44</v>
      </c>
      <c r="C1113" s="21" t="s">
        <v>23</v>
      </c>
      <c r="D1113" s="6" t="s">
        <v>10</v>
      </c>
      <c r="E1113" s="22" t="s">
        <v>31</v>
      </c>
      <c r="F1113" s="7">
        <v>77.7</v>
      </c>
      <c r="G1113" s="17" t="s">
        <v>12</v>
      </c>
      <c r="H1113" s="8" t="s">
        <v>12</v>
      </c>
    </row>
    <row r="1114">
      <c r="A1114" s="10">
        <v>44807.0</v>
      </c>
      <c r="B1114" s="8" t="s">
        <v>44</v>
      </c>
      <c r="C1114" s="21" t="s">
        <v>23</v>
      </c>
      <c r="D1114" s="6" t="s">
        <v>10</v>
      </c>
      <c r="E1114" s="22" t="s">
        <v>19</v>
      </c>
      <c r="F1114" s="7">
        <v>16.69</v>
      </c>
      <c r="G1114" s="17" t="s">
        <v>12</v>
      </c>
      <c r="H1114" s="8" t="s">
        <v>12</v>
      </c>
    </row>
    <row r="1115">
      <c r="A1115" s="10">
        <v>44807.0</v>
      </c>
      <c r="B1115" s="8" t="s">
        <v>44</v>
      </c>
      <c r="C1115" s="21" t="s">
        <v>23</v>
      </c>
      <c r="D1115" s="6" t="s">
        <v>10</v>
      </c>
      <c r="E1115" s="22" t="s">
        <v>35</v>
      </c>
      <c r="F1115" s="7">
        <v>49.95</v>
      </c>
      <c r="G1115" s="17" t="s">
        <v>12</v>
      </c>
      <c r="H1115" s="8" t="s">
        <v>12</v>
      </c>
    </row>
    <row r="1116">
      <c r="A1116" s="10">
        <v>44807.0</v>
      </c>
      <c r="B1116" s="8" t="s">
        <v>44</v>
      </c>
      <c r="C1116" s="21" t="s">
        <v>23</v>
      </c>
      <c r="D1116" s="6" t="s">
        <v>14</v>
      </c>
      <c r="E1116" s="22" t="s">
        <v>31</v>
      </c>
      <c r="F1116" s="7">
        <v>30.96</v>
      </c>
      <c r="G1116" s="17" t="s">
        <v>12</v>
      </c>
      <c r="H1116" s="8" t="s">
        <v>12</v>
      </c>
    </row>
    <row r="1117">
      <c r="A1117" s="10">
        <v>44807.0</v>
      </c>
      <c r="B1117" s="8" t="s">
        <v>44</v>
      </c>
      <c r="C1117" s="21" t="s">
        <v>23</v>
      </c>
      <c r="D1117" s="6" t="s">
        <v>14</v>
      </c>
      <c r="E1117" s="22" t="s">
        <v>19</v>
      </c>
      <c r="F1117" s="7">
        <v>46.43</v>
      </c>
      <c r="G1117" s="17" t="s">
        <v>12</v>
      </c>
      <c r="H1117" s="8" t="s">
        <v>12</v>
      </c>
    </row>
    <row r="1118">
      <c r="A1118" s="10">
        <v>44807.0</v>
      </c>
      <c r="B1118" s="8" t="s">
        <v>44</v>
      </c>
      <c r="C1118" s="21" t="s">
        <v>23</v>
      </c>
      <c r="D1118" s="6" t="s">
        <v>14</v>
      </c>
      <c r="E1118" s="22" t="s">
        <v>35</v>
      </c>
      <c r="F1118" s="7">
        <v>43.85</v>
      </c>
      <c r="G1118" s="17" t="s">
        <v>12</v>
      </c>
      <c r="H1118" s="8" t="s">
        <v>12</v>
      </c>
    </row>
    <row r="1119">
      <c r="A1119" s="10">
        <v>44808.0</v>
      </c>
      <c r="B1119" s="8" t="s">
        <v>44</v>
      </c>
      <c r="C1119" s="21" t="s">
        <v>9</v>
      </c>
      <c r="D1119" s="6" t="s">
        <v>10</v>
      </c>
      <c r="E1119" s="22" t="s">
        <v>31</v>
      </c>
      <c r="F1119" s="7">
        <v>74.25</v>
      </c>
      <c r="G1119" s="17" t="s">
        <v>12</v>
      </c>
      <c r="H1119" s="8" t="s">
        <v>12</v>
      </c>
    </row>
    <row r="1120">
      <c r="A1120" s="10">
        <v>44808.0</v>
      </c>
      <c r="B1120" s="8" t="s">
        <v>44</v>
      </c>
      <c r="C1120" s="21" t="s">
        <v>9</v>
      </c>
      <c r="D1120" s="6" t="s">
        <v>10</v>
      </c>
      <c r="E1120" s="22" t="s">
        <v>19</v>
      </c>
      <c r="F1120" s="7">
        <v>53.03</v>
      </c>
      <c r="G1120" s="17" t="s">
        <v>12</v>
      </c>
      <c r="H1120" s="8" t="s">
        <v>12</v>
      </c>
    </row>
    <row r="1121">
      <c r="A1121" s="10">
        <v>44808.0</v>
      </c>
      <c r="B1121" s="8" t="s">
        <v>44</v>
      </c>
      <c r="C1121" s="21" t="s">
        <v>9</v>
      </c>
      <c r="D1121" s="6" t="s">
        <v>10</v>
      </c>
      <c r="E1121" s="22" t="s">
        <v>35</v>
      </c>
      <c r="F1121" s="7">
        <v>53.03</v>
      </c>
      <c r="G1121" s="17" t="s">
        <v>12</v>
      </c>
      <c r="H1121" s="8" t="s">
        <v>12</v>
      </c>
    </row>
    <row r="1122">
      <c r="A1122" s="10">
        <v>44808.0</v>
      </c>
      <c r="B1122" s="8" t="s">
        <v>44</v>
      </c>
      <c r="C1122" s="21" t="s">
        <v>9</v>
      </c>
      <c r="D1122" s="6" t="s">
        <v>14</v>
      </c>
      <c r="E1122" s="22" t="s">
        <v>31</v>
      </c>
      <c r="F1122" s="7">
        <v>64.13</v>
      </c>
      <c r="G1122" s="17" t="s">
        <v>12</v>
      </c>
      <c r="H1122" s="8" t="s">
        <v>12</v>
      </c>
    </row>
    <row r="1123">
      <c r="A1123" s="10">
        <v>44808.0</v>
      </c>
      <c r="B1123" s="8" t="s">
        <v>44</v>
      </c>
      <c r="C1123" s="21" t="s">
        <v>9</v>
      </c>
      <c r="D1123" s="6" t="s">
        <v>14</v>
      </c>
      <c r="E1123" s="22" t="s">
        <v>19</v>
      </c>
      <c r="F1123" s="7">
        <v>42.76</v>
      </c>
      <c r="G1123" s="17" t="s">
        <v>12</v>
      </c>
      <c r="H1123" s="8" t="s">
        <v>12</v>
      </c>
    </row>
    <row r="1124">
      <c r="A1124" s="10">
        <v>44808.0</v>
      </c>
      <c r="B1124" s="8" t="s">
        <v>44</v>
      </c>
      <c r="C1124" s="21" t="s">
        <v>9</v>
      </c>
      <c r="D1124" s="6" t="s">
        <v>14</v>
      </c>
      <c r="E1124" s="22" t="s">
        <v>35</v>
      </c>
      <c r="F1124" s="7">
        <v>64.13</v>
      </c>
      <c r="G1124" s="17" t="s">
        <v>12</v>
      </c>
      <c r="H1124" s="8" t="s">
        <v>12</v>
      </c>
    </row>
    <row r="1125">
      <c r="A1125" s="10">
        <v>44809.0</v>
      </c>
      <c r="B1125" s="8" t="s">
        <v>44</v>
      </c>
      <c r="C1125" s="21" t="s">
        <v>16</v>
      </c>
      <c r="D1125" s="6" t="s">
        <v>10</v>
      </c>
      <c r="E1125" s="22" t="s">
        <v>34</v>
      </c>
      <c r="F1125" s="7">
        <v>91.4</v>
      </c>
      <c r="G1125" s="17" t="s">
        <v>12</v>
      </c>
      <c r="H1125" s="8" t="s">
        <v>12</v>
      </c>
    </row>
    <row r="1126">
      <c r="A1126" s="10">
        <v>44809.0</v>
      </c>
      <c r="B1126" s="8" t="s">
        <v>44</v>
      </c>
      <c r="C1126" s="21" t="s">
        <v>16</v>
      </c>
      <c r="D1126" s="6" t="s">
        <v>10</v>
      </c>
      <c r="E1126" s="22" t="s">
        <v>19</v>
      </c>
      <c r="F1126" s="7">
        <v>64.01</v>
      </c>
      <c r="G1126" s="17" t="s">
        <v>12</v>
      </c>
      <c r="H1126" s="8" t="s">
        <v>12</v>
      </c>
    </row>
    <row r="1127">
      <c r="A1127" s="10">
        <v>44809.0</v>
      </c>
      <c r="B1127" s="8" t="s">
        <v>44</v>
      </c>
      <c r="C1127" s="21" t="s">
        <v>16</v>
      </c>
      <c r="D1127" s="6" t="s">
        <v>14</v>
      </c>
      <c r="E1127" s="22" t="s">
        <v>34</v>
      </c>
      <c r="F1127" s="7">
        <v>99.59</v>
      </c>
      <c r="G1127" s="17" t="s">
        <v>12</v>
      </c>
      <c r="H1127" s="8" t="s">
        <v>12</v>
      </c>
    </row>
    <row r="1128">
      <c r="A1128" s="10">
        <v>44809.0</v>
      </c>
      <c r="B1128" s="8" t="s">
        <v>44</v>
      </c>
      <c r="C1128" s="21" t="s">
        <v>16</v>
      </c>
      <c r="D1128" s="6" t="s">
        <v>14</v>
      </c>
      <c r="E1128" s="22" t="s">
        <v>19</v>
      </c>
      <c r="F1128" s="7">
        <v>99.6</v>
      </c>
      <c r="G1128" s="17" t="s">
        <v>12</v>
      </c>
      <c r="H1128" s="8" t="s">
        <v>12</v>
      </c>
    </row>
    <row r="1129">
      <c r="A1129" s="10">
        <v>44810.0</v>
      </c>
      <c r="B1129" s="8" t="s">
        <v>44</v>
      </c>
      <c r="C1129" s="21" t="s">
        <v>18</v>
      </c>
      <c r="D1129" s="6" t="s">
        <v>10</v>
      </c>
      <c r="E1129" s="22" t="s">
        <v>34</v>
      </c>
      <c r="F1129" s="7">
        <v>90.45</v>
      </c>
      <c r="G1129" s="17" t="s">
        <v>12</v>
      </c>
      <c r="H1129" s="8" t="s">
        <v>12</v>
      </c>
    </row>
    <row r="1130">
      <c r="A1130" s="10">
        <v>44810.0</v>
      </c>
      <c r="B1130" s="8" t="s">
        <v>44</v>
      </c>
      <c r="C1130" s="21" t="s">
        <v>18</v>
      </c>
      <c r="D1130" s="6" t="s">
        <v>14</v>
      </c>
      <c r="E1130" s="22" t="s">
        <v>34</v>
      </c>
      <c r="F1130" s="7">
        <v>42.21</v>
      </c>
      <c r="G1130" s="17" t="s">
        <v>12</v>
      </c>
      <c r="H1130" s="8" t="s">
        <v>12</v>
      </c>
    </row>
    <row r="1131">
      <c r="A1131" s="10">
        <v>44810.0</v>
      </c>
      <c r="B1131" s="8" t="s">
        <v>44</v>
      </c>
      <c r="C1131" s="21" t="s">
        <v>18</v>
      </c>
      <c r="D1131" s="6" t="s">
        <v>14</v>
      </c>
      <c r="E1131" s="22" t="s">
        <v>42</v>
      </c>
      <c r="F1131" s="7">
        <v>54.27</v>
      </c>
      <c r="G1131" s="17" t="s">
        <v>12</v>
      </c>
      <c r="H1131" s="8" t="s">
        <v>12</v>
      </c>
    </row>
    <row r="1132">
      <c r="A1132" s="10">
        <v>44811.0</v>
      </c>
      <c r="B1132" s="8" t="s">
        <v>44</v>
      </c>
      <c r="C1132" s="21" t="s">
        <v>20</v>
      </c>
      <c r="D1132" s="6" t="s">
        <v>10</v>
      </c>
      <c r="E1132" s="22" t="s">
        <v>19</v>
      </c>
      <c r="F1132" s="7">
        <v>68.5</v>
      </c>
      <c r="G1132" s="17" t="s">
        <v>12</v>
      </c>
      <c r="H1132" s="8" t="s">
        <v>12</v>
      </c>
    </row>
    <row r="1133">
      <c r="A1133" s="10">
        <v>44811.0</v>
      </c>
      <c r="B1133" s="8" t="s">
        <v>44</v>
      </c>
      <c r="C1133" s="21" t="s">
        <v>20</v>
      </c>
      <c r="D1133" s="6" t="s">
        <v>14</v>
      </c>
      <c r="E1133" s="22" t="s">
        <v>19</v>
      </c>
      <c r="F1133" s="7">
        <v>65.99</v>
      </c>
      <c r="G1133" s="17" t="s">
        <v>12</v>
      </c>
      <c r="H1133" s="8" t="s">
        <v>12</v>
      </c>
    </row>
    <row r="1134">
      <c r="A1134" s="10">
        <v>44811.0</v>
      </c>
      <c r="B1134" s="8" t="s">
        <v>44</v>
      </c>
      <c r="C1134" s="21" t="s">
        <v>20</v>
      </c>
      <c r="D1134" s="6" t="s">
        <v>14</v>
      </c>
      <c r="E1134" s="22" t="s">
        <v>42</v>
      </c>
      <c r="F1134" s="7">
        <v>65.99</v>
      </c>
      <c r="G1134" s="17" t="s">
        <v>12</v>
      </c>
      <c r="H1134" s="8" t="s">
        <v>12</v>
      </c>
    </row>
    <row r="1135">
      <c r="A1135" s="10">
        <v>44812.0</v>
      </c>
      <c r="B1135" s="8" t="s">
        <v>44</v>
      </c>
      <c r="C1135" s="21" t="s">
        <v>21</v>
      </c>
      <c r="D1135" s="6" t="s">
        <v>10</v>
      </c>
      <c r="E1135" s="22" t="s">
        <v>31</v>
      </c>
      <c r="F1135" s="7">
        <v>102.51</v>
      </c>
      <c r="G1135" s="17" t="s">
        <v>12</v>
      </c>
      <c r="H1135" s="8" t="s">
        <v>12</v>
      </c>
    </row>
    <row r="1136">
      <c r="A1136" s="10">
        <v>44812.0</v>
      </c>
      <c r="B1136" s="8" t="s">
        <v>44</v>
      </c>
      <c r="C1136" s="21" t="s">
        <v>21</v>
      </c>
      <c r="D1136" s="6" t="s">
        <v>14</v>
      </c>
      <c r="E1136" s="22" t="s">
        <v>19</v>
      </c>
      <c r="F1136" s="7">
        <v>61.26</v>
      </c>
      <c r="G1136" s="17" t="s">
        <v>12</v>
      </c>
      <c r="H1136" s="8" t="s">
        <v>12</v>
      </c>
    </row>
    <row r="1137">
      <c r="A1137" s="10">
        <v>44812.0</v>
      </c>
      <c r="B1137" s="8" t="s">
        <v>44</v>
      </c>
      <c r="C1137" s="21" t="s">
        <v>21</v>
      </c>
      <c r="D1137" s="6" t="s">
        <v>14</v>
      </c>
      <c r="E1137" s="22" t="s">
        <v>42</v>
      </c>
      <c r="F1137" s="7">
        <v>61.26</v>
      </c>
      <c r="G1137" s="17" t="s">
        <v>12</v>
      </c>
      <c r="H1137" s="8" t="s">
        <v>12</v>
      </c>
    </row>
    <row r="1138">
      <c r="A1138" s="10">
        <v>44812.0</v>
      </c>
      <c r="B1138" s="8" t="s">
        <v>44</v>
      </c>
      <c r="C1138" s="21" t="s">
        <v>21</v>
      </c>
      <c r="D1138" s="6" t="s">
        <v>14</v>
      </c>
      <c r="E1138" s="22" t="s">
        <v>35</v>
      </c>
      <c r="F1138" s="7">
        <v>47.65</v>
      </c>
      <c r="G1138" s="17" t="s">
        <v>12</v>
      </c>
      <c r="H1138" s="8" t="s">
        <v>12</v>
      </c>
    </row>
    <row r="1139">
      <c r="A1139" s="10">
        <v>44813.0</v>
      </c>
      <c r="B1139" s="8" t="s">
        <v>44</v>
      </c>
      <c r="C1139" s="21" t="s">
        <v>22</v>
      </c>
      <c r="D1139" s="6" t="s">
        <v>10</v>
      </c>
      <c r="E1139" s="22" t="s">
        <v>31</v>
      </c>
      <c r="F1139" s="7">
        <v>106.97</v>
      </c>
      <c r="G1139" s="17" t="s">
        <v>12</v>
      </c>
      <c r="H1139" s="8" t="s">
        <v>12</v>
      </c>
    </row>
    <row r="1140">
      <c r="A1140" s="10">
        <v>44813.0</v>
      </c>
      <c r="B1140" s="8" t="s">
        <v>44</v>
      </c>
      <c r="C1140" s="21" t="s">
        <v>22</v>
      </c>
      <c r="D1140" s="6" t="s">
        <v>14</v>
      </c>
      <c r="E1140" s="22" t="s">
        <v>31</v>
      </c>
      <c r="F1140" s="7">
        <v>26.97</v>
      </c>
      <c r="G1140" s="17" t="s">
        <v>12</v>
      </c>
      <c r="H1140" s="8" t="s">
        <v>12</v>
      </c>
    </row>
    <row r="1141">
      <c r="A1141" s="10">
        <v>44813.0</v>
      </c>
      <c r="B1141" s="8" t="s">
        <v>44</v>
      </c>
      <c r="C1141" s="21" t="s">
        <v>22</v>
      </c>
      <c r="D1141" s="6" t="s">
        <v>14</v>
      </c>
      <c r="E1141" s="22" t="s">
        <v>19</v>
      </c>
      <c r="F1141" s="7">
        <v>17.98</v>
      </c>
      <c r="G1141" s="17" t="s">
        <v>12</v>
      </c>
      <c r="H1141" s="8" t="s">
        <v>12</v>
      </c>
    </row>
    <row r="1142">
      <c r="A1142" s="10">
        <v>44813.0</v>
      </c>
      <c r="B1142" s="8" t="s">
        <v>44</v>
      </c>
      <c r="C1142" s="21" t="s">
        <v>22</v>
      </c>
      <c r="D1142" s="6" t="s">
        <v>14</v>
      </c>
      <c r="E1142" s="22" t="s">
        <v>42</v>
      </c>
      <c r="F1142" s="7">
        <v>26.97</v>
      </c>
      <c r="G1142" s="17" t="s">
        <v>12</v>
      </c>
      <c r="H1142" s="8" t="s">
        <v>12</v>
      </c>
    </row>
    <row r="1143">
      <c r="A1143" s="10">
        <v>44814.0</v>
      </c>
      <c r="B1143" s="8" t="s">
        <v>44</v>
      </c>
      <c r="C1143" s="21" t="s">
        <v>23</v>
      </c>
      <c r="D1143" s="6" t="s">
        <v>10</v>
      </c>
      <c r="E1143" s="22" t="s">
        <v>31</v>
      </c>
      <c r="F1143" s="7">
        <v>181.38</v>
      </c>
      <c r="G1143" s="17" t="s">
        <v>12</v>
      </c>
      <c r="H1143" s="8" t="s">
        <v>12</v>
      </c>
    </row>
    <row r="1144">
      <c r="A1144" s="10">
        <v>44814.0</v>
      </c>
      <c r="B1144" s="8" t="s">
        <v>44</v>
      </c>
      <c r="C1144" s="21" t="s">
        <v>23</v>
      </c>
      <c r="D1144" s="6" t="s">
        <v>10</v>
      </c>
      <c r="E1144" s="22" t="s">
        <v>19</v>
      </c>
      <c r="F1144" s="7">
        <v>164.89</v>
      </c>
      <c r="G1144" s="17" t="s">
        <v>12</v>
      </c>
      <c r="H1144" s="8" t="s">
        <v>12</v>
      </c>
    </row>
    <row r="1145">
      <c r="A1145" s="10">
        <v>44814.0</v>
      </c>
      <c r="B1145" s="8" t="s">
        <v>44</v>
      </c>
      <c r="C1145" s="21" t="s">
        <v>23</v>
      </c>
      <c r="D1145" s="6" t="s">
        <v>14</v>
      </c>
      <c r="E1145" s="22" t="s">
        <v>31</v>
      </c>
      <c r="F1145" s="7">
        <v>32.04</v>
      </c>
      <c r="G1145" s="17" t="s">
        <v>12</v>
      </c>
      <c r="H1145" s="8" t="s">
        <v>12</v>
      </c>
    </row>
    <row r="1146">
      <c r="A1146" s="10">
        <v>44814.0</v>
      </c>
      <c r="B1146" s="8" t="s">
        <v>44</v>
      </c>
      <c r="C1146" s="21" t="s">
        <v>23</v>
      </c>
      <c r="D1146" s="6" t="s">
        <v>14</v>
      </c>
      <c r="E1146" s="22" t="s">
        <v>19</v>
      </c>
      <c r="F1146" s="7">
        <v>48.06</v>
      </c>
      <c r="G1146" s="17" t="s">
        <v>12</v>
      </c>
      <c r="H1146" s="8" t="s">
        <v>12</v>
      </c>
    </row>
    <row r="1147">
      <c r="A1147" s="10">
        <v>44814.0</v>
      </c>
      <c r="B1147" s="8" t="s">
        <v>44</v>
      </c>
      <c r="C1147" s="21" t="s">
        <v>23</v>
      </c>
      <c r="D1147" s="6" t="s">
        <v>14</v>
      </c>
      <c r="E1147" s="22" t="s">
        <v>35</v>
      </c>
      <c r="F1147" s="7">
        <v>48.06</v>
      </c>
      <c r="G1147" s="17" t="s">
        <v>12</v>
      </c>
      <c r="H1147" s="8" t="s">
        <v>12</v>
      </c>
    </row>
    <row r="1148">
      <c r="A1148" s="10">
        <v>44815.0</v>
      </c>
      <c r="B1148" s="8" t="s">
        <v>44</v>
      </c>
      <c r="C1148" s="21" t="s">
        <v>9</v>
      </c>
      <c r="D1148" s="6" t="s">
        <v>10</v>
      </c>
      <c r="E1148" s="22" t="s">
        <v>31</v>
      </c>
      <c r="F1148" s="7">
        <v>74.37</v>
      </c>
      <c r="G1148" s="17" t="s">
        <v>12</v>
      </c>
      <c r="H1148" s="8" t="s">
        <v>12</v>
      </c>
    </row>
    <row r="1149">
      <c r="A1149" s="10">
        <v>44815.0</v>
      </c>
      <c r="B1149" s="8" t="s">
        <v>44</v>
      </c>
      <c r="C1149" s="21" t="s">
        <v>9</v>
      </c>
      <c r="D1149" s="6" t="s">
        <v>10</v>
      </c>
      <c r="E1149" s="22" t="s">
        <v>19</v>
      </c>
      <c r="F1149" s="7">
        <v>74.37</v>
      </c>
      <c r="G1149" s="17" t="s">
        <v>12</v>
      </c>
      <c r="H1149" s="8" t="s">
        <v>12</v>
      </c>
    </row>
    <row r="1150">
      <c r="A1150" s="10">
        <v>44815.0</v>
      </c>
      <c r="B1150" s="8" t="s">
        <v>44</v>
      </c>
      <c r="C1150" s="21" t="s">
        <v>9</v>
      </c>
      <c r="D1150" s="6" t="s">
        <v>10</v>
      </c>
      <c r="E1150" s="22" t="s">
        <v>35</v>
      </c>
      <c r="F1150" s="7">
        <v>74.37</v>
      </c>
      <c r="G1150" s="17" t="s">
        <v>12</v>
      </c>
      <c r="H1150" s="8" t="s">
        <v>12</v>
      </c>
    </row>
    <row r="1151">
      <c r="A1151" s="10">
        <v>44815.0</v>
      </c>
      <c r="B1151" s="8" t="s">
        <v>44</v>
      </c>
      <c r="C1151" s="21" t="s">
        <v>9</v>
      </c>
      <c r="D1151" s="6" t="s">
        <v>14</v>
      </c>
      <c r="E1151" s="22" t="s">
        <v>31</v>
      </c>
      <c r="F1151" s="7">
        <v>54.13</v>
      </c>
      <c r="G1151" s="17" t="s">
        <v>12</v>
      </c>
      <c r="H1151" s="8" t="s">
        <v>12</v>
      </c>
    </row>
    <row r="1152">
      <c r="A1152" s="10">
        <v>44815.0</v>
      </c>
      <c r="B1152" s="8" t="s">
        <v>44</v>
      </c>
      <c r="C1152" s="21" t="s">
        <v>9</v>
      </c>
      <c r="D1152" s="6" t="s">
        <v>14</v>
      </c>
      <c r="E1152" s="22" t="s">
        <v>42</v>
      </c>
      <c r="F1152" s="7">
        <v>54.13</v>
      </c>
      <c r="G1152" s="17" t="s">
        <v>12</v>
      </c>
      <c r="H1152" s="8" t="s">
        <v>12</v>
      </c>
    </row>
    <row r="1153">
      <c r="A1153" s="10">
        <v>44815.0</v>
      </c>
      <c r="B1153" s="8" t="s">
        <v>44</v>
      </c>
      <c r="C1153" s="21" t="s">
        <v>9</v>
      </c>
      <c r="D1153" s="6" t="s">
        <v>14</v>
      </c>
      <c r="E1153" s="22" t="s">
        <v>35</v>
      </c>
      <c r="F1153" s="7">
        <v>36.08</v>
      </c>
      <c r="G1153" s="17" t="s">
        <v>12</v>
      </c>
      <c r="H1153" s="8" t="s">
        <v>12</v>
      </c>
    </row>
    <row r="1154">
      <c r="A1154" s="10">
        <v>44816.0</v>
      </c>
      <c r="B1154" s="8" t="s">
        <v>44</v>
      </c>
      <c r="C1154" s="21" t="s">
        <v>16</v>
      </c>
      <c r="D1154" s="6" t="s">
        <v>10</v>
      </c>
      <c r="E1154" s="22" t="s">
        <v>34</v>
      </c>
      <c r="F1154" s="7">
        <v>119.54</v>
      </c>
      <c r="G1154" s="17" t="s">
        <v>12</v>
      </c>
      <c r="H1154" s="8" t="s">
        <v>12</v>
      </c>
    </row>
    <row r="1155">
      <c r="A1155" s="10">
        <v>44816.0</v>
      </c>
      <c r="B1155" s="8" t="s">
        <v>44</v>
      </c>
      <c r="C1155" s="21" t="s">
        <v>16</v>
      </c>
      <c r="D1155" s="6" t="s">
        <v>14</v>
      </c>
      <c r="E1155" s="22" t="s">
        <v>42</v>
      </c>
      <c r="F1155" s="7">
        <v>63.62</v>
      </c>
      <c r="G1155" s="17" t="s">
        <v>12</v>
      </c>
      <c r="H1155" s="8" t="s">
        <v>12</v>
      </c>
    </row>
    <row r="1156">
      <c r="A1156" s="10">
        <v>44816.0</v>
      </c>
      <c r="B1156" s="8" t="s">
        <v>44</v>
      </c>
      <c r="C1156" s="21" t="s">
        <v>16</v>
      </c>
      <c r="D1156" s="6" t="s">
        <v>14</v>
      </c>
      <c r="E1156" s="22" t="s">
        <v>35</v>
      </c>
      <c r="F1156" s="7">
        <v>35.34</v>
      </c>
      <c r="G1156" s="17" t="s">
        <v>12</v>
      </c>
      <c r="H1156" s="8" t="s">
        <v>12</v>
      </c>
    </row>
    <row r="1157">
      <c r="A1157" s="10">
        <v>44816.0</v>
      </c>
      <c r="B1157" s="8" t="s">
        <v>44</v>
      </c>
      <c r="C1157" s="21" t="s">
        <v>16</v>
      </c>
      <c r="D1157" s="6" t="s">
        <v>14</v>
      </c>
      <c r="E1157" s="22" t="s">
        <v>34</v>
      </c>
      <c r="F1157" s="7">
        <v>63.62</v>
      </c>
      <c r="G1157" s="17" t="s">
        <v>12</v>
      </c>
      <c r="H1157" s="8" t="s">
        <v>12</v>
      </c>
    </row>
    <row r="1158">
      <c r="A1158" s="10">
        <v>44817.0</v>
      </c>
      <c r="B1158" s="8" t="s">
        <v>44</v>
      </c>
      <c r="C1158" s="21" t="s">
        <v>18</v>
      </c>
      <c r="D1158" s="6" t="s">
        <v>10</v>
      </c>
      <c r="E1158" s="22" t="s">
        <v>34</v>
      </c>
      <c r="F1158" s="7">
        <v>49.09</v>
      </c>
      <c r="G1158" s="17" t="s">
        <v>12</v>
      </c>
      <c r="H1158" s="8" t="s">
        <v>12</v>
      </c>
    </row>
    <row r="1159">
      <c r="A1159" s="10">
        <v>44817.0</v>
      </c>
      <c r="B1159" s="8" t="s">
        <v>44</v>
      </c>
      <c r="C1159" s="21" t="s">
        <v>18</v>
      </c>
      <c r="D1159" s="6" t="s">
        <v>14</v>
      </c>
      <c r="E1159" s="22" t="s">
        <v>34</v>
      </c>
      <c r="F1159" s="7">
        <v>37.18</v>
      </c>
      <c r="G1159" s="17" t="s">
        <v>12</v>
      </c>
      <c r="H1159" s="8" t="s">
        <v>12</v>
      </c>
    </row>
    <row r="1160">
      <c r="A1160" s="10">
        <v>44817.0</v>
      </c>
      <c r="B1160" s="8" t="s">
        <v>44</v>
      </c>
      <c r="C1160" s="21" t="s">
        <v>18</v>
      </c>
      <c r="D1160" s="6" t="s">
        <v>14</v>
      </c>
      <c r="E1160" s="22" t="s">
        <v>42</v>
      </c>
      <c r="F1160" s="7">
        <v>83.66</v>
      </c>
      <c r="G1160" s="17" t="s">
        <v>12</v>
      </c>
      <c r="H1160" s="8" t="s">
        <v>12</v>
      </c>
    </row>
    <row r="1161">
      <c r="A1161" s="10">
        <v>44817.0</v>
      </c>
      <c r="B1161" s="8" t="s">
        <v>44</v>
      </c>
      <c r="C1161" s="21" t="s">
        <v>18</v>
      </c>
      <c r="D1161" s="6" t="s">
        <v>14</v>
      </c>
      <c r="E1161" s="22" t="s">
        <v>35</v>
      </c>
      <c r="F1161" s="7">
        <v>65.11</v>
      </c>
      <c r="G1161" s="17" t="s">
        <v>12</v>
      </c>
      <c r="H1161" s="8" t="s">
        <v>12</v>
      </c>
    </row>
    <row r="1162">
      <c r="A1162" s="10">
        <v>44818.0</v>
      </c>
      <c r="B1162" s="8" t="s">
        <v>44</v>
      </c>
      <c r="C1162" s="21" t="s">
        <v>20</v>
      </c>
      <c r="D1162" s="6" t="s">
        <v>10</v>
      </c>
      <c r="E1162" s="22" t="s">
        <v>31</v>
      </c>
      <c r="F1162" s="7">
        <v>84.84</v>
      </c>
      <c r="G1162" s="17" t="s">
        <v>12</v>
      </c>
      <c r="H1162" s="8" t="s">
        <v>12</v>
      </c>
    </row>
    <row r="1163">
      <c r="A1163" s="10">
        <v>44818.0</v>
      </c>
      <c r="B1163" s="8" t="s">
        <v>44</v>
      </c>
      <c r="C1163" s="21" t="s">
        <v>20</v>
      </c>
      <c r="D1163" s="6" t="s">
        <v>14</v>
      </c>
      <c r="E1163" s="22" t="s">
        <v>19</v>
      </c>
      <c r="F1163" s="7">
        <v>82.0</v>
      </c>
      <c r="G1163" s="17" t="s">
        <v>12</v>
      </c>
      <c r="H1163" s="8" t="s">
        <v>12</v>
      </c>
    </row>
    <row r="1164">
      <c r="A1164" s="10">
        <v>44818.0</v>
      </c>
      <c r="B1164" s="8" t="s">
        <v>44</v>
      </c>
      <c r="C1164" s="21" t="s">
        <v>20</v>
      </c>
      <c r="D1164" s="6" t="s">
        <v>14</v>
      </c>
      <c r="E1164" s="22" t="s">
        <v>42</v>
      </c>
      <c r="F1164" s="7">
        <v>82.0</v>
      </c>
      <c r="G1164" s="17" t="s">
        <v>12</v>
      </c>
      <c r="H1164" s="8" t="s">
        <v>12</v>
      </c>
    </row>
    <row r="1165">
      <c r="A1165" s="10">
        <v>44818.0</v>
      </c>
      <c r="B1165" s="8" t="s">
        <v>44</v>
      </c>
      <c r="C1165" s="21" t="s">
        <v>20</v>
      </c>
      <c r="D1165" s="6" t="s">
        <v>14</v>
      </c>
      <c r="E1165" s="22" t="s">
        <v>45</v>
      </c>
      <c r="F1165" s="7">
        <v>0.0</v>
      </c>
      <c r="G1165" s="20" t="s">
        <v>26</v>
      </c>
      <c r="H1165" s="8" t="s">
        <v>12</v>
      </c>
    </row>
    <row r="1166">
      <c r="A1166" s="10">
        <v>44819.0</v>
      </c>
      <c r="B1166" s="8" t="s">
        <v>44</v>
      </c>
      <c r="C1166" s="21" t="s">
        <v>21</v>
      </c>
      <c r="D1166" s="6" t="s">
        <v>10</v>
      </c>
      <c r="E1166" s="22" t="s">
        <v>31</v>
      </c>
      <c r="F1166" s="7">
        <v>68.86</v>
      </c>
      <c r="G1166" s="17" t="s">
        <v>12</v>
      </c>
      <c r="H1166" s="8" t="s">
        <v>12</v>
      </c>
    </row>
    <row r="1167">
      <c r="A1167" s="10">
        <v>44819.0</v>
      </c>
      <c r="B1167" s="8" t="s">
        <v>44</v>
      </c>
      <c r="C1167" s="21" t="s">
        <v>21</v>
      </c>
      <c r="D1167" s="6" t="s">
        <v>14</v>
      </c>
      <c r="E1167" s="22" t="s">
        <v>19</v>
      </c>
      <c r="F1167" s="7">
        <v>93.4</v>
      </c>
      <c r="G1167" s="17" t="s">
        <v>12</v>
      </c>
      <c r="H1167" s="8" t="s">
        <v>12</v>
      </c>
    </row>
    <row r="1168">
      <c r="A1168" s="10">
        <v>44819.0</v>
      </c>
      <c r="B1168" s="8" t="s">
        <v>44</v>
      </c>
      <c r="C1168" s="21" t="s">
        <v>21</v>
      </c>
      <c r="D1168" s="6" t="s">
        <v>14</v>
      </c>
      <c r="E1168" s="22" t="s">
        <v>42</v>
      </c>
      <c r="F1168" s="7">
        <v>93.4</v>
      </c>
      <c r="G1168" s="17" t="s">
        <v>12</v>
      </c>
      <c r="H1168" s="8" t="s">
        <v>12</v>
      </c>
    </row>
    <row r="1169">
      <c r="A1169" s="10">
        <v>44819.0</v>
      </c>
      <c r="B1169" s="8" t="s">
        <v>44</v>
      </c>
      <c r="C1169" s="21" t="s">
        <v>21</v>
      </c>
      <c r="D1169" s="6" t="s">
        <v>14</v>
      </c>
      <c r="E1169" s="22" t="s">
        <v>45</v>
      </c>
      <c r="F1169" s="7">
        <v>0.0</v>
      </c>
      <c r="G1169" s="20" t="s">
        <v>26</v>
      </c>
      <c r="H1169" s="8" t="s">
        <v>12</v>
      </c>
    </row>
    <row r="1170">
      <c r="A1170" s="10">
        <v>44820.0</v>
      </c>
      <c r="B1170" s="8" t="s">
        <v>44</v>
      </c>
      <c r="C1170" s="21" t="s">
        <v>22</v>
      </c>
      <c r="D1170" s="6" t="s">
        <v>10</v>
      </c>
      <c r="E1170" s="22" t="s">
        <v>31</v>
      </c>
      <c r="F1170" s="7">
        <v>140.06</v>
      </c>
      <c r="G1170" s="17" t="s">
        <v>12</v>
      </c>
      <c r="H1170" s="8" t="s">
        <v>12</v>
      </c>
    </row>
    <row r="1171">
      <c r="A1171" s="10">
        <v>44820.0</v>
      </c>
      <c r="B1171" s="8" t="s">
        <v>44</v>
      </c>
      <c r="C1171" s="21" t="s">
        <v>22</v>
      </c>
      <c r="D1171" s="6" t="s">
        <v>14</v>
      </c>
      <c r="E1171" s="22" t="s">
        <v>19</v>
      </c>
      <c r="F1171" s="7">
        <v>67.21</v>
      </c>
      <c r="G1171" s="17" t="s">
        <v>12</v>
      </c>
      <c r="H1171" s="8" t="s">
        <v>12</v>
      </c>
    </row>
    <row r="1172">
      <c r="A1172" s="10">
        <v>44820.0</v>
      </c>
      <c r="B1172" s="8" t="s">
        <v>44</v>
      </c>
      <c r="C1172" s="21" t="s">
        <v>22</v>
      </c>
      <c r="D1172" s="6" t="s">
        <v>14</v>
      </c>
      <c r="E1172" s="22" t="s">
        <v>35</v>
      </c>
      <c r="F1172" s="7">
        <v>52.27</v>
      </c>
      <c r="G1172" s="17" t="s">
        <v>12</v>
      </c>
      <c r="H1172" s="8" t="s">
        <v>12</v>
      </c>
    </row>
    <row r="1173">
      <c r="A1173" s="10">
        <v>44820.0</v>
      </c>
      <c r="B1173" s="8" t="s">
        <v>44</v>
      </c>
      <c r="C1173" s="21" t="s">
        <v>22</v>
      </c>
      <c r="D1173" s="6" t="s">
        <v>14</v>
      </c>
      <c r="E1173" s="22" t="s">
        <v>42</v>
      </c>
      <c r="F1173" s="7">
        <v>67.21</v>
      </c>
      <c r="G1173" s="17" t="s">
        <v>12</v>
      </c>
      <c r="H1173" s="8" t="s">
        <v>12</v>
      </c>
    </row>
    <row r="1174">
      <c r="A1174" s="10">
        <v>44821.0</v>
      </c>
      <c r="B1174" s="8" t="s">
        <v>44</v>
      </c>
      <c r="C1174" s="21" t="s">
        <v>23</v>
      </c>
      <c r="D1174" s="6" t="s">
        <v>10</v>
      </c>
      <c r="E1174" s="22" t="s">
        <v>19</v>
      </c>
      <c r="F1174" s="7">
        <v>105.52</v>
      </c>
      <c r="G1174" s="17" t="s">
        <v>12</v>
      </c>
      <c r="H1174" s="8" t="s">
        <v>12</v>
      </c>
    </row>
    <row r="1175">
      <c r="A1175" s="10">
        <v>44821.0</v>
      </c>
      <c r="B1175" s="8" t="s">
        <v>44</v>
      </c>
      <c r="C1175" s="21" t="s">
        <v>23</v>
      </c>
      <c r="D1175" s="6" t="s">
        <v>10</v>
      </c>
      <c r="E1175" s="22" t="s">
        <v>42</v>
      </c>
      <c r="F1175" s="7">
        <v>81.17</v>
      </c>
      <c r="G1175" s="17" t="s">
        <v>12</v>
      </c>
      <c r="H1175" s="8" t="s">
        <v>12</v>
      </c>
    </row>
    <row r="1176">
      <c r="A1176" s="10">
        <v>44821.0</v>
      </c>
      <c r="B1176" s="8" t="s">
        <v>44</v>
      </c>
      <c r="C1176" s="21" t="s">
        <v>23</v>
      </c>
      <c r="D1176" s="6" t="s">
        <v>10</v>
      </c>
      <c r="E1176" s="22" t="s">
        <v>35</v>
      </c>
      <c r="F1176" s="7">
        <v>73.05</v>
      </c>
      <c r="G1176" s="17" t="s">
        <v>12</v>
      </c>
      <c r="H1176" s="8" t="s">
        <v>12</v>
      </c>
    </row>
    <row r="1177">
      <c r="A1177" s="10">
        <v>44821.0</v>
      </c>
      <c r="B1177" s="8" t="s">
        <v>44</v>
      </c>
      <c r="C1177" s="21" t="s">
        <v>23</v>
      </c>
      <c r="D1177" s="6" t="s">
        <v>14</v>
      </c>
      <c r="E1177" s="22" t="s">
        <v>19</v>
      </c>
      <c r="F1177" s="7">
        <v>44.24</v>
      </c>
      <c r="G1177" s="17" t="s">
        <v>12</v>
      </c>
      <c r="H1177" s="8" t="s">
        <v>12</v>
      </c>
    </row>
    <row r="1178">
      <c r="A1178" s="10">
        <v>44821.0</v>
      </c>
      <c r="B1178" s="8" t="s">
        <v>44</v>
      </c>
      <c r="C1178" s="21" t="s">
        <v>23</v>
      </c>
      <c r="D1178" s="6" t="s">
        <v>14</v>
      </c>
      <c r="E1178" s="22" t="s">
        <v>35</v>
      </c>
      <c r="F1178" s="7">
        <v>25.81</v>
      </c>
      <c r="G1178" s="17" t="s">
        <v>12</v>
      </c>
      <c r="H1178" s="8" t="s">
        <v>12</v>
      </c>
    </row>
    <row r="1179">
      <c r="A1179" s="10">
        <v>44821.0</v>
      </c>
      <c r="B1179" s="8" t="s">
        <v>44</v>
      </c>
      <c r="C1179" s="21" t="s">
        <v>23</v>
      </c>
      <c r="D1179" s="6" t="s">
        <v>14</v>
      </c>
      <c r="E1179" s="22" t="s">
        <v>42</v>
      </c>
      <c r="F1179" s="7">
        <v>66.36</v>
      </c>
      <c r="G1179" s="17" t="s">
        <v>12</v>
      </c>
      <c r="H1179" s="8" t="s">
        <v>12</v>
      </c>
    </row>
    <row r="1180">
      <c r="A1180" s="10">
        <v>44822.0</v>
      </c>
      <c r="B1180" s="8" t="s">
        <v>44</v>
      </c>
      <c r="C1180" s="21" t="s">
        <v>9</v>
      </c>
      <c r="D1180" s="6" t="s">
        <v>10</v>
      </c>
      <c r="E1180" s="22" t="s">
        <v>19</v>
      </c>
      <c r="F1180" s="7">
        <v>77.68</v>
      </c>
      <c r="G1180" s="17" t="s">
        <v>12</v>
      </c>
      <c r="H1180" s="8" t="s">
        <v>12</v>
      </c>
    </row>
    <row r="1181">
      <c r="A1181" s="10">
        <v>44822.0</v>
      </c>
      <c r="B1181" s="8" t="s">
        <v>44</v>
      </c>
      <c r="C1181" s="21" t="s">
        <v>9</v>
      </c>
      <c r="D1181" s="6" t="s">
        <v>10</v>
      </c>
      <c r="E1181" s="22" t="s">
        <v>45</v>
      </c>
      <c r="F1181" s="7">
        <v>11.95</v>
      </c>
      <c r="G1181" s="17" t="s">
        <v>12</v>
      </c>
      <c r="H1181" s="8" t="s">
        <v>12</v>
      </c>
    </row>
    <row r="1182">
      <c r="A1182" s="10">
        <v>44822.0</v>
      </c>
      <c r="B1182" s="8" t="s">
        <v>44</v>
      </c>
      <c r="C1182" s="21" t="s">
        <v>9</v>
      </c>
      <c r="D1182" s="6" t="s">
        <v>10</v>
      </c>
      <c r="E1182" s="22" t="s">
        <v>42</v>
      </c>
      <c r="F1182" s="7">
        <v>59.75</v>
      </c>
      <c r="G1182" s="17" t="s">
        <v>12</v>
      </c>
      <c r="H1182" s="8" t="s">
        <v>12</v>
      </c>
    </row>
    <row r="1183">
      <c r="A1183" s="10">
        <v>44822.0</v>
      </c>
      <c r="B1183" s="8" t="s">
        <v>44</v>
      </c>
      <c r="C1183" s="21" t="s">
        <v>9</v>
      </c>
      <c r="D1183" s="6" t="s">
        <v>14</v>
      </c>
      <c r="E1183" s="22" t="s">
        <v>19</v>
      </c>
      <c r="F1183" s="7">
        <v>59.04</v>
      </c>
      <c r="G1183" s="17" t="s">
        <v>12</v>
      </c>
      <c r="H1183" s="8" t="s">
        <v>12</v>
      </c>
    </row>
    <row r="1184">
      <c r="A1184" s="10">
        <v>44822.0</v>
      </c>
      <c r="B1184" s="8" t="s">
        <v>44</v>
      </c>
      <c r="C1184" s="21" t="s">
        <v>9</v>
      </c>
      <c r="D1184" s="6" t="s">
        <v>14</v>
      </c>
      <c r="E1184" s="22" t="s">
        <v>42</v>
      </c>
      <c r="F1184" s="7">
        <v>48.15</v>
      </c>
      <c r="G1184" s="17" t="s">
        <v>12</v>
      </c>
      <c r="H1184" s="8" t="s">
        <v>12</v>
      </c>
    </row>
    <row r="1185">
      <c r="A1185" s="10">
        <v>44822.0</v>
      </c>
      <c r="B1185" s="8" t="s">
        <v>44</v>
      </c>
      <c r="C1185" s="21" t="s">
        <v>9</v>
      </c>
      <c r="D1185" s="6" t="s">
        <v>14</v>
      </c>
      <c r="E1185" s="22" t="s">
        <v>35</v>
      </c>
      <c r="F1185" s="7">
        <v>59.04</v>
      </c>
      <c r="G1185" s="17" t="s">
        <v>12</v>
      </c>
      <c r="H1185" s="8" t="s">
        <v>12</v>
      </c>
    </row>
    <row r="1186">
      <c r="A1186" s="10">
        <v>44823.0</v>
      </c>
      <c r="B1186" s="8" t="s">
        <v>44</v>
      </c>
      <c r="C1186" s="21" t="s">
        <v>16</v>
      </c>
      <c r="D1186" s="6" t="s">
        <v>10</v>
      </c>
      <c r="E1186" s="22" t="s">
        <v>34</v>
      </c>
      <c r="F1186" s="7">
        <v>151.16</v>
      </c>
      <c r="G1186" s="17" t="s">
        <v>12</v>
      </c>
      <c r="H1186" s="8" t="s">
        <v>12</v>
      </c>
    </row>
    <row r="1187">
      <c r="A1187" s="10">
        <v>44823.0</v>
      </c>
      <c r="B1187" s="8" t="s">
        <v>44</v>
      </c>
      <c r="C1187" s="21" t="s">
        <v>16</v>
      </c>
      <c r="D1187" s="6" t="s">
        <v>14</v>
      </c>
      <c r="E1187" s="22" t="s">
        <v>34</v>
      </c>
      <c r="F1187" s="7">
        <v>99.25</v>
      </c>
      <c r="G1187" s="17" t="s">
        <v>12</v>
      </c>
      <c r="H1187" s="8" t="s">
        <v>12</v>
      </c>
    </row>
    <row r="1188">
      <c r="A1188" s="10">
        <v>44823.0</v>
      </c>
      <c r="B1188" s="8" t="s">
        <v>44</v>
      </c>
      <c r="C1188" s="21" t="s">
        <v>16</v>
      </c>
      <c r="D1188" s="6" t="s">
        <v>14</v>
      </c>
      <c r="E1188" s="22" t="s">
        <v>19</v>
      </c>
      <c r="F1188" s="7">
        <v>99.25</v>
      </c>
      <c r="G1188" s="17" t="s">
        <v>12</v>
      </c>
      <c r="H1188" s="8" t="s">
        <v>12</v>
      </c>
    </row>
    <row r="1189">
      <c r="A1189" s="10">
        <v>44824.0</v>
      </c>
      <c r="B1189" s="8" t="s">
        <v>44</v>
      </c>
      <c r="C1189" s="21" t="s">
        <v>18</v>
      </c>
      <c r="D1189" s="6" t="s">
        <v>10</v>
      </c>
      <c r="E1189" s="22" t="s">
        <v>34</v>
      </c>
      <c r="F1189" s="7">
        <v>99.05</v>
      </c>
      <c r="G1189" s="17" t="s">
        <v>12</v>
      </c>
      <c r="H1189" s="8" t="s">
        <v>12</v>
      </c>
    </row>
    <row r="1190">
      <c r="A1190" s="10">
        <v>44824.0</v>
      </c>
      <c r="B1190" s="8" t="s">
        <v>44</v>
      </c>
      <c r="C1190" s="21" t="s">
        <v>18</v>
      </c>
      <c r="D1190" s="6" t="s">
        <v>14</v>
      </c>
      <c r="E1190" s="22" t="s">
        <v>34</v>
      </c>
      <c r="F1190" s="7">
        <v>64.57</v>
      </c>
      <c r="G1190" s="17" t="s">
        <v>12</v>
      </c>
      <c r="H1190" s="8" t="s">
        <v>12</v>
      </c>
    </row>
    <row r="1191">
      <c r="A1191" s="10">
        <v>44824.0</v>
      </c>
      <c r="B1191" s="8" t="s">
        <v>44</v>
      </c>
      <c r="C1191" s="21" t="s">
        <v>18</v>
      </c>
      <c r="D1191" s="6" t="s">
        <v>14</v>
      </c>
      <c r="E1191" s="22" t="s">
        <v>42</v>
      </c>
      <c r="F1191" s="7">
        <v>64.57</v>
      </c>
      <c r="G1191" s="17" t="s">
        <v>12</v>
      </c>
      <c r="H1191" s="8" t="s">
        <v>12</v>
      </c>
    </row>
    <row r="1192">
      <c r="A1192" s="10">
        <v>44824.0</v>
      </c>
      <c r="B1192" s="8" t="s">
        <v>44</v>
      </c>
      <c r="C1192" s="21" t="s">
        <v>18</v>
      </c>
      <c r="D1192" s="6" t="s">
        <v>14</v>
      </c>
      <c r="E1192" s="22" t="s">
        <v>45</v>
      </c>
      <c r="F1192" s="7">
        <v>64.57</v>
      </c>
      <c r="G1192" s="17" t="s">
        <v>12</v>
      </c>
      <c r="H1192" s="8" t="s">
        <v>12</v>
      </c>
    </row>
    <row r="1193">
      <c r="A1193" s="10">
        <v>44825.0</v>
      </c>
      <c r="B1193" s="8" t="s">
        <v>44</v>
      </c>
      <c r="C1193" s="21" t="s">
        <v>20</v>
      </c>
      <c r="D1193" s="6" t="s">
        <v>10</v>
      </c>
      <c r="E1193" s="22" t="s">
        <v>19</v>
      </c>
      <c r="F1193" s="7">
        <v>53.14</v>
      </c>
      <c r="G1193" s="17" t="s">
        <v>12</v>
      </c>
      <c r="H1193" s="8" t="s">
        <v>12</v>
      </c>
    </row>
    <row r="1194">
      <c r="A1194" s="10">
        <v>44825.0</v>
      </c>
      <c r="B1194" s="8" t="s">
        <v>44</v>
      </c>
      <c r="C1194" s="21" t="s">
        <v>20</v>
      </c>
      <c r="D1194" s="6" t="s">
        <v>14</v>
      </c>
      <c r="E1194" s="22" t="s">
        <v>19</v>
      </c>
      <c r="F1194" s="7">
        <v>96.25</v>
      </c>
      <c r="G1194" s="17" t="s">
        <v>12</v>
      </c>
      <c r="H1194" s="8" t="s">
        <v>12</v>
      </c>
    </row>
    <row r="1195">
      <c r="A1195" s="10">
        <v>44825.0</v>
      </c>
      <c r="B1195" s="8" t="s">
        <v>44</v>
      </c>
      <c r="C1195" s="21" t="s">
        <v>20</v>
      </c>
      <c r="D1195" s="6" t="s">
        <v>14</v>
      </c>
      <c r="E1195" s="22" t="s">
        <v>45</v>
      </c>
      <c r="F1195" s="7">
        <v>96.25</v>
      </c>
      <c r="G1195" s="17" t="s">
        <v>12</v>
      </c>
      <c r="H1195" s="8" t="s">
        <v>12</v>
      </c>
    </row>
    <row r="1196">
      <c r="A1196" s="10">
        <v>44826.0</v>
      </c>
      <c r="B1196" s="8" t="s">
        <v>44</v>
      </c>
      <c r="C1196" s="21" t="s">
        <v>21</v>
      </c>
      <c r="D1196" s="6" t="s">
        <v>10</v>
      </c>
      <c r="E1196" s="22" t="s">
        <v>31</v>
      </c>
      <c r="F1196" s="7">
        <v>89.53</v>
      </c>
      <c r="G1196" s="17" t="s">
        <v>12</v>
      </c>
      <c r="H1196" s="8" t="s">
        <v>12</v>
      </c>
    </row>
    <row r="1197">
      <c r="A1197" s="10">
        <v>44826.0</v>
      </c>
      <c r="B1197" s="8" t="s">
        <v>44</v>
      </c>
      <c r="C1197" s="21" t="s">
        <v>21</v>
      </c>
      <c r="D1197" s="6" t="s">
        <v>14</v>
      </c>
      <c r="E1197" s="22" t="s">
        <v>19</v>
      </c>
      <c r="F1197" s="7">
        <v>47.11</v>
      </c>
      <c r="G1197" s="17" t="s">
        <v>12</v>
      </c>
      <c r="H1197" s="8" t="s">
        <v>12</v>
      </c>
    </row>
    <row r="1198">
      <c r="A1198" s="10">
        <v>44826.0</v>
      </c>
      <c r="B1198" s="8" t="s">
        <v>44</v>
      </c>
      <c r="C1198" s="21" t="s">
        <v>21</v>
      </c>
      <c r="D1198" s="6" t="s">
        <v>14</v>
      </c>
      <c r="E1198" s="22" t="s">
        <v>42</v>
      </c>
      <c r="F1198" s="7">
        <v>36.64</v>
      </c>
      <c r="G1198" s="17" t="s">
        <v>12</v>
      </c>
      <c r="H1198" s="8" t="s">
        <v>12</v>
      </c>
    </row>
    <row r="1199">
      <c r="A1199" s="10">
        <v>44826.0</v>
      </c>
      <c r="B1199" s="8" t="s">
        <v>44</v>
      </c>
      <c r="C1199" s="21" t="s">
        <v>21</v>
      </c>
      <c r="D1199" s="6" t="s">
        <v>14</v>
      </c>
      <c r="E1199" s="22" t="s">
        <v>45</v>
      </c>
      <c r="F1199" s="7">
        <v>47.11</v>
      </c>
      <c r="G1199" s="17" t="s">
        <v>12</v>
      </c>
      <c r="H1199" s="8" t="s">
        <v>12</v>
      </c>
    </row>
    <row r="1200">
      <c r="A1200" s="10">
        <v>44827.0</v>
      </c>
      <c r="B1200" s="8" t="s">
        <v>44</v>
      </c>
      <c r="C1200" s="21" t="s">
        <v>22</v>
      </c>
      <c r="D1200" s="6" t="s">
        <v>10</v>
      </c>
      <c r="E1200" s="22" t="s">
        <v>31</v>
      </c>
      <c r="F1200" s="7">
        <v>53.64</v>
      </c>
      <c r="G1200" s="17" t="s">
        <v>12</v>
      </c>
      <c r="H1200" s="8" t="s">
        <v>12</v>
      </c>
    </row>
    <row r="1201">
      <c r="A1201" s="10">
        <v>44827.0</v>
      </c>
      <c r="B1201" s="8" t="s">
        <v>44</v>
      </c>
      <c r="C1201" s="21" t="s">
        <v>22</v>
      </c>
      <c r="D1201" s="6" t="s">
        <v>10</v>
      </c>
      <c r="E1201" s="22" t="s">
        <v>42</v>
      </c>
      <c r="F1201" s="7">
        <v>53.64</v>
      </c>
      <c r="G1201" s="17" t="s">
        <v>12</v>
      </c>
      <c r="H1201" s="8" t="s">
        <v>12</v>
      </c>
    </row>
    <row r="1202">
      <c r="A1202" s="10">
        <v>44827.0</v>
      </c>
      <c r="B1202" s="8" t="s">
        <v>44</v>
      </c>
      <c r="C1202" s="21" t="s">
        <v>22</v>
      </c>
      <c r="D1202" s="6" t="s">
        <v>14</v>
      </c>
      <c r="E1202" s="22" t="s">
        <v>31</v>
      </c>
      <c r="F1202" s="7">
        <v>88.17</v>
      </c>
      <c r="G1202" s="17" t="s">
        <v>12</v>
      </c>
      <c r="H1202" s="8" t="s">
        <v>12</v>
      </c>
    </row>
    <row r="1203">
      <c r="A1203" s="10">
        <v>44827.0</v>
      </c>
      <c r="B1203" s="8" t="s">
        <v>44</v>
      </c>
      <c r="C1203" s="21" t="s">
        <v>22</v>
      </c>
      <c r="D1203" s="6" t="s">
        <v>14</v>
      </c>
      <c r="E1203" s="22" t="s">
        <v>42</v>
      </c>
      <c r="F1203" s="7">
        <v>78.37</v>
      </c>
      <c r="G1203" s="17" t="s">
        <v>12</v>
      </c>
      <c r="H1203" s="8" t="s">
        <v>12</v>
      </c>
    </row>
    <row r="1204">
      <c r="A1204" s="10">
        <v>44827.0</v>
      </c>
      <c r="B1204" s="8" t="s">
        <v>44</v>
      </c>
      <c r="C1204" s="21" t="s">
        <v>22</v>
      </c>
      <c r="D1204" s="6" t="s">
        <v>14</v>
      </c>
      <c r="E1204" s="22" t="s">
        <v>19</v>
      </c>
      <c r="F1204" s="7">
        <v>88.17</v>
      </c>
      <c r="G1204" s="17" t="s">
        <v>12</v>
      </c>
      <c r="H1204" s="8" t="s">
        <v>12</v>
      </c>
    </row>
    <row r="1205">
      <c r="A1205" s="10">
        <v>44828.0</v>
      </c>
      <c r="B1205" s="8" t="s">
        <v>44</v>
      </c>
      <c r="C1205" s="21" t="s">
        <v>23</v>
      </c>
      <c r="D1205" s="6" t="s">
        <v>10</v>
      </c>
      <c r="E1205" s="22" t="s">
        <v>31</v>
      </c>
      <c r="F1205" s="7">
        <v>145.09</v>
      </c>
      <c r="G1205" s="17" t="s">
        <v>12</v>
      </c>
      <c r="H1205" s="8" t="s">
        <v>12</v>
      </c>
    </row>
    <row r="1206">
      <c r="A1206" s="10">
        <v>44828.0</v>
      </c>
      <c r="B1206" s="8" t="s">
        <v>44</v>
      </c>
      <c r="C1206" s="21" t="s">
        <v>23</v>
      </c>
      <c r="D1206" s="6" t="s">
        <v>10</v>
      </c>
      <c r="E1206" s="22" t="s">
        <v>42</v>
      </c>
      <c r="F1206" s="7">
        <v>103.64</v>
      </c>
      <c r="G1206" s="17" t="s">
        <v>12</v>
      </c>
      <c r="H1206" s="8" t="s">
        <v>12</v>
      </c>
    </row>
    <row r="1207">
      <c r="A1207" s="10">
        <v>44828.0</v>
      </c>
      <c r="B1207" s="8" t="s">
        <v>44</v>
      </c>
      <c r="C1207" s="21" t="s">
        <v>23</v>
      </c>
      <c r="D1207" s="6" t="s">
        <v>14</v>
      </c>
      <c r="E1207" s="22" t="s">
        <v>31</v>
      </c>
      <c r="F1207" s="7">
        <v>41.82</v>
      </c>
      <c r="G1207" s="17" t="s">
        <v>12</v>
      </c>
      <c r="H1207" s="8" t="s">
        <v>12</v>
      </c>
    </row>
    <row r="1208">
      <c r="A1208" s="10">
        <v>44828.0</v>
      </c>
      <c r="B1208" s="8" t="s">
        <v>44</v>
      </c>
      <c r="C1208" s="21" t="s">
        <v>23</v>
      </c>
      <c r="D1208" s="6" t="s">
        <v>14</v>
      </c>
      <c r="E1208" s="22" t="s">
        <v>42</v>
      </c>
      <c r="F1208" s="7">
        <v>57.9</v>
      </c>
      <c r="G1208" s="17" t="s">
        <v>12</v>
      </c>
      <c r="H1208" s="8" t="s">
        <v>12</v>
      </c>
    </row>
    <row r="1209">
      <c r="A1209" s="10">
        <v>44828.0</v>
      </c>
      <c r="B1209" s="8" t="s">
        <v>44</v>
      </c>
      <c r="C1209" s="21" t="s">
        <v>23</v>
      </c>
      <c r="D1209" s="6" t="s">
        <v>14</v>
      </c>
      <c r="E1209" s="22" t="s">
        <v>19</v>
      </c>
      <c r="F1209" s="7">
        <v>51.47</v>
      </c>
      <c r="G1209" s="17" t="s">
        <v>12</v>
      </c>
      <c r="H1209" s="8" t="s">
        <v>12</v>
      </c>
    </row>
    <row r="1210">
      <c r="A1210" s="10">
        <v>44829.0</v>
      </c>
      <c r="B1210" s="8" t="s">
        <v>44</v>
      </c>
      <c r="C1210" s="21" t="s">
        <v>9</v>
      </c>
      <c r="D1210" s="6" t="s">
        <v>10</v>
      </c>
      <c r="E1210" s="22" t="s">
        <v>31</v>
      </c>
      <c r="F1210" s="7">
        <v>98.15</v>
      </c>
      <c r="G1210" s="17" t="s">
        <v>12</v>
      </c>
      <c r="H1210" s="8" t="s">
        <v>12</v>
      </c>
    </row>
    <row r="1211">
      <c r="A1211" s="10">
        <v>44829.0</v>
      </c>
      <c r="B1211" s="8" t="s">
        <v>44</v>
      </c>
      <c r="C1211" s="21" t="s">
        <v>9</v>
      </c>
      <c r="D1211" s="6" t="s">
        <v>10</v>
      </c>
      <c r="E1211" s="22" t="s">
        <v>19</v>
      </c>
      <c r="F1211" s="7">
        <v>93.47</v>
      </c>
      <c r="G1211" s="17" t="s">
        <v>12</v>
      </c>
      <c r="H1211" s="8" t="s">
        <v>12</v>
      </c>
    </row>
    <row r="1212">
      <c r="A1212" s="10">
        <v>44829.0</v>
      </c>
      <c r="B1212" s="8" t="s">
        <v>44</v>
      </c>
      <c r="C1212" s="21" t="s">
        <v>9</v>
      </c>
      <c r="D1212" s="6" t="s">
        <v>10</v>
      </c>
      <c r="E1212" s="22" t="s">
        <v>45</v>
      </c>
      <c r="F1212" s="7">
        <v>93.47</v>
      </c>
      <c r="G1212" s="17" t="s">
        <v>12</v>
      </c>
      <c r="H1212" s="8" t="s">
        <v>12</v>
      </c>
    </row>
    <row r="1213">
      <c r="A1213" s="10">
        <v>44829.0</v>
      </c>
      <c r="B1213" s="8" t="s">
        <v>44</v>
      </c>
      <c r="C1213" s="21" t="s">
        <v>9</v>
      </c>
      <c r="D1213" s="6" t="s">
        <v>14</v>
      </c>
      <c r="E1213" s="22" t="s">
        <v>19</v>
      </c>
      <c r="F1213" s="7">
        <v>53.19</v>
      </c>
      <c r="G1213" s="17" t="s">
        <v>12</v>
      </c>
      <c r="H1213" s="8" t="s">
        <v>12</v>
      </c>
    </row>
    <row r="1214">
      <c r="A1214" s="10">
        <v>44829.0</v>
      </c>
      <c r="B1214" s="8" t="s">
        <v>44</v>
      </c>
      <c r="C1214" s="21" t="s">
        <v>9</v>
      </c>
      <c r="D1214" s="6" t="s">
        <v>14</v>
      </c>
      <c r="E1214" s="22" t="s">
        <v>42</v>
      </c>
      <c r="F1214" s="7">
        <v>53.19</v>
      </c>
      <c r="G1214" s="17" t="s">
        <v>12</v>
      </c>
      <c r="H1214" s="8" t="s">
        <v>12</v>
      </c>
    </row>
    <row r="1215">
      <c r="A1215" s="10">
        <v>44829.0</v>
      </c>
      <c r="B1215" s="8" t="s">
        <v>44</v>
      </c>
      <c r="C1215" s="21" t="s">
        <v>9</v>
      </c>
      <c r="D1215" s="6" t="s">
        <v>14</v>
      </c>
      <c r="E1215" s="22" t="s">
        <v>45</v>
      </c>
      <c r="F1215" s="7">
        <v>41.37</v>
      </c>
      <c r="G1215" s="17" t="s">
        <v>12</v>
      </c>
      <c r="H1215" s="8" t="s">
        <v>12</v>
      </c>
    </row>
    <row r="1216">
      <c r="A1216" s="10">
        <v>44830.0</v>
      </c>
      <c r="B1216" s="8" t="s">
        <v>44</v>
      </c>
      <c r="C1216" s="21" t="s">
        <v>16</v>
      </c>
      <c r="D1216" s="6" t="s">
        <v>10</v>
      </c>
      <c r="E1216" s="22" t="s">
        <v>34</v>
      </c>
      <c r="F1216" s="7">
        <v>88.94</v>
      </c>
      <c r="G1216" s="17" t="s">
        <v>12</v>
      </c>
      <c r="H1216" s="8" t="s">
        <v>12</v>
      </c>
    </row>
    <row r="1217">
      <c r="A1217" s="10">
        <v>44830.0</v>
      </c>
      <c r="B1217" s="8" t="s">
        <v>44</v>
      </c>
      <c r="C1217" s="21" t="s">
        <v>16</v>
      </c>
      <c r="D1217" s="6" t="s">
        <v>14</v>
      </c>
      <c r="E1217" s="22" t="s">
        <v>34</v>
      </c>
      <c r="F1217" s="7">
        <v>92.37</v>
      </c>
      <c r="G1217" s="17" t="s">
        <v>12</v>
      </c>
      <c r="H1217" s="8" t="s">
        <v>12</v>
      </c>
    </row>
    <row r="1218">
      <c r="A1218" s="10">
        <v>44830.0</v>
      </c>
      <c r="B1218" s="8" t="s">
        <v>44</v>
      </c>
      <c r="C1218" s="21" t="s">
        <v>16</v>
      </c>
      <c r="D1218" s="6" t="s">
        <v>14</v>
      </c>
      <c r="E1218" s="22" t="s">
        <v>42</v>
      </c>
      <c r="F1218" s="7">
        <v>92.37</v>
      </c>
      <c r="G1218" s="17" t="s">
        <v>12</v>
      </c>
      <c r="H1218" s="8" t="s">
        <v>12</v>
      </c>
    </row>
    <row r="1219">
      <c r="A1219" s="10">
        <v>44830.0</v>
      </c>
      <c r="B1219" s="8" t="s">
        <v>44</v>
      </c>
      <c r="C1219" s="21" t="s">
        <v>16</v>
      </c>
      <c r="D1219" s="6" t="s">
        <v>14</v>
      </c>
      <c r="E1219" s="22" t="s">
        <v>35</v>
      </c>
      <c r="F1219" s="7">
        <v>71.85</v>
      </c>
      <c r="G1219" s="17" t="s">
        <v>12</v>
      </c>
      <c r="H1219" s="8" t="s">
        <v>12</v>
      </c>
    </row>
    <row r="1220">
      <c r="A1220" s="10">
        <v>44831.0</v>
      </c>
      <c r="B1220" s="8" t="s">
        <v>44</v>
      </c>
      <c r="C1220" s="21" t="s">
        <v>18</v>
      </c>
      <c r="D1220" s="6" t="s">
        <v>10</v>
      </c>
      <c r="E1220" s="22" t="s">
        <v>34</v>
      </c>
      <c r="F1220" s="7">
        <v>62.72</v>
      </c>
      <c r="G1220" s="17" t="s">
        <v>12</v>
      </c>
      <c r="H1220" s="8" t="s">
        <v>12</v>
      </c>
    </row>
    <row r="1221">
      <c r="A1221" s="10">
        <v>44831.0</v>
      </c>
      <c r="B1221" s="8" t="s">
        <v>44</v>
      </c>
      <c r="C1221" s="21" t="s">
        <v>18</v>
      </c>
      <c r="D1221" s="6" t="s">
        <v>14</v>
      </c>
      <c r="E1221" s="22" t="s">
        <v>34</v>
      </c>
      <c r="F1221" s="7">
        <v>61.5</v>
      </c>
      <c r="G1221" s="17" t="s">
        <v>12</v>
      </c>
      <c r="H1221" s="8" t="s">
        <v>12</v>
      </c>
    </row>
    <row r="1222">
      <c r="A1222" s="10">
        <v>44831.0</v>
      </c>
      <c r="B1222" s="8" t="s">
        <v>44</v>
      </c>
      <c r="C1222" s="21" t="s">
        <v>18</v>
      </c>
      <c r="D1222" s="6" t="s">
        <v>14</v>
      </c>
      <c r="E1222" s="22" t="s">
        <v>45</v>
      </c>
      <c r="F1222" s="7">
        <v>61.5</v>
      </c>
      <c r="G1222" s="17" t="s">
        <v>12</v>
      </c>
      <c r="H1222" s="8" t="s">
        <v>12</v>
      </c>
    </row>
    <row r="1223">
      <c r="A1223" s="10">
        <v>44831.0</v>
      </c>
      <c r="B1223" s="8" t="s">
        <v>44</v>
      </c>
      <c r="C1223" s="21" t="s">
        <v>18</v>
      </c>
      <c r="D1223" s="6" t="s">
        <v>14</v>
      </c>
      <c r="E1223" s="22" t="s">
        <v>35</v>
      </c>
      <c r="F1223" s="7">
        <v>34.18</v>
      </c>
      <c r="G1223" s="17" t="s">
        <v>12</v>
      </c>
      <c r="H1223" s="8" t="s">
        <v>12</v>
      </c>
    </row>
    <row r="1224">
      <c r="A1224" s="10">
        <v>44832.0</v>
      </c>
      <c r="B1224" s="8" t="s">
        <v>44</v>
      </c>
      <c r="C1224" s="21" t="s">
        <v>20</v>
      </c>
      <c r="D1224" s="6" t="s">
        <v>10</v>
      </c>
      <c r="E1224" s="22" t="s">
        <v>42</v>
      </c>
      <c r="F1224" s="7">
        <v>89.53</v>
      </c>
      <c r="G1224" s="17" t="s">
        <v>12</v>
      </c>
      <c r="H1224" s="8" t="s">
        <v>12</v>
      </c>
    </row>
    <row r="1225">
      <c r="A1225" s="10">
        <v>44832.0</v>
      </c>
      <c r="B1225" s="8" t="s">
        <v>44</v>
      </c>
      <c r="C1225" s="21" t="s">
        <v>20</v>
      </c>
      <c r="D1225" s="6" t="s">
        <v>14</v>
      </c>
      <c r="E1225" s="22" t="s">
        <v>42</v>
      </c>
      <c r="F1225" s="7">
        <v>51.36</v>
      </c>
      <c r="G1225" s="17" t="s">
        <v>12</v>
      </c>
      <c r="H1225" s="8" t="s">
        <v>12</v>
      </c>
    </row>
    <row r="1226">
      <c r="A1226" s="10">
        <v>44832.0</v>
      </c>
      <c r="B1226" s="8" t="s">
        <v>44</v>
      </c>
      <c r="C1226" s="21" t="s">
        <v>20</v>
      </c>
      <c r="D1226" s="6" t="s">
        <v>14</v>
      </c>
      <c r="E1226" s="22" t="s">
        <v>19</v>
      </c>
      <c r="F1226" s="7">
        <v>61.63</v>
      </c>
      <c r="G1226" s="17" t="s">
        <v>12</v>
      </c>
      <c r="H1226" s="8" t="s">
        <v>12</v>
      </c>
    </row>
    <row r="1227">
      <c r="A1227" s="10">
        <v>44832.0</v>
      </c>
      <c r="B1227" s="8" t="s">
        <v>44</v>
      </c>
      <c r="C1227" s="21" t="s">
        <v>20</v>
      </c>
      <c r="D1227" s="6" t="s">
        <v>14</v>
      </c>
      <c r="E1227" s="22" t="s">
        <v>35</v>
      </c>
      <c r="F1227" s="7">
        <v>47.93</v>
      </c>
      <c r="G1227" s="17" t="s">
        <v>12</v>
      </c>
      <c r="H1227" s="8" t="s">
        <v>12</v>
      </c>
    </row>
    <row r="1228">
      <c r="A1228" s="10">
        <v>44833.0</v>
      </c>
      <c r="B1228" s="8" t="s">
        <v>44</v>
      </c>
      <c r="C1228" s="21" t="s">
        <v>21</v>
      </c>
      <c r="D1228" s="6" t="s">
        <v>10</v>
      </c>
      <c r="E1228" s="22" t="s">
        <v>31</v>
      </c>
      <c r="F1228" s="7">
        <v>58.76</v>
      </c>
      <c r="G1228" s="17" t="s">
        <v>12</v>
      </c>
      <c r="H1228" s="8" t="s">
        <v>12</v>
      </c>
    </row>
    <row r="1229">
      <c r="A1229" s="10">
        <v>44833.0</v>
      </c>
      <c r="B1229" s="8" t="s">
        <v>44</v>
      </c>
      <c r="C1229" s="21" t="s">
        <v>21</v>
      </c>
      <c r="D1229" s="6" t="s">
        <v>14</v>
      </c>
      <c r="E1229" s="22" t="s">
        <v>19</v>
      </c>
      <c r="F1229" s="7">
        <v>64.18</v>
      </c>
      <c r="G1229" s="17" t="s">
        <v>12</v>
      </c>
      <c r="H1229" s="8" t="s">
        <v>12</v>
      </c>
    </row>
    <row r="1230">
      <c r="A1230" s="10">
        <v>44833.0</v>
      </c>
      <c r="B1230" s="8" t="s">
        <v>44</v>
      </c>
      <c r="C1230" s="21" t="s">
        <v>21</v>
      </c>
      <c r="D1230" s="6" t="s">
        <v>14</v>
      </c>
      <c r="E1230" s="22" t="s">
        <v>45</v>
      </c>
      <c r="F1230" s="7">
        <v>54.62</v>
      </c>
      <c r="G1230" s="17" t="s">
        <v>12</v>
      </c>
      <c r="H1230" s="8" t="s">
        <v>12</v>
      </c>
    </row>
    <row r="1231">
      <c r="A1231" s="10">
        <v>44833.0</v>
      </c>
      <c r="B1231" s="8" t="s">
        <v>44</v>
      </c>
      <c r="C1231" s="21" t="s">
        <v>21</v>
      </c>
      <c r="D1231" s="6" t="s">
        <v>14</v>
      </c>
      <c r="E1231" s="22" t="s">
        <v>35</v>
      </c>
      <c r="F1231" s="7">
        <v>49.92</v>
      </c>
      <c r="G1231" s="17" t="s">
        <v>12</v>
      </c>
      <c r="H1231" s="8" t="s">
        <v>12</v>
      </c>
    </row>
    <row r="1232">
      <c r="A1232" s="10">
        <v>44834.0</v>
      </c>
      <c r="B1232" s="8" t="s">
        <v>44</v>
      </c>
      <c r="C1232" s="21" t="s">
        <v>22</v>
      </c>
      <c r="D1232" s="6" t="s">
        <v>10</v>
      </c>
      <c r="E1232" s="22" t="s">
        <v>31</v>
      </c>
      <c r="F1232" s="7">
        <v>79.38</v>
      </c>
      <c r="G1232" s="17" t="s">
        <v>12</v>
      </c>
      <c r="H1232" s="8" t="s">
        <v>12</v>
      </c>
    </row>
    <row r="1233">
      <c r="A1233" s="10">
        <v>44834.0</v>
      </c>
      <c r="B1233" s="8" t="s">
        <v>44</v>
      </c>
      <c r="C1233" s="21" t="s">
        <v>22</v>
      </c>
      <c r="D1233" s="6" t="s">
        <v>14</v>
      </c>
      <c r="E1233" s="22" t="s">
        <v>31</v>
      </c>
      <c r="F1233" s="7">
        <v>49.0</v>
      </c>
      <c r="G1233" s="17" t="s">
        <v>12</v>
      </c>
      <c r="H1233" s="8" t="s">
        <v>12</v>
      </c>
    </row>
    <row r="1234">
      <c r="A1234" s="10">
        <v>44834.0</v>
      </c>
      <c r="B1234" s="8" t="s">
        <v>44</v>
      </c>
      <c r="C1234" s="21" t="s">
        <v>22</v>
      </c>
      <c r="D1234" s="6" t="s">
        <v>14</v>
      </c>
      <c r="E1234" s="22" t="s">
        <v>19</v>
      </c>
      <c r="F1234" s="7">
        <v>55.14</v>
      </c>
      <c r="G1234" s="17" t="s">
        <v>12</v>
      </c>
      <c r="H1234" s="8" t="s">
        <v>12</v>
      </c>
    </row>
    <row r="1235">
      <c r="A1235" s="10">
        <v>44834.0</v>
      </c>
      <c r="B1235" s="8" t="s">
        <v>44</v>
      </c>
      <c r="C1235" s="21" t="s">
        <v>22</v>
      </c>
      <c r="D1235" s="6" t="s">
        <v>14</v>
      </c>
      <c r="E1235" s="22" t="s">
        <v>42</v>
      </c>
      <c r="F1235" s="7">
        <v>55.14</v>
      </c>
      <c r="G1235" s="17" t="s">
        <v>12</v>
      </c>
      <c r="H1235" s="8" t="s">
        <v>12</v>
      </c>
    </row>
    <row r="1236">
      <c r="A1236" s="10">
        <v>44835.0</v>
      </c>
      <c r="B1236" s="8" t="s">
        <v>46</v>
      </c>
      <c r="C1236" s="21" t="s">
        <v>23</v>
      </c>
      <c r="D1236" s="6" t="s">
        <v>10</v>
      </c>
      <c r="E1236" s="6" t="s">
        <v>31</v>
      </c>
      <c r="F1236" s="7">
        <v>127.05</v>
      </c>
      <c r="G1236" s="6" t="s">
        <v>12</v>
      </c>
      <c r="H1236" s="8" t="s">
        <v>12</v>
      </c>
    </row>
    <row r="1237">
      <c r="A1237" s="10">
        <v>44835.0</v>
      </c>
      <c r="B1237" s="8" t="s">
        <v>46</v>
      </c>
      <c r="C1237" s="21" t="s">
        <v>23</v>
      </c>
      <c r="D1237" s="6" t="s">
        <v>10</v>
      </c>
      <c r="E1237" s="6" t="s">
        <v>42</v>
      </c>
      <c r="F1237" s="7">
        <v>90.75</v>
      </c>
      <c r="G1237" s="6" t="s">
        <v>12</v>
      </c>
      <c r="H1237" s="8" t="s">
        <v>12</v>
      </c>
    </row>
    <row r="1238">
      <c r="A1238" s="10">
        <v>44835.0</v>
      </c>
      <c r="B1238" s="8" t="s">
        <v>46</v>
      </c>
      <c r="C1238" s="21" t="s">
        <v>23</v>
      </c>
      <c r="D1238" s="6" t="s">
        <v>10</v>
      </c>
      <c r="E1238" s="6" t="s">
        <v>35</v>
      </c>
      <c r="F1238" s="7">
        <v>54.45</v>
      </c>
      <c r="G1238" s="6" t="s">
        <v>12</v>
      </c>
      <c r="H1238" s="8" t="s">
        <v>12</v>
      </c>
    </row>
    <row r="1239">
      <c r="A1239" s="10">
        <v>44835.0</v>
      </c>
      <c r="B1239" s="8" t="s">
        <v>46</v>
      </c>
      <c r="C1239" s="21" t="s">
        <v>23</v>
      </c>
      <c r="D1239" s="6" t="s">
        <v>14</v>
      </c>
      <c r="E1239" s="6" t="s">
        <v>31</v>
      </c>
      <c r="F1239" s="7">
        <v>43.25</v>
      </c>
      <c r="G1239" s="6" t="s">
        <v>12</v>
      </c>
      <c r="H1239" s="8" t="s">
        <v>12</v>
      </c>
    </row>
    <row r="1240">
      <c r="A1240" s="10">
        <v>44835.0</v>
      </c>
      <c r="B1240" s="8" t="s">
        <v>46</v>
      </c>
      <c r="C1240" s="21" t="s">
        <v>23</v>
      </c>
      <c r="D1240" s="6" t="s">
        <v>14</v>
      </c>
      <c r="E1240" s="6" t="s">
        <v>42</v>
      </c>
      <c r="F1240" s="7">
        <v>48.66</v>
      </c>
      <c r="G1240" s="6" t="s">
        <v>12</v>
      </c>
      <c r="H1240" s="8" t="s">
        <v>12</v>
      </c>
    </row>
    <row r="1241">
      <c r="A1241" s="10">
        <v>44835.0</v>
      </c>
      <c r="B1241" s="8" t="s">
        <v>46</v>
      </c>
      <c r="C1241" s="21" t="s">
        <v>23</v>
      </c>
      <c r="D1241" s="6" t="s">
        <v>14</v>
      </c>
      <c r="E1241" s="6" t="s">
        <v>19</v>
      </c>
      <c r="F1241" s="7">
        <v>48.66</v>
      </c>
      <c r="G1241" s="6" t="s">
        <v>12</v>
      </c>
      <c r="H1241" s="8" t="s">
        <v>12</v>
      </c>
    </row>
    <row r="1242">
      <c r="A1242" s="10">
        <v>44835.0</v>
      </c>
      <c r="B1242" s="8" t="s">
        <v>46</v>
      </c>
      <c r="C1242" s="21" t="s">
        <v>23</v>
      </c>
      <c r="D1242" s="6" t="s">
        <v>14</v>
      </c>
      <c r="E1242" s="6" t="s">
        <v>47</v>
      </c>
      <c r="F1242" s="7">
        <v>0.0</v>
      </c>
      <c r="G1242" s="6" t="s">
        <v>26</v>
      </c>
      <c r="H1242" s="8" t="s">
        <v>12</v>
      </c>
    </row>
    <row r="1243">
      <c r="A1243" s="10">
        <v>44836.0</v>
      </c>
      <c r="B1243" s="8" t="s">
        <v>46</v>
      </c>
      <c r="C1243" s="21" t="s">
        <v>9</v>
      </c>
      <c r="D1243" s="6" t="s">
        <v>10</v>
      </c>
      <c r="E1243" s="6" t="s">
        <v>31</v>
      </c>
      <c r="F1243" s="7">
        <v>89.8</v>
      </c>
      <c r="G1243" s="6" t="s">
        <v>12</v>
      </c>
      <c r="H1243" s="8" t="s">
        <v>12</v>
      </c>
    </row>
    <row r="1244">
      <c r="A1244" s="10">
        <v>44836.0</v>
      </c>
      <c r="B1244" s="8" t="s">
        <v>46</v>
      </c>
      <c r="C1244" s="21" t="s">
        <v>9</v>
      </c>
      <c r="D1244" s="6" t="s">
        <v>10</v>
      </c>
      <c r="E1244" s="6" t="s">
        <v>19</v>
      </c>
      <c r="F1244" s="7">
        <v>89.8</v>
      </c>
      <c r="G1244" s="6" t="s">
        <v>12</v>
      </c>
      <c r="H1244" s="8" t="s">
        <v>12</v>
      </c>
    </row>
    <row r="1245">
      <c r="A1245" s="10">
        <v>44836.0</v>
      </c>
      <c r="B1245" s="8" t="s">
        <v>46</v>
      </c>
      <c r="C1245" s="21" t="s">
        <v>9</v>
      </c>
      <c r="D1245" s="6" t="s">
        <v>10</v>
      </c>
      <c r="E1245" s="6" t="s">
        <v>47</v>
      </c>
      <c r="F1245" s="7">
        <v>0.0</v>
      </c>
      <c r="G1245" s="6" t="s">
        <v>26</v>
      </c>
      <c r="H1245" s="8" t="s">
        <v>12</v>
      </c>
    </row>
    <row r="1246">
      <c r="A1246" s="10">
        <v>44836.0</v>
      </c>
      <c r="B1246" s="8" t="s">
        <v>46</v>
      </c>
      <c r="C1246" s="21" t="s">
        <v>9</v>
      </c>
      <c r="D1246" s="6" t="s">
        <v>14</v>
      </c>
      <c r="E1246" s="6" t="s">
        <v>31</v>
      </c>
      <c r="F1246" s="7">
        <v>72.72</v>
      </c>
      <c r="G1246" s="6" t="s">
        <v>12</v>
      </c>
      <c r="H1246" s="8" t="s">
        <v>12</v>
      </c>
    </row>
    <row r="1247">
      <c r="A1247" s="10">
        <v>44836.0</v>
      </c>
      <c r="B1247" s="8" t="s">
        <v>46</v>
      </c>
      <c r="C1247" s="21" t="s">
        <v>9</v>
      </c>
      <c r="D1247" s="6" t="s">
        <v>14</v>
      </c>
      <c r="E1247" s="6" t="s">
        <v>42</v>
      </c>
      <c r="F1247" s="7">
        <v>72.73</v>
      </c>
      <c r="G1247" s="6" t="s">
        <v>12</v>
      </c>
      <c r="H1247" s="8" t="s">
        <v>12</v>
      </c>
    </row>
    <row r="1248">
      <c r="A1248" s="10">
        <v>44836.0</v>
      </c>
      <c r="B1248" s="8" t="s">
        <v>46</v>
      </c>
      <c r="C1248" s="21" t="s">
        <v>9</v>
      </c>
      <c r="D1248" s="6" t="s">
        <v>14</v>
      </c>
      <c r="E1248" s="6" t="s">
        <v>45</v>
      </c>
      <c r="F1248" s="7">
        <v>72.73</v>
      </c>
      <c r="G1248" s="6" t="s">
        <v>12</v>
      </c>
      <c r="H1248" s="8" t="s">
        <v>12</v>
      </c>
    </row>
    <row r="1249">
      <c r="A1249" s="10">
        <v>44837.0</v>
      </c>
      <c r="B1249" s="8" t="s">
        <v>46</v>
      </c>
      <c r="C1249" s="21" t="s">
        <v>16</v>
      </c>
      <c r="D1249" s="6" t="s">
        <v>10</v>
      </c>
      <c r="E1249" s="6" t="s">
        <v>34</v>
      </c>
      <c r="F1249" s="7">
        <v>69.16</v>
      </c>
      <c r="G1249" s="6" t="s">
        <v>12</v>
      </c>
      <c r="H1249" s="8" t="s">
        <v>12</v>
      </c>
    </row>
    <row r="1250">
      <c r="A1250" s="10">
        <v>44837.0</v>
      </c>
      <c r="B1250" s="8" t="s">
        <v>46</v>
      </c>
      <c r="C1250" s="21" t="s">
        <v>16</v>
      </c>
      <c r="D1250" s="6" t="s">
        <v>14</v>
      </c>
      <c r="E1250" s="6" t="s">
        <v>34</v>
      </c>
      <c r="F1250" s="7">
        <v>96.05</v>
      </c>
      <c r="G1250" s="6" t="s">
        <v>12</v>
      </c>
      <c r="H1250" s="8" t="s">
        <v>12</v>
      </c>
    </row>
    <row r="1251">
      <c r="A1251" s="10">
        <v>44837.0</v>
      </c>
      <c r="B1251" s="8" t="s">
        <v>46</v>
      </c>
      <c r="C1251" s="21" t="s">
        <v>16</v>
      </c>
      <c r="D1251" s="6" t="s">
        <v>14</v>
      </c>
      <c r="E1251" s="6" t="s">
        <v>35</v>
      </c>
      <c r="F1251" s="7">
        <v>74.7</v>
      </c>
      <c r="G1251" s="6" t="s">
        <v>12</v>
      </c>
      <c r="H1251" s="8" t="s">
        <v>12</v>
      </c>
    </row>
    <row r="1252">
      <c r="A1252" s="10">
        <v>44838.0</v>
      </c>
      <c r="B1252" s="8" t="s">
        <v>46</v>
      </c>
      <c r="C1252" s="21" t="s">
        <v>18</v>
      </c>
      <c r="D1252" s="6" t="s">
        <v>10</v>
      </c>
      <c r="E1252" s="6" t="s">
        <v>34</v>
      </c>
      <c r="F1252" s="7">
        <v>98.13</v>
      </c>
      <c r="G1252" s="6" t="s">
        <v>12</v>
      </c>
      <c r="H1252" s="8" t="s">
        <v>12</v>
      </c>
    </row>
    <row r="1253">
      <c r="A1253" s="10">
        <v>44838.0</v>
      </c>
      <c r="B1253" s="8" t="s">
        <v>46</v>
      </c>
      <c r="C1253" s="21" t="s">
        <v>18</v>
      </c>
      <c r="D1253" s="6" t="s">
        <v>14</v>
      </c>
      <c r="E1253" s="6" t="s">
        <v>19</v>
      </c>
      <c r="F1253" s="7">
        <v>61.46</v>
      </c>
      <c r="G1253" s="6" t="s">
        <v>12</v>
      </c>
      <c r="H1253" s="8" t="s">
        <v>12</v>
      </c>
    </row>
    <row r="1254">
      <c r="A1254" s="10">
        <v>44838.0</v>
      </c>
      <c r="B1254" s="8" t="s">
        <v>46</v>
      </c>
      <c r="C1254" s="21" t="s">
        <v>18</v>
      </c>
      <c r="D1254" s="6" t="s">
        <v>14</v>
      </c>
      <c r="E1254" s="6" t="s">
        <v>45</v>
      </c>
      <c r="F1254" s="7">
        <v>54.63</v>
      </c>
      <c r="G1254" s="6" t="s">
        <v>12</v>
      </c>
      <c r="H1254" s="8" t="s">
        <v>12</v>
      </c>
    </row>
    <row r="1255">
      <c r="A1255" s="10">
        <v>44838.0</v>
      </c>
      <c r="B1255" s="8" t="s">
        <v>46</v>
      </c>
      <c r="C1255" s="21" t="s">
        <v>18</v>
      </c>
      <c r="D1255" s="6" t="s">
        <v>14</v>
      </c>
      <c r="E1255" s="6" t="s">
        <v>35</v>
      </c>
      <c r="F1255" s="7">
        <v>27.31</v>
      </c>
      <c r="G1255" s="6" t="s">
        <v>12</v>
      </c>
      <c r="H1255" s="8" t="s">
        <v>12</v>
      </c>
    </row>
    <row r="1256">
      <c r="A1256" s="10">
        <v>44839.0</v>
      </c>
      <c r="B1256" s="8" t="s">
        <v>46</v>
      </c>
      <c r="C1256" s="21" t="s">
        <v>20</v>
      </c>
      <c r="D1256" s="6" t="s">
        <v>10</v>
      </c>
      <c r="E1256" s="6" t="s">
        <v>34</v>
      </c>
      <c r="F1256" s="7">
        <v>80.06</v>
      </c>
      <c r="G1256" s="6" t="s">
        <v>12</v>
      </c>
      <c r="H1256" s="8" t="s">
        <v>12</v>
      </c>
    </row>
    <row r="1257">
      <c r="A1257" s="10">
        <v>44839.0</v>
      </c>
      <c r="B1257" s="8" t="s">
        <v>46</v>
      </c>
      <c r="C1257" s="21" t="s">
        <v>20</v>
      </c>
      <c r="D1257" s="6" t="s">
        <v>14</v>
      </c>
      <c r="E1257" s="6" t="s">
        <v>19</v>
      </c>
      <c r="F1257" s="7">
        <v>111.75</v>
      </c>
      <c r="G1257" s="6" t="s">
        <v>12</v>
      </c>
      <c r="H1257" s="8" t="s">
        <v>12</v>
      </c>
    </row>
    <row r="1258">
      <c r="A1258" s="10">
        <v>44839.0</v>
      </c>
      <c r="B1258" s="8" t="s">
        <v>46</v>
      </c>
      <c r="C1258" s="21" t="s">
        <v>20</v>
      </c>
      <c r="D1258" s="6" t="s">
        <v>14</v>
      </c>
      <c r="E1258" s="6" t="s">
        <v>48</v>
      </c>
      <c r="F1258" s="7">
        <v>0.0</v>
      </c>
      <c r="G1258" s="6" t="s">
        <v>26</v>
      </c>
      <c r="H1258" s="8" t="s">
        <v>12</v>
      </c>
    </row>
    <row r="1259">
      <c r="A1259" s="10">
        <v>44839.0</v>
      </c>
      <c r="B1259" s="8" t="s">
        <v>46</v>
      </c>
      <c r="C1259" s="21" t="s">
        <v>20</v>
      </c>
      <c r="D1259" s="6" t="s">
        <v>14</v>
      </c>
      <c r="E1259" s="6" t="s">
        <v>35</v>
      </c>
      <c r="F1259" s="7">
        <v>86.92</v>
      </c>
      <c r="G1259" s="6" t="s">
        <v>12</v>
      </c>
      <c r="H1259" s="8" t="s">
        <v>12</v>
      </c>
    </row>
    <row r="1260">
      <c r="A1260" s="10">
        <v>44840.0</v>
      </c>
      <c r="B1260" s="8" t="s">
        <v>46</v>
      </c>
      <c r="C1260" s="21" t="s">
        <v>21</v>
      </c>
      <c r="D1260" s="6" t="s">
        <v>10</v>
      </c>
      <c r="E1260" s="6" t="s">
        <v>31</v>
      </c>
      <c r="F1260" s="7">
        <v>50.95</v>
      </c>
      <c r="G1260" s="6" t="s">
        <v>12</v>
      </c>
      <c r="H1260" s="8" t="s">
        <v>12</v>
      </c>
    </row>
    <row r="1261">
      <c r="A1261" s="10">
        <v>44840.0</v>
      </c>
      <c r="B1261" s="8" t="s">
        <v>46</v>
      </c>
      <c r="C1261" s="21" t="s">
        <v>21</v>
      </c>
      <c r="D1261" s="6" t="s">
        <v>14</v>
      </c>
      <c r="E1261" s="6" t="s">
        <v>19</v>
      </c>
      <c r="F1261" s="7">
        <v>46.77</v>
      </c>
      <c r="G1261" s="6" t="s">
        <v>12</v>
      </c>
      <c r="H1261" s="8" t="s">
        <v>12</v>
      </c>
    </row>
    <row r="1262">
      <c r="A1262" s="10">
        <v>44840.0</v>
      </c>
      <c r="B1262" s="8" t="s">
        <v>46</v>
      </c>
      <c r="C1262" s="21" t="s">
        <v>21</v>
      </c>
      <c r="D1262" s="6" t="s">
        <v>14</v>
      </c>
      <c r="E1262" s="6" t="s">
        <v>42</v>
      </c>
      <c r="F1262" s="7">
        <v>41.58</v>
      </c>
      <c r="G1262" s="6" t="s">
        <v>12</v>
      </c>
      <c r="H1262" s="8" t="s">
        <v>12</v>
      </c>
    </row>
    <row r="1263">
      <c r="A1263" s="10">
        <v>44840.0</v>
      </c>
      <c r="B1263" s="8" t="s">
        <v>46</v>
      </c>
      <c r="C1263" s="21" t="s">
        <v>21</v>
      </c>
      <c r="D1263" s="6" t="s">
        <v>14</v>
      </c>
      <c r="E1263" s="6" t="s">
        <v>45</v>
      </c>
      <c r="F1263" s="7">
        <v>41.57</v>
      </c>
      <c r="G1263" s="6" t="s">
        <v>12</v>
      </c>
      <c r="H1263" s="8" t="s">
        <v>12</v>
      </c>
    </row>
    <row r="1264">
      <c r="A1264" s="10">
        <v>44841.0</v>
      </c>
      <c r="B1264" s="8" t="s">
        <v>46</v>
      </c>
      <c r="C1264" s="21" t="s">
        <v>22</v>
      </c>
      <c r="D1264" s="6" t="s">
        <v>10</v>
      </c>
      <c r="E1264" s="6" t="s">
        <v>31</v>
      </c>
      <c r="F1264" s="7">
        <v>93.45</v>
      </c>
      <c r="G1264" s="6" t="s">
        <v>12</v>
      </c>
      <c r="H1264" s="8" t="s">
        <v>12</v>
      </c>
    </row>
    <row r="1265">
      <c r="A1265" s="10">
        <v>44841.0</v>
      </c>
      <c r="B1265" s="8" t="s">
        <v>46</v>
      </c>
      <c r="C1265" s="21" t="s">
        <v>22</v>
      </c>
      <c r="D1265" s="6" t="s">
        <v>10</v>
      </c>
      <c r="E1265" s="6" t="s">
        <v>42</v>
      </c>
      <c r="F1265" s="7">
        <v>74.76</v>
      </c>
      <c r="G1265" s="6" t="s">
        <v>12</v>
      </c>
      <c r="H1265" s="8" t="s">
        <v>12</v>
      </c>
    </row>
    <row r="1266">
      <c r="A1266" s="10">
        <v>44841.0</v>
      </c>
      <c r="B1266" s="8" t="s">
        <v>46</v>
      </c>
      <c r="C1266" s="21" t="s">
        <v>22</v>
      </c>
      <c r="D1266" s="6" t="s">
        <v>14</v>
      </c>
      <c r="E1266" s="6" t="s">
        <v>31</v>
      </c>
      <c r="F1266" s="7">
        <v>53.06</v>
      </c>
      <c r="G1266" s="6" t="s">
        <v>12</v>
      </c>
      <c r="H1266" s="8" t="s">
        <v>12</v>
      </c>
    </row>
    <row r="1267">
      <c r="A1267" s="10">
        <v>44841.0</v>
      </c>
      <c r="B1267" s="8" t="s">
        <v>46</v>
      </c>
      <c r="C1267" s="21" t="s">
        <v>22</v>
      </c>
      <c r="D1267" s="6" t="s">
        <v>14</v>
      </c>
      <c r="E1267" s="6" t="s">
        <v>19</v>
      </c>
      <c r="F1267" s="7">
        <v>68.21</v>
      </c>
      <c r="G1267" s="6" t="s">
        <v>12</v>
      </c>
      <c r="H1267" s="8" t="s">
        <v>12</v>
      </c>
    </row>
    <row r="1268">
      <c r="A1268" s="10">
        <v>44841.0</v>
      </c>
      <c r="B1268" s="8" t="s">
        <v>46</v>
      </c>
      <c r="C1268" s="21" t="s">
        <v>22</v>
      </c>
      <c r="D1268" s="6" t="s">
        <v>14</v>
      </c>
      <c r="E1268" s="6" t="s">
        <v>48</v>
      </c>
      <c r="F1268" s="7">
        <v>0.0</v>
      </c>
      <c r="G1268" s="6" t="s">
        <v>26</v>
      </c>
      <c r="H1268" s="8" t="s">
        <v>12</v>
      </c>
    </row>
    <row r="1269">
      <c r="A1269" s="10">
        <v>44842.0</v>
      </c>
      <c r="B1269" s="8" t="s">
        <v>46</v>
      </c>
      <c r="C1269" s="21" t="s">
        <v>23</v>
      </c>
      <c r="D1269" s="6" t="s">
        <v>10</v>
      </c>
      <c r="E1269" s="6" t="s">
        <v>31</v>
      </c>
      <c r="F1269" s="7">
        <v>65.4</v>
      </c>
      <c r="G1269" s="6" t="s">
        <v>12</v>
      </c>
      <c r="H1269" s="8" t="s">
        <v>12</v>
      </c>
    </row>
    <row r="1270">
      <c r="A1270" s="10">
        <v>44842.0</v>
      </c>
      <c r="B1270" s="8" t="s">
        <v>46</v>
      </c>
      <c r="C1270" s="21" t="s">
        <v>23</v>
      </c>
      <c r="D1270" s="6" t="s">
        <v>10</v>
      </c>
      <c r="E1270" s="6" t="s">
        <v>42</v>
      </c>
      <c r="F1270" s="7">
        <v>51.78</v>
      </c>
      <c r="G1270" s="6" t="s">
        <v>12</v>
      </c>
      <c r="H1270" s="8" t="s">
        <v>12</v>
      </c>
    </row>
    <row r="1271">
      <c r="A1271" s="10">
        <v>44842.0</v>
      </c>
      <c r="B1271" s="8" t="s">
        <v>46</v>
      </c>
      <c r="C1271" s="21" t="s">
        <v>23</v>
      </c>
      <c r="D1271" s="6" t="s">
        <v>10</v>
      </c>
      <c r="E1271" s="6" t="s">
        <v>35</v>
      </c>
      <c r="F1271" s="7">
        <v>27.25</v>
      </c>
      <c r="G1271" s="6" t="s">
        <v>12</v>
      </c>
      <c r="H1271" s="8" t="s">
        <v>12</v>
      </c>
    </row>
    <row r="1272">
      <c r="A1272" s="10">
        <v>44842.0</v>
      </c>
      <c r="B1272" s="8" t="s">
        <v>46</v>
      </c>
      <c r="C1272" s="21" t="s">
        <v>23</v>
      </c>
      <c r="D1272" s="6" t="s">
        <v>14</v>
      </c>
      <c r="E1272" s="6" t="s">
        <v>31</v>
      </c>
      <c r="F1272" s="7">
        <v>12.57</v>
      </c>
      <c r="G1272" s="6" t="s">
        <v>12</v>
      </c>
      <c r="H1272" s="8" t="s">
        <v>12</v>
      </c>
    </row>
    <row r="1273">
      <c r="A1273" s="10">
        <v>44842.0</v>
      </c>
      <c r="B1273" s="8" t="s">
        <v>46</v>
      </c>
      <c r="C1273" s="21" t="s">
        <v>23</v>
      </c>
      <c r="D1273" s="6" t="s">
        <v>14</v>
      </c>
      <c r="E1273" s="6" t="s">
        <v>42</v>
      </c>
      <c r="F1273" s="7">
        <v>113.13</v>
      </c>
      <c r="G1273" s="6" t="s">
        <v>12</v>
      </c>
      <c r="H1273" s="8" t="s">
        <v>12</v>
      </c>
    </row>
    <row r="1274">
      <c r="A1274" s="10">
        <v>44842.0</v>
      </c>
      <c r="B1274" s="8" t="s">
        <v>46</v>
      </c>
      <c r="C1274" s="21" t="s">
        <v>23</v>
      </c>
      <c r="D1274" s="6" t="s">
        <v>14</v>
      </c>
      <c r="E1274" s="6" t="s">
        <v>19</v>
      </c>
      <c r="F1274" s="7">
        <v>100.56</v>
      </c>
      <c r="G1274" s="6" t="s">
        <v>12</v>
      </c>
      <c r="H1274" s="8" t="s">
        <v>12</v>
      </c>
    </row>
    <row r="1275">
      <c r="A1275" s="10">
        <v>44842.0</v>
      </c>
      <c r="B1275" s="8" t="s">
        <v>46</v>
      </c>
      <c r="C1275" s="21" t="s">
        <v>23</v>
      </c>
      <c r="D1275" s="6" t="s">
        <v>14</v>
      </c>
      <c r="E1275" s="6" t="s">
        <v>47</v>
      </c>
      <c r="F1275" s="7">
        <v>0.0</v>
      </c>
      <c r="G1275" s="6" t="s">
        <v>26</v>
      </c>
      <c r="H1275" s="8" t="s">
        <v>12</v>
      </c>
    </row>
    <row r="1276">
      <c r="A1276" s="10">
        <v>44843.0</v>
      </c>
      <c r="B1276" s="8" t="s">
        <v>46</v>
      </c>
      <c r="C1276" s="21" t="s">
        <v>9</v>
      </c>
      <c r="D1276" s="6" t="s">
        <v>10</v>
      </c>
      <c r="E1276" s="6" t="s">
        <v>31</v>
      </c>
      <c r="F1276" s="7">
        <v>166.1</v>
      </c>
      <c r="G1276" s="6" t="s">
        <v>12</v>
      </c>
      <c r="H1276" s="8" t="s">
        <v>12</v>
      </c>
    </row>
    <row r="1277">
      <c r="A1277" s="10">
        <v>44843.0</v>
      </c>
      <c r="B1277" s="8" t="s">
        <v>46</v>
      </c>
      <c r="C1277" s="21" t="s">
        <v>9</v>
      </c>
      <c r="D1277" s="6" t="s">
        <v>10</v>
      </c>
      <c r="E1277" s="6" t="s">
        <v>19</v>
      </c>
      <c r="F1277" s="7">
        <v>94.91</v>
      </c>
      <c r="G1277" s="6" t="s">
        <v>12</v>
      </c>
      <c r="H1277" s="8" t="s">
        <v>12</v>
      </c>
    </row>
    <row r="1278">
      <c r="A1278" s="10">
        <v>44843.0</v>
      </c>
      <c r="B1278" s="8" t="s">
        <v>46</v>
      </c>
      <c r="C1278" s="21" t="s">
        <v>9</v>
      </c>
      <c r="D1278" s="6" t="s">
        <v>10</v>
      </c>
      <c r="E1278" s="6" t="s">
        <v>48</v>
      </c>
      <c r="F1278" s="7">
        <v>0.0</v>
      </c>
      <c r="G1278" s="6" t="s">
        <v>26</v>
      </c>
      <c r="H1278" s="8" t="s">
        <v>12</v>
      </c>
    </row>
    <row r="1279">
      <c r="A1279" s="10">
        <v>44843.0</v>
      </c>
      <c r="B1279" s="8" t="s">
        <v>46</v>
      </c>
      <c r="C1279" s="21" t="s">
        <v>9</v>
      </c>
      <c r="D1279" s="6" t="s">
        <v>14</v>
      </c>
      <c r="E1279" s="6" t="s">
        <v>31</v>
      </c>
      <c r="F1279" s="7">
        <v>57.83</v>
      </c>
      <c r="G1279" s="6" t="s">
        <v>12</v>
      </c>
      <c r="H1279" s="8" t="s">
        <v>12</v>
      </c>
    </row>
    <row r="1280">
      <c r="A1280" s="10">
        <v>44843.0</v>
      </c>
      <c r="B1280" s="8" t="s">
        <v>46</v>
      </c>
      <c r="C1280" s="21" t="s">
        <v>9</v>
      </c>
      <c r="D1280" s="6" t="s">
        <v>14</v>
      </c>
      <c r="E1280" s="6" t="s">
        <v>42</v>
      </c>
      <c r="F1280" s="7">
        <v>57.84</v>
      </c>
      <c r="G1280" s="6" t="s">
        <v>12</v>
      </c>
      <c r="H1280" s="8" t="s">
        <v>12</v>
      </c>
    </row>
    <row r="1281">
      <c r="A1281" s="10">
        <v>44843.0</v>
      </c>
      <c r="B1281" s="8" t="s">
        <v>46</v>
      </c>
      <c r="C1281" s="21" t="s">
        <v>9</v>
      </c>
      <c r="D1281" s="6" t="s">
        <v>14</v>
      </c>
      <c r="E1281" s="6" t="s">
        <v>45</v>
      </c>
      <c r="F1281" s="7">
        <v>57.84</v>
      </c>
      <c r="G1281" s="6" t="s">
        <v>12</v>
      </c>
      <c r="H1281" s="8" t="s">
        <v>12</v>
      </c>
    </row>
    <row r="1282">
      <c r="A1282" s="10">
        <v>44844.0</v>
      </c>
      <c r="B1282" s="8" t="s">
        <v>46</v>
      </c>
      <c r="C1282" s="21" t="s">
        <v>16</v>
      </c>
      <c r="D1282" s="6" t="s">
        <v>10</v>
      </c>
      <c r="E1282" s="6" t="s">
        <v>34</v>
      </c>
      <c r="F1282" s="7">
        <v>86.34</v>
      </c>
      <c r="G1282" s="6" t="s">
        <v>12</v>
      </c>
      <c r="H1282" s="8" t="s">
        <v>12</v>
      </c>
    </row>
    <row r="1283">
      <c r="A1283" s="10">
        <v>44844.0</v>
      </c>
      <c r="B1283" s="8" t="s">
        <v>46</v>
      </c>
      <c r="C1283" s="21" t="s">
        <v>16</v>
      </c>
      <c r="D1283" s="6" t="s">
        <v>14</v>
      </c>
      <c r="E1283" s="6" t="s">
        <v>34</v>
      </c>
      <c r="F1283" s="7">
        <v>78.78</v>
      </c>
      <c r="G1283" s="6" t="s">
        <v>12</v>
      </c>
      <c r="H1283" s="8" t="s">
        <v>12</v>
      </c>
    </row>
    <row r="1284">
      <c r="A1284" s="10">
        <v>44844.0</v>
      </c>
      <c r="B1284" s="8" t="s">
        <v>46</v>
      </c>
      <c r="C1284" s="21" t="s">
        <v>16</v>
      </c>
      <c r="D1284" s="6" t="s">
        <v>14</v>
      </c>
      <c r="E1284" s="6" t="s">
        <v>35</v>
      </c>
      <c r="F1284" s="7">
        <v>43.75</v>
      </c>
      <c r="G1284" s="6" t="s">
        <v>12</v>
      </c>
      <c r="H1284" s="8" t="s">
        <v>12</v>
      </c>
    </row>
    <row r="1285">
      <c r="A1285" s="10">
        <v>44844.0</v>
      </c>
      <c r="B1285" s="8" t="s">
        <v>46</v>
      </c>
      <c r="C1285" s="21" t="s">
        <v>16</v>
      </c>
      <c r="D1285" s="6" t="s">
        <v>14</v>
      </c>
      <c r="E1285" s="6" t="s">
        <v>42</v>
      </c>
      <c r="F1285" s="7">
        <v>78.79</v>
      </c>
      <c r="G1285" s="6" t="s">
        <v>12</v>
      </c>
      <c r="H1285" s="8" t="s">
        <v>12</v>
      </c>
    </row>
    <row r="1286">
      <c r="A1286" s="10">
        <v>44845.0</v>
      </c>
      <c r="B1286" s="8" t="s">
        <v>46</v>
      </c>
      <c r="C1286" s="21" t="s">
        <v>18</v>
      </c>
      <c r="D1286" s="6" t="s">
        <v>10</v>
      </c>
      <c r="E1286" s="6" t="s">
        <v>34</v>
      </c>
      <c r="F1286" s="7">
        <v>72.21</v>
      </c>
      <c r="G1286" s="6" t="s">
        <v>12</v>
      </c>
      <c r="H1286" s="8" t="s">
        <v>12</v>
      </c>
    </row>
    <row r="1287">
      <c r="A1287" s="10">
        <v>44845.0</v>
      </c>
      <c r="B1287" s="8" t="s">
        <v>46</v>
      </c>
      <c r="C1287" s="21" t="s">
        <v>18</v>
      </c>
      <c r="D1287" s="6" t="s">
        <v>14</v>
      </c>
      <c r="E1287" s="6" t="s">
        <v>34</v>
      </c>
      <c r="F1287" s="7">
        <v>46.86</v>
      </c>
      <c r="G1287" s="6" t="s">
        <v>12</v>
      </c>
      <c r="H1287" s="8" t="s">
        <v>12</v>
      </c>
    </row>
    <row r="1288">
      <c r="A1288" s="10">
        <v>44845.0</v>
      </c>
      <c r="B1288" s="8" t="s">
        <v>46</v>
      </c>
      <c r="C1288" s="21" t="s">
        <v>18</v>
      </c>
      <c r="D1288" s="6" t="s">
        <v>14</v>
      </c>
      <c r="E1288" s="6" t="s">
        <v>45</v>
      </c>
      <c r="F1288" s="7">
        <v>46.81</v>
      </c>
      <c r="G1288" s="6" t="s">
        <v>12</v>
      </c>
      <c r="H1288" s="8" t="s">
        <v>12</v>
      </c>
    </row>
    <row r="1289">
      <c r="A1289" s="10">
        <v>44845.0</v>
      </c>
      <c r="B1289" s="8" t="s">
        <v>46</v>
      </c>
      <c r="C1289" s="21" t="s">
        <v>18</v>
      </c>
      <c r="D1289" s="6" t="s">
        <v>14</v>
      </c>
      <c r="E1289" s="6" t="s">
        <v>35</v>
      </c>
      <c r="F1289" s="7">
        <v>15.6</v>
      </c>
      <c r="G1289" s="6" t="s">
        <v>12</v>
      </c>
      <c r="H1289" s="8" t="s">
        <v>12</v>
      </c>
    </row>
    <row r="1290">
      <c r="A1290" s="10">
        <v>44846.0</v>
      </c>
      <c r="B1290" s="8" t="s">
        <v>46</v>
      </c>
      <c r="C1290" s="21" t="s">
        <v>20</v>
      </c>
      <c r="D1290" s="6" t="s">
        <v>10</v>
      </c>
      <c r="E1290" s="6" t="s">
        <v>42</v>
      </c>
      <c r="F1290" s="7">
        <v>99.79</v>
      </c>
      <c r="G1290" s="6" t="s">
        <v>12</v>
      </c>
      <c r="H1290" s="8" t="s">
        <v>12</v>
      </c>
    </row>
    <row r="1291">
      <c r="A1291" s="10">
        <v>44846.0</v>
      </c>
      <c r="B1291" s="8" t="s">
        <v>46</v>
      </c>
      <c r="C1291" s="21" t="s">
        <v>20</v>
      </c>
      <c r="D1291" s="6" t="s">
        <v>14</v>
      </c>
      <c r="E1291" s="6" t="s">
        <v>42</v>
      </c>
      <c r="F1291" s="7">
        <v>92.75</v>
      </c>
      <c r="G1291" s="6" t="s">
        <v>12</v>
      </c>
      <c r="H1291" s="8" t="s">
        <v>12</v>
      </c>
    </row>
    <row r="1292">
      <c r="A1292" s="10">
        <v>44846.0</v>
      </c>
      <c r="B1292" s="8" t="s">
        <v>46</v>
      </c>
      <c r="C1292" s="21" t="s">
        <v>20</v>
      </c>
      <c r="D1292" s="6" t="s">
        <v>14</v>
      </c>
      <c r="E1292" s="6" t="s">
        <v>19</v>
      </c>
      <c r="F1292" s="7">
        <v>92.75</v>
      </c>
      <c r="G1292" s="6" t="s">
        <v>12</v>
      </c>
      <c r="H1292" s="8" t="s">
        <v>12</v>
      </c>
    </row>
    <row r="1293">
      <c r="A1293" s="10">
        <v>44847.0</v>
      </c>
      <c r="B1293" s="8" t="s">
        <v>46</v>
      </c>
      <c r="C1293" s="21" t="s">
        <v>21</v>
      </c>
      <c r="D1293" s="6" t="s">
        <v>10</v>
      </c>
      <c r="E1293" s="6" t="s">
        <v>19</v>
      </c>
      <c r="F1293" s="7">
        <v>73.98</v>
      </c>
      <c r="G1293" s="6" t="s">
        <v>12</v>
      </c>
      <c r="H1293" s="8" t="s">
        <v>12</v>
      </c>
    </row>
    <row r="1294">
      <c r="A1294" s="10">
        <v>44847.0</v>
      </c>
      <c r="B1294" s="8" t="s">
        <v>46</v>
      </c>
      <c r="C1294" s="21" t="s">
        <v>21</v>
      </c>
      <c r="D1294" s="6" t="s">
        <v>14</v>
      </c>
      <c r="E1294" s="6" t="s">
        <v>19</v>
      </c>
      <c r="F1294" s="7">
        <v>54.38</v>
      </c>
      <c r="G1294" s="6" t="s">
        <v>12</v>
      </c>
      <c r="H1294" s="8" t="s">
        <v>12</v>
      </c>
    </row>
    <row r="1295">
      <c r="A1295" s="10">
        <v>44847.0</v>
      </c>
      <c r="B1295" s="8" t="s">
        <v>46</v>
      </c>
      <c r="C1295" s="21" t="s">
        <v>21</v>
      </c>
      <c r="D1295" s="6" t="s">
        <v>14</v>
      </c>
      <c r="E1295" s="6" t="s">
        <v>48</v>
      </c>
      <c r="F1295" s="7">
        <v>33.23</v>
      </c>
      <c r="G1295" s="6" t="s">
        <v>12</v>
      </c>
      <c r="H1295" s="8" t="s">
        <v>12</v>
      </c>
    </row>
    <row r="1296">
      <c r="A1296" s="10">
        <v>44847.0</v>
      </c>
      <c r="B1296" s="8" t="s">
        <v>46</v>
      </c>
      <c r="C1296" s="21" t="s">
        <v>21</v>
      </c>
      <c r="D1296" s="6" t="s">
        <v>14</v>
      </c>
      <c r="E1296" s="6" t="s">
        <v>45</v>
      </c>
      <c r="F1296" s="7">
        <v>48.34</v>
      </c>
      <c r="G1296" s="6" t="s">
        <v>12</v>
      </c>
      <c r="H1296" s="8" t="s">
        <v>12</v>
      </c>
    </row>
    <row r="1297">
      <c r="A1297" s="10">
        <v>44848.0</v>
      </c>
      <c r="B1297" s="8" t="s">
        <v>46</v>
      </c>
      <c r="C1297" s="21" t="s">
        <v>22</v>
      </c>
      <c r="D1297" s="6" t="s">
        <v>10</v>
      </c>
      <c r="E1297" s="6" t="s">
        <v>31</v>
      </c>
      <c r="F1297" s="7">
        <v>46.67</v>
      </c>
      <c r="G1297" s="6" t="s">
        <v>12</v>
      </c>
      <c r="H1297" s="8" t="s">
        <v>12</v>
      </c>
    </row>
    <row r="1298">
      <c r="A1298" s="10">
        <v>44848.0</v>
      </c>
      <c r="B1298" s="8" t="s">
        <v>46</v>
      </c>
      <c r="C1298" s="21" t="s">
        <v>22</v>
      </c>
      <c r="D1298" s="6" t="s">
        <v>10</v>
      </c>
      <c r="E1298" s="6" t="s">
        <v>42</v>
      </c>
      <c r="F1298" s="7">
        <v>28.0</v>
      </c>
      <c r="G1298" s="6" t="s">
        <v>12</v>
      </c>
      <c r="H1298" s="8" t="s">
        <v>12</v>
      </c>
    </row>
    <row r="1299">
      <c r="A1299" s="10">
        <v>44848.0</v>
      </c>
      <c r="B1299" s="8" t="s">
        <v>46</v>
      </c>
      <c r="C1299" s="21" t="s">
        <v>22</v>
      </c>
      <c r="D1299" s="6" t="s">
        <v>14</v>
      </c>
      <c r="E1299" s="6" t="s">
        <v>31</v>
      </c>
      <c r="F1299" s="7">
        <v>33.23</v>
      </c>
      <c r="G1299" s="6" t="s">
        <v>12</v>
      </c>
      <c r="H1299" s="8" t="s">
        <v>12</v>
      </c>
    </row>
    <row r="1300">
      <c r="A1300" s="10">
        <v>44848.0</v>
      </c>
      <c r="B1300" s="8" t="s">
        <v>46</v>
      </c>
      <c r="C1300" s="21" t="s">
        <v>22</v>
      </c>
      <c r="D1300" s="6" t="s">
        <v>14</v>
      </c>
      <c r="E1300" s="6" t="s">
        <v>19</v>
      </c>
      <c r="F1300" s="7">
        <v>74.76</v>
      </c>
      <c r="G1300" s="6" t="s">
        <v>12</v>
      </c>
      <c r="H1300" s="8" t="s">
        <v>12</v>
      </c>
    </row>
    <row r="1301">
      <c r="A1301" s="10">
        <v>44848.0</v>
      </c>
      <c r="B1301" s="8" t="s">
        <v>46</v>
      </c>
      <c r="C1301" s="21" t="s">
        <v>22</v>
      </c>
      <c r="D1301" s="6" t="s">
        <v>14</v>
      </c>
      <c r="E1301" s="6" t="s">
        <v>48</v>
      </c>
      <c r="F1301" s="7">
        <v>74.76</v>
      </c>
      <c r="G1301" s="6" t="s">
        <v>12</v>
      </c>
      <c r="H1301" s="8" t="s">
        <v>12</v>
      </c>
    </row>
    <row r="1302">
      <c r="A1302" s="10">
        <v>44849.0</v>
      </c>
      <c r="B1302" s="8" t="s">
        <v>46</v>
      </c>
      <c r="C1302" s="21" t="s">
        <v>23</v>
      </c>
      <c r="D1302" s="6" t="s">
        <v>10</v>
      </c>
      <c r="E1302" s="6" t="s">
        <v>31</v>
      </c>
      <c r="F1302" s="7">
        <v>74.26</v>
      </c>
      <c r="G1302" s="6" t="s">
        <v>12</v>
      </c>
      <c r="H1302" s="8" t="s">
        <v>12</v>
      </c>
    </row>
    <row r="1303">
      <c r="A1303" s="10">
        <v>44849.0</v>
      </c>
      <c r="B1303" s="8" t="s">
        <v>46</v>
      </c>
      <c r="C1303" s="21" t="s">
        <v>23</v>
      </c>
      <c r="D1303" s="6" t="s">
        <v>10</v>
      </c>
      <c r="E1303" s="6" t="s">
        <v>42</v>
      </c>
      <c r="F1303" s="7">
        <v>53.05</v>
      </c>
      <c r="G1303" s="6" t="s">
        <v>12</v>
      </c>
      <c r="H1303" s="8" t="s">
        <v>12</v>
      </c>
    </row>
    <row r="1304">
      <c r="A1304" s="10">
        <v>44849.0</v>
      </c>
      <c r="B1304" s="8" t="s">
        <v>46</v>
      </c>
      <c r="C1304" s="21" t="s">
        <v>23</v>
      </c>
      <c r="D1304" s="6" t="s">
        <v>10</v>
      </c>
      <c r="E1304" s="6" t="s">
        <v>47</v>
      </c>
      <c r="F1304" s="7">
        <v>26.52</v>
      </c>
      <c r="G1304" s="6" t="s">
        <v>12</v>
      </c>
      <c r="H1304" s="8" t="s">
        <v>12</v>
      </c>
    </row>
    <row r="1305">
      <c r="A1305" s="10">
        <v>44849.0</v>
      </c>
      <c r="B1305" s="8" t="s">
        <v>46</v>
      </c>
      <c r="C1305" s="21" t="s">
        <v>23</v>
      </c>
      <c r="D1305" s="6" t="s">
        <v>14</v>
      </c>
      <c r="E1305" s="6" t="s">
        <v>31</v>
      </c>
      <c r="F1305" s="7">
        <v>35.75</v>
      </c>
      <c r="G1305" s="6" t="s">
        <v>12</v>
      </c>
      <c r="H1305" s="8" t="s">
        <v>12</v>
      </c>
    </row>
    <row r="1306">
      <c r="A1306" s="10">
        <v>44849.0</v>
      </c>
      <c r="B1306" s="8" t="s">
        <v>46</v>
      </c>
      <c r="C1306" s="21" t="s">
        <v>23</v>
      </c>
      <c r="D1306" s="6" t="s">
        <v>14</v>
      </c>
      <c r="E1306" s="6" t="s">
        <v>42</v>
      </c>
      <c r="F1306" s="7">
        <v>33.76</v>
      </c>
      <c r="G1306" s="6" t="s">
        <v>12</v>
      </c>
      <c r="H1306" s="8" t="s">
        <v>12</v>
      </c>
    </row>
    <row r="1307">
      <c r="A1307" s="10">
        <v>44849.0</v>
      </c>
      <c r="B1307" s="8" t="s">
        <v>46</v>
      </c>
      <c r="C1307" s="21" t="s">
        <v>23</v>
      </c>
      <c r="D1307" s="6" t="s">
        <v>14</v>
      </c>
      <c r="E1307" s="6" t="s">
        <v>19</v>
      </c>
      <c r="F1307" s="7">
        <v>19.86</v>
      </c>
      <c r="G1307" s="6" t="s">
        <v>12</v>
      </c>
      <c r="H1307" s="8" t="s">
        <v>12</v>
      </c>
    </row>
    <row r="1308">
      <c r="A1308" s="10">
        <v>44850.0</v>
      </c>
      <c r="B1308" s="8" t="s">
        <v>46</v>
      </c>
      <c r="C1308" s="21" t="s">
        <v>9</v>
      </c>
      <c r="D1308" s="6" t="s">
        <v>10</v>
      </c>
      <c r="E1308" s="6" t="s">
        <v>31</v>
      </c>
      <c r="F1308" s="7">
        <v>166.66</v>
      </c>
      <c r="G1308" s="6" t="s">
        <v>12</v>
      </c>
      <c r="H1308" s="8" t="s">
        <v>12</v>
      </c>
    </row>
    <row r="1309">
      <c r="A1309" s="10">
        <v>44850.0</v>
      </c>
      <c r="B1309" s="8" t="s">
        <v>46</v>
      </c>
      <c r="C1309" s="21" t="s">
        <v>9</v>
      </c>
      <c r="D1309" s="6" t="s">
        <v>10</v>
      </c>
      <c r="E1309" s="6" t="s">
        <v>48</v>
      </c>
      <c r="F1309" s="7">
        <v>77.37</v>
      </c>
      <c r="G1309" s="6" t="s">
        <v>12</v>
      </c>
      <c r="H1309" s="8" t="s">
        <v>12</v>
      </c>
    </row>
    <row r="1310">
      <c r="A1310" s="10">
        <v>44850.0</v>
      </c>
      <c r="B1310" s="8" t="s">
        <v>46</v>
      </c>
      <c r="C1310" s="21" t="s">
        <v>9</v>
      </c>
      <c r="D1310" s="6" t="s">
        <v>10</v>
      </c>
      <c r="E1310" s="6" t="s">
        <v>47</v>
      </c>
      <c r="F1310" s="7">
        <v>101.18</v>
      </c>
      <c r="G1310" s="6" t="s">
        <v>12</v>
      </c>
      <c r="H1310" s="8" t="s">
        <v>12</v>
      </c>
    </row>
    <row r="1311">
      <c r="A1311" s="10">
        <v>44850.0</v>
      </c>
      <c r="B1311" s="8" t="s">
        <v>46</v>
      </c>
      <c r="C1311" s="21" t="s">
        <v>9</v>
      </c>
      <c r="D1311" s="6" t="s">
        <v>14</v>
      </c>
      <c r="E1311" s="6" t="s">
        <v>31</v>
      </c>
      <c r="F1311" s="7">
        <v>101.58</v>
      </c>
      <c r="G1311" s="6" t="s">
        <v>12</v>
      </c>
      <c r="H1311" s="8" t="s">
        <v>12</v>
      </c>
    </row>
    <row r="1312">
      <c r="A1312" s="10">
        <v>44850.0</v>
      </c>
      <c r="B1312" s="8" t="s">
        <v>46</v>
      </c>
      <c r="C1312" s="21" t="s">
        <v>9</v>
      </c>
      <c r="D1312" s="6" t="s">
        <v>14</v>
      </c>
      <c r="E1312" s="6" t="s">
        <v>45</v>
      </c>
      <c r="F1312" s="7">
        <v>101.58</v>
      </c>
      <c r="G1312" s="6" t="s">
        <v>12</v>
      </c>
      <c r="H1312" s="8" t="s">
        <v>12</v>
      </c>
    </row>
    <row r="1313">
      <c r="A1313" s="10">
        <v>44851.0</v>
      </c>
      <c r="B1313" s="8" t="s">
        <v>46</v>
      </c>
      <c r="C1313" s="21" t="s">
        <v>16</v>
      </c>
      <c r="D1313" s="6" t="s">
        <v>10</v>
      </c>
      <c r="E1313" s="6" t="s">
        <v>34</v>
      </c>
      <c r="F1313" s="7">
        <v>139.77</v>
      </c>
      <c r="G1313" s="6" t="s">
        <v>12</v>
      </c>
      <c r="H1313" s="8" t="s">
        <v>12</v>
      </c>
    </row>
    <row r="1314">
      <c r="A1314" s="10">
        <v>44851.0</v>
      </c>
      <c r="B1314" s="8" t="s">
        <v>46</v>
      </c>
      <c r="C1314" s="21" t="s">
        <v>16</v>
      </c>
      <c r="D1314" s="6" t="s">
        <v>14</v>
      </c>
      <c r="E1314" s="6" t="s">
        <v>34</v>
      </c>
      <c r="F1314" s="7">
        <v>42.02</v>
      </c>
      <c r="G1314" s="6" t="s">
        <v>12</v>
      </c>
      <c r="H1314" s="8" t="s">
        <v>12</v>
      </c>
    </row>
    <row r="1315">
      <c r="A1315" s="10">
        <v>44851.0</v>
      </c>
      <c r="B1315" s="8" t="s">
        <v>46</v>
      </c>
      <c r="C1315" s="21" t="s">
        <v>16</v>
      </c>
      <c r="D1315" s="6" t="s">
        <v>14</v>
      </c>
      <c r="E1315" s="6" t="s">
        <v>19</v>
      </c>
      <c r="F1315" s="7">
        <v>63.03</v>
      </c>
      <c r="G1315" s="6" t="s">
        <v>12</v>
      </c>
      <c r="H1315" s="8" t="s">
        <v>12</v>
      </c>
    </row>
    <row r="1316">
      <c r="A1316" s="10">
        <v>44851.0</v>
      </c>
      <c r="B1316" s="8" t="s">
        <v>46</v>
      </c>
      <c r="C1316" s="21" t="s">
        <v>16</v>
      </c>
      <c r="D1316" s="6" t="s">
        <v>14</v>
      </c>
      <c r="E1316" s="6" t="s">
        <v>35</v>
      </c>
      <c r="F1316" s="7">
        <v>49.02</v>
      </c>
      <c r="G1316" s="6" t="s">
        <v>12</v>
      </c>
      <c r="H1316" s="8" t="s">
        <v>12</v>
      </c>
    </row>
    <row r="1317">
      <c r="A1317" s="10">
        <v>44852.0</v>
      </c>
      <c r="B1317" s="8" t="s">
        <v>46</v>
      </c>
      <c r="C1317" s="21" t="s">
        <v>18</v>
      </c>
      <c r="D1317" s="6" t="s">
        <v>10</v>
      </c>
      <c r="E1317" s="6" t="s">
        <v>34</v>
      </c>
      <c r="F1317" s="7">
        <v>62.75</v>
      </c>
      <c r="G1317" s="6" t="s">
        <v>12</v>
      </c>
      <c r="H1317" s="8" t="s">
        <v>12</v>
      </c>
    </row>
    <row r="1318">
      <c r="A1318" s="10">
        <v>44852.0</v>
      </c>
      <c r="B1318" s="8" t="s">
        <v>46</v>
      </c>
      <c r="C1318" s="21" t="s">
        <v>18</v>
      </c>
      <c r="D1318" s="6" t="s">
        <v>14</v>
      </c>
      <c r="E1318" s="6" t="s">
        <v>34</v>
      </c>
      <c r="F1318" s="7">
        <v>41.53</v>
      </c>
      <c r="G1318" s="6" t="s">
        <v>12</v>
      </c>
      <c r="H1318" s="8" t="s">
        <v>12</v>
      </c>
    </row>
    <row r="1319">
      <c r="A1319" s="10">
        <v>44852.0</v>
      </c>
      <c r="B1319" s="8" t="s">
        <v>46</v>
      </c>
      <c r="C1319" s="21" t="s">
        <v>18</v>
      </c>
      <c r="D1319" s="6" t="s">
        <v>14</v>
      </c>
      <c r="E1319" s="6" t="s">
        <v>35</v>
      </c>
      <c r="F1319" s="7">
        <v>41.54</v>
      </c>
      <c r="G1319" s="6" t="s">
        <v>12</v>
      </c>
      <c r="H1319" s="8" t="s">
        <v>12</v>
      </c>
    </row>
    <row r="1320">
      <c r="A1320" s="10">
        <v>44852.0</v>
      </c>
      <c r="B1320" s="8" t="s">
        <v>46</v>
      </c>
      <c r="C1320" s="21" t="s">
        <v>18</v>
      </c>
      <c r="D1320" s="6" t="s">
        <v>14</v>
      </c>
      <c r="E1320" s="6" t="s">
        <v>45</v>
      </c>
      <c r="F1320" s="7">
        <v>18.44</v>
      </c>
      <c r="G1320" s="6" t="s">
        <v>12</v>
      </c>
      <c r="H1320" s="8" t="s">
        <v>12</v>
      </c>
    </row>
    <row r="1321">
      <c r="A1321" s="10">
        <v>44853.0</v>
      </c>
      <c r="B1321" s="8" t="s">
        <v>46</v>
      </c>
      <c r="C1321" s="21" t="s">
        <v>20</v>
      </c>
      <c r="D1321" s="6" t="s">
        <v>10</v>
      </c>
      <c r="E1321" s="6" t="s">
        <v>19</v>
      </c>
      <c r="F1321" s="7">
        <v>78.98</v>
      </c>
      <c r="G1321" s="6" t="s">
        <v>12</v>
      </c>
      <c r="H1321" s="8" t="s">
        <v>12</v>
      </c>
    </row>
    <row r="1322">
      <c r="A1322" s="10">
        <v>44853.0</v>
      </c>
      <c r="B1322" s="8" t="s">
        <v>46</v>
      </c>
      <c r="C1322" s="21" t="s">
        <v>20</v>
      </c>
      <c r="D1322" s="6" t="s">
        <v>14</v>
      </c>
      <c r="E1322" s="6" t="s">
        <v>19</v>
      </c>
      <c r="F1322" s="7">
        <v>41.32</v>
      </c>
      <c r="G1322" s="6" t="s">
        <v>12</v>
      </c>
      <c r="H1322" s="8" t="s">
        <v>12</v>
      </c>
    </row>
    <row r="1323">
      <c r="A1323" s="10">
        <v>44853.0</v>
      </c>
      <c r="B1323" s="8" t="s">
        <v>46</v>
      </c>
      <c r="C1323" s="21" t="s">
        <v>20</v>
      </c>
      <c r="D1323" s="6" t="s">
        <v>14</v>
      </c>
      <c r="E1323" s="6" t="s">
        <v>45</v>
      </c>
      <c r="F1323" s="7">
        <v>27.55</v>
      </c>
      <c r="G1323" s="6" t="s">
        <v>12</v>
      </c>
      <c r="H1323" s="8" t="s">
        <v>12</v>
      </c>
    </row>
    <row r="1324">
      <c r="A1324" s="10">
        <v>44853.0</v>
      </c>
      <c r="B1324" s="8" t="s">
        <v>46</v>
      </c>
      <c r="C1324" s="21" t="s">
        <v>20</v>
      </c>
      <c r="D1324" s="6" t="s">
        <v>14</v>
      </c>
      <c r="E1324" s="6" t="s">
        <v>47</v>
      </c>
      <c r="F1324" s="7">
        <v>22.96</v>
      </c>
      <c r="G1324" s="6" t="s">
        <v>12</v>
      </c>
      <c r="H1324" s="8" t="s">
        <v>12</v>
      </c>
    </row>
    <row r="1325">
      <c r="A1325" s="10">
        <v>44854.0</v>
      </c>
      <c r="B1325" s="8" t="s">
        <v>46</v>
      </c>
      <c r="C1325" s="21" t="s">
        <v>21</v>
      </c>
      <c r="D1325" s="6" t="s">
        <v>10</v>
      </c>
      <c r="E1325" s="6" t="s">
        <v>31</v>
      </c>
      <c r="F1325" s="7">
        <v>66.37</v>
      </c>
      <c r="G1325" s="6" t="s">
        <v>12</v>
      </c>
      <c r="H1325" s="8" t="s">
        <v>12</v>
      </c>
    </row>
    <row r="1326">
      <c r="A1326" s="10">
        <v>44854.0</v>
      </c>
      <c r="B1326" s="8" t="s">
        <v>46</v>
      </c>
      <c r="C1326" s="21" t="s">
        <v>21</v>
      </c>
      <c r="D1326" s="6" t="s">
        <v>14</v>
      </c>
      <c r="E1326" s="6" t="s">
        <v>19</v>
      </c>
      <c r="F1326" s="7">
        <v>61.21</v>
      </c>
      <c r="G1326" s="6" t="s">
        <v>12</v>
      </c>
      <c r="H1326" s="8" t="s">
        <v>12</v>
      </c>
    </row>
    <row r="1327">
      <c r="A1327" s="10">
        <v>44854.0</v>
      </c>
      <c r="B1327" s="8" t="s">
        <v>46</v>
      </c>
      <c r="C1327" s="21" t="s">
        <v>21</v>
      </c>
      <c r="D1327" s="6" t="s">
        <v>14</v>
      </c>
      <c r="E1327" s="6" t="s">
        <v>45</v>
      </c>
      <c r="F1327" s="7">
        <v>47.61</v>
      </c>
      <c r="G1327" s="6" t="s">
        <v>12</v>
      </c>
      <c r="H1327" s="8" t="s">
        <v>12</v>
      </c>
    </row>
    <row r="1328">
      <c r="A1328" s="10">
        <v>44854.0</v>
      </c>
      <c r="B1328" s="8" t="s">
        <v>46</v>
      </c>
      <c r="C1328" s="21" t="s">
        <v>21</v>
      </c>
      <c r="D1328" s="6" t="s">
        <v>14</v>
      </c>
      <c r="E1328" s="6" t="s">
        <v>48</v>
      </c>
      <c r="F1328" s="7">
        <v>34.01</v>
      </c>
      <c r="G1328" s="6" t="s">
        <v>12</v>
      </c>
      <c r="H1328" s="8" t="s">
        <v>12</v>
      </c>
    </row>
    <row r="1329">
      <c r="A1329" s="10">
        <v>44855.0</v>
      </c>
      <c r="B1329" s="8" t="s">
        <v>46</v>
      </c>
      <c r="C1329" s="21" t="s">
        <v>22</v>
      </c>
      <c r="D1329" s="6" t="s">
        <v>10</v>
      </c>
      <c r="E1329" s="6" t="s">
        <v>31</v>
      </c>
      <c r="F1329" s="7">
        <v>129.95</v>
      </c>
      <c r="G1329" s="6" t="s">
        <v>12</v>
      </c>
      <c r="H1329" s="8" t="s">
        <v>12</v>
      </c>
    </row>
    <row r="1330">
      <c r="A1330" s="10">
        <v>44855.0</v>
      </c>
      <c r="B1330" s="8" t="s">
        <v>46</v>
      </c>
      <c r="C1330" s="21" t="s">
        <v>22</v>
      </c>
      <c r="D1330" s="6" t="s">
        <v>14</v>
      </c>
      <c r="E1330" s="6" t="s">
        <v>31</v>
      </c>
      <c r="F1330" s="7">
        <v>72.25</v>
      </c>
      <c r="G1330" s="6" t="s">
        <v>12</v>
      </c>
      <c r="H1330" s="8" t="s">
        <v>12</v>
      </c>
    </row>
    <row r="1331">
      <c r="A1331" s="10">
        <v>44855.0</v>
      </c>
      <c r="B1331" s="8" t="s">
        <v>46</v>
      </c>
      <c r="C1331" s="21" t="s">
        <v>22</v>
      </c>
      <c r="D1331" s="6" t="s">
        <v>14</v>
      </c>
      <c r="E1331" s="6" t="s">
        <v>48</v>
      </c>
      <c r="F1331" s="7">
        <v>72.25</v>
      </c>
      <c r="G1331" s="6" t="s">
        <v>12</v>
      </c>
      <c r="H1331" s="8" t="s">
        <v>12</v>
      </c>
    </row>
    <row r="1332">
      <c r="A1332" s="10">
        <v>44855.0</v>
      </c>
      <c r="B1332" s="8" t="s">
        <v>46</v>
      </c>
      <c r="C1332" s="21" t="s">
        <v>22</v>
      </c>
      <c r="D1332" s="6" t="s">
        <v>14</v>
      </c>
      <c r="E1332" s="6" t="s">
        <v>42</v>
      </c>
      <c r="F1332" s="7">
        <v>72.25</v>
      </c>
      <c r="G1332" s="6" t="s">
        <v>12</v>
      </c>
      <c r="H1332" s="8" t="s">
        <v>12</v>
      </c>
    </row>
    <row r="1333">
      <c r="A1333" s="10">
        <v>44856.0</v>
      </c>
      <c r="B1333" s="8" t="s">
        <v>46</v>
      </c>
      <c r="C1333" s="21" t="s">
        <v>23</v>
      </c>
      <c r="D1333" s="6" t="s">
        <v>10</v>
      </c>
      <c r="E1333" s="6" t="s">
        <v>31</v>
      </c>
      <c r="F1333" s="7">
        <v>106.6</v>
      </c>
      <c r="G1333" s="6" t="s">
        <v>12</v>
      </c>
      <c r="H1333" s="8" t="s">
        <v>12</v>
      </c>
    </row>
    <row r="1334">
      <c r="A1334" s="10">
        <v>44856.0</v>
      </c>
      <c r="B1334" s="8" t="s">
        <v>46</v>
      </c>
      <c r="C1334" s="21" t="s">
        <v>23</v>
      </c>
      <c r="D1334" s="6" t="s">
        <v>10</v>
      </c>
      <c r="E1334" s="6" t="s">
        <v>35</v>
      </c>
      <c r="F1334" s="7">
        <v>76.14</v>
      </c>
      <c r="G1334" s="6" t="s">
        <v>12</v>
      </c>
      <c r="H1334" s="8" t="s">
        <v>12</v>
      </c>
    </row>
    <row r="1335">
      <c r="A1335" s="10">
        <v>44856.0</v>
      </c>
      <c r="B1335" s="8" t="s">
        <v>46</v>
      </c>
      <c r="C1335" s="21" t="s">
        <v>23</v>
      </c>
      <c r="D1335" s="6" t="s">
        <v>10</v>
      </c>
      <c r="E1335" s="6" t="s">
        <v>47</v>
      </c>
      <c r="F1335" s="7">
        <v>45.68</v>
      </c>
      <c r="G1335" s="6" t="s">
        <v>12</v>
      </c>
      <c r="H1335" s="8" t="s">
        <v>12</v>
      </c>
    </row>
    <row r="1336">
      <c r="A1336" s="10">
        <v>44856.0</v>
      </c>
      <c r="B1336" s="8" t="s">
        <v>46</v>
      </c>
      <c r="C1336" s="21" t="s">
        <v>23</v>
      </c>
      <c r="D1336" s="6" t="s">
        <v>14</v>
      </c>
      <c r="E1336" s="6" t="s">
        <v>19</v>
      </c>
      <c r="F1336" s="7">
        <v>65.0</v>
      </c>
      <c r="G1336" s="6" t="s">
        <v>12</v>
      </c>
      <c r="H1336" s="8" t="s">
        <v>12</v>
      </c>
    </row>
    <row r="1337">
      <c r="A1337" s="10">
        <v>44856.0</v>
      </c>
      <c r="B1337" s="8" t="s">
        <v>46</v>
      </c>
      <c r="C1337" s="21" t="s">
        <v>23</v>
      </c>
      <c r="D1337" s="6" t="s">
        <v>14</v>
      </c>
      <c r="E1337" s="6" t="s">
        <v>42</v>
      </c>
      <c r="F1337" s="7">
        <v>68.82</v>
      </c>
      <c r="G1337" s="6" t="s">
        <v>12</v>
      </c>
      <c r="H1337" s="8" t="s">
        <v>12</v>
      </c>
    </row>
    <row r="1338">
      <c r="A1338" s="10">
        <v>44856.0</v>
      </c>
      <c r="B1338" s="8" t="s">
        <v>46</v>
      </c>
      <c r="C1338" s="21" t="s">
        <v>23</v>
      </c>
      <c r="D1338" s="6" t="s">
        <v>14</v>
      </c>
      <c r="E1338" s="6" t="s">
        <v>48</v>
      </c>
      <c r="F1338" s="7">
        <v>68.82</v>
      </c>
      <c r="G1338" s="6" t="s">
        <v>12</v>
      </c>
      <c r="H1338" s="8" t="s">
        <v>12</v>
      </c>
    </row>
    <row r="1339">
      <c r="A1339" s="10">
        <v>44857.0</v>
      </c>
      <c r="B1339" s="8" t="s">
        <v>46</v>
      </c>
      <c r="C1339" s="21" t="s">
        <v>9</v>
      </c>
      <c r="D1339" s="6" t="s">
        <v>10</v>
      </c>
      <c r="E1339" s="6" t="s">
        <v>31</v>
      </c>
      <c r="F1339" s="7">
        <v>54.0</v>
      </c>
      <c r="G1339" s="6" t="s">
        <v>12</v>
      </c>
      <c r="H1339" s="8" t="s">
        <v>12</v>
      </c>
    </row>
    <row r="1340">
      <c r="A1340" s="10">
        <v>44857.0</v>
      </c>
      <c r="B1340" s="8" t="s">
        <v>46</v>
      </c>
      <c r="C1340" s="21" t="s">
        <v>9</v>
      </c>
      <c r="D1340" s="6" t="s">
        <v>10</v>
      </c>
      <c r="E1340" s="6" t="s">
        <v>35</v>
      </c>
      <c r="F1340" s="7">
        <v>27.0</v>
      </c>
      <c r="G1340" s="6" t="s">
        <v>12</v>
      </c>
      <c r="H1340" s="8" t="s">
        <v>12</v>
      </c>
    </row>
    <row r="1341">
      <c r="A1341" s="10">
        <v>44857.0</v>
      </c>
      <c r="B1341" s="8" t="s">
        <v>46</v>
      </c>
      <c r="C1341" s="21" t="s">
        <v>9</v>
      </c>
      <c r="D1341" s="6" t="s">
        <v>10</v>
      </c>
      <c r="E1341" s="6" t="s">
        <v>48</v>
      </c>
      <c r="F1341" s="7">
        <v>45.0</v>
      </c>
      <c r="G1341" s="6" t="s">
        <v>12</v>
      </c>
      <c r="H1341" s="8" t="s">
        <v>12</v>
      </c>
    </row>
    <row r="1342">
      <c r="A1342" s="10">
        <v>44857.0</v>
      </c>
      <c r="B1342" s="8" t="s">
        <v>46</v>
      </c>
      <c r="C1342" s="21" t="s">
        <v>9</v>
      </c>
      <c r="D1342" s="6" t="s">
        <v>14</v>
      </c>
      <c r="E1342" s="6" t="s">
        <v>19</v>
      </c>
      <c r="F1342" s="7">
        <v>70.45</v>
      </c>
      <c r="G1342" s="6" t="s">
        <v>12</v>
      </c>
      <c r="H1342" s="8" t="s">
        <v>12</v>
      </c>
    </row>
    <row r="1343">
      <c r="A1343" s="10">
        <v>44857.0</v>
      </c>
      <c r="B1343" s="8" t="s">
        <v>46</v>
      </c>
      <c r="C1343" s="21" t="s">
        <v>9</v>
      </c>
      <c r="D1343" s="6" t="s">
        <v>14</v>
      </c>
      <c r="E1343" s="6" t="s">
        <v>48</v>
      </c>
      <c r="F1343" s="7">
        <v>76.5</v>
      </c>
      <c r="G1343" s="6" t="s">
        <v>12</v>
      </c>
      <c r="H1343" s="8" t="s">
        <v>12</v>
      </c>
    </row>
    <row r="1344">
      <c r="A1344" s="10">
        <v>44857.0</v>
      </c>
      <c r="B1344" s="8" t="s">
        <v>46</v>
      </c>
      <c r="C1344" s="21" t="s">
        <v>9</v>
      </c>
      <c r="D1344" s="6" t="s">
        <v>14</v>
      </c>
      <c r="E1344" s="6" t="s">
        <v>47</v>
      </c>
      <c r="F1344" s="7">
        <v>76.5</v>
      </c>
      <c r="G1344" s="6" t="s">
        <v>12</v>
      </c>
      <c r="H1344" s="8" t="s">
        <v>12</v>
      </c>
    </row>
    <row r="1345">
      <c r="A1345" s="10">
        <v>44858.0</v>
      </c>
      <c r="B1345" s="8" t="s">
        <v>46</v>
      </c>
      <c r="C1345" s="21" t="s">
        <v>16</v>
      </c>
      <c r="D1345" s="6" t="s">
        <v>10</v>
      </c>
      <c r="E1345" s="6" t="s">
        <v>34</v>
      </c>
      <c r="F1345" s="7">
        <v>97.47</v>
      </c>
      <c r="G1345" s="6" t="s">
        <v>12</v>
      </c>
      <c r="H1345" s="8" t="s">
        <v>12</v>
      </c>
    </row>
    <row r="1346">
      <c r="A1346" s="10">
        <v>44858.0</v>
      </c>
      <c r="B1346" s="8" t="s">
        <v>46</v>
      </c>
      <c r="C1346" s="21" t="s">
        <v>16</v>
      </c>
      <c r="D1346" s="6" t="s">
        <v>14</v>
      </c>
      <c r="E1346" s="6" t="s">
        <v>34</v>
      </c>
      <c r="F1346" s="7">
        <v>46.53</v>
      </c>
      <c r="G1346" s="6" t="s">
        <v>12</v>
      </c>
      <c r="H1346" s="8" t="s">
        <v>12</v>
      </c>
    </row>
    <row r="1347">
      <c r="A1347" s="10">
        <v>44858.0</v>
      </c>
      <c r="B1347" s="8" t="s">
        <v>46</v>
      </c>
      <c r="C1347" s="21" t="s">
        <v>16</v>
      </c>
      <c r="D1347" s="6" t="s">
        <v>14</v>
      </c>
      <c r="E1347" s="6" t="s">
        <v>42</v>
      </c>
      <c r="F1347" s="7">
        <v>46.53</v>
      </c>
      <c r="G1347" s="6" t="s">
        <v>12</v>
      </c>
      <c r="H1347" s="8" t="s">
        <v>12</v>
      </c>
    </row>
    <row r="1348">
      <c r="A1348" s="10">
        <v>44858.0</v>
      </c>
      <c r="B1348" s="8" t="s">
        <v>46</v>
      </c>
      <c r="C1348" s="21" t="s">
        <v>16</v>
      </c>
      <c r="D1348" s="6" t="s">
        <v>14</v>
      </c>
      <c r="E1348" s="6" t="s">
        <v>35</v>
      </c>
      <c r="F1348" s="7">
        <v>20.68</v>
      </c>
      <c r="G1348" s="6" t="s">
        <v>12</v>
      </c>
      <c r="H1348" s="8" t="s">
        <v>12</v>
      </c>
    </row>
    <row r="1349">
      <c r="A1349" s="10">
        <v>44859.0</v>
      </c>
      <c r="B1349" s="8" t="s">
        <v>46</v>
      </c>
      <c r="C1349" s="21" t="s">
        <v>18</v>
      </c>
      <c r="D1349" s="6" t="s">
        <v>10</v>
      </c>
      <c r="E1349" s="6" t="s">
        <v>34</v>
      </c>
      <c r="F1349" s="7">
        <v>105.23</v>
      </c>
      <c r="G1349" s="6" t="s">
        <v>12</v>
      </c>
      <c r="H1349" s="8" t="s">
        <v>12</v>
      </c>
    </row>
    <row r="1350">
      <c r="A1350" s="10">
        <v>44859.0</v>
      </c>
      <c r="B1350" s="8" t="s">
        <v>46</v>
      </c>
      <c r="C1350" s="21" t="s">
        <v>18</v>
      </c>
      <c r="D1350" s="6" t="s">
        <v>14</v>
      </c>
      <c r="E1350" s="6" t="s">
        <v>34</v>
      </c>
      <c r="F1350" s="7">
        <v>78.57</v>
      </c>
      <c r="G1350" s="6" t="s">
        <v>12</v>
      </c>
      <c r="H1350" s="8" t="s">
        <v>12</v>
      </c>
    </row>
    <row r="1351">
      <c r="A1351" s="10">
        <v>44859.0</v>
      </c>
      <c r="B1351" s="8" t="s">
        <v>46</v>
      </c>
      <c r="C1351" s="21" t="s">
        <v>18</v>
      </c>
      <c r="D1351" s="6" t="s">
        <v>14</v>
      </c>
      <c r="E1351" s="6" t="s">
        <v>45</v>
      </c>
      <c r="F1351" s="7">
        <v>74.2</v>
      </c>
      <c r="G1351" s="6" t="s">
        <v>12</v>
      </c>
      <c r="H1351" s="8" t="s">
        <v>12</v>
      </c>
    </row>
    <row r="1352">
      <c r="A1352" s="10">
        <v>44859.0</v>
      </c>
      <c r="B1352" s="8" t="s">
        <v>46</v>
      </c>
      <c r="C1352" s="21" t="s">
        <v>18</v>
      </c>
      <c r="D1352" s="6" t="s">
        <v>14</v>
      </c>
      <c r="E1352" s="6" t="s">
        <v>35</v>
      </c>
      <c r="F1352" s="7">
        <v>61.11</v>
      </c>
      <c r="G1352" s="6" t="s">
        <v>12</v>
      </c>
      <c r="H1352" s="8" t="s">
        <v>12</v>
      </c>
    </row>
    <row r="1353">
      <c r="A1353" s="10">
        <v>44860.0</v>
      </c>
      <c r="B1353" s="8" t="s">
        <v>46</v>
      </c>
      <c r="C1353" s="21" t="s">
        <v>20</v>
      </c>
      <c r="D1353" s="6" t="s">
        <v>10</v>
      </c>
      <c r="E1353" s="6" t="s">
        <v>42</v>
      </c>
      <c r="F1353" s="7">
        <v>52.87</v>
      </c>
      <c r="G1353" s="6" t="s">
        <v>12</v>
      </c>
      <c r="H1353" s="8" t="s">
        <v>12</v>
      </c>
    </row>
    <row r="1354">
      <c r="A1354" s="10">
        <v>44860.0</v>
      </c>
      <c r="B1354" s="8" t="s">
        <v>46</v>
      </c>
      <c r="C1354" s="21" t="s">
        <v>20</v>
      </c>
      <c r="D1354" s="6" t="s">
        <v>14</v>
      </c>
      <c r="E1354" s="6" t="s">
        <v>42</v>
      </c>
      <c r="F1354" s="7">
        <v>56.59</v>
      </c>
      <c r="G1354" s="6" t="s">
        <v>12</v>
      </c>
      <c r="H1354" s="8" t="s">
        <v>12</v>
      </c>
    </row>
    <row r="1355">
      <c r="A1355" s="10">
        <v>44860.0</v>
      </c>
      <c r="B1355" s="8" t="s">
        <v>46</v>
      </c>
      <c r="C1355" s="21" t="s">
        <v>20</v>
      </c>
      <c r="D1355" s="6" t="s">
        <v>14</v>
      </c>
      <c r="E1355" s="6" t="s">
        <v>19</v>
      </c>
      <c r="F1355" s="7">
        <v>56.59</v>
      </c>
      <c r="G1355" s="6" t="s">
        <v>12</v>
      </c>
      <c r="H1355" s="8" t="s">
        <v>12</v>
      </c>
    </row>
    <row r="1356">
      <c r="A1356" s="10">
        <v>44860.0</v>
      </c>
      <c r="B1356" s="8" t="s">
        <v>46</v>
      </c>
      <c r="C1356" s="21" t="s">
        <v>20</v>
      </c>
      <c r="D1356" s="6" t="s">
        <v>14</v>
      </c>
      <c r="E1356" s="6" t="s">
        <v>47</v>
      </c>
      <c r="F1356" s="7">
        <v>44.01</v>
      </c>
      <c r="G1356" s="6" t="s">
        <v>12</v>
      </c>
      <c r="H1356" s="8" t="s">
        <v>12</v>
      </c>
    </row>
    <row r="1357">
      <c r="A1357" s="10">
        <v>44861.0</v>
      </c>
      <c r="B1357" s="8" t="s">
        <v>46</v>
      </c>
      <c r="C1357" s="21" t="s">
        <v>21</v>
      </c>
      <c r="D1357" s="6" t="s">
        <v>10</v>
      </c>
      <c r="E1357" s="6" t="s">
        <v>31</v>
      </c>
      <c r="F1357" s="7">
        <v>99.82</v>
      </c>
      <c r="G1357" s="6" t="s">
        <v>12</v>
      </c>
      <c r="H1357" s="8" t="s">
        <v>12</v>
      </c>
    </row>
    <row r="1358">
      <c r="A1358" s="10">
        <v>44861.0</v>
      </c>
      <c r="B1358" s="8" t="s">
        <v>46</v>
      </c>
      <c r="C1358" s="21" t="s">
        <v>21</v>
      </c>
      <c r="D1358" s="6" t="s">
        <v>14</v>
      </c>
      <c r="E1358" s="6" t="s">
        <v>48</v>
      </c>
      <c r="F1358" s="7">
        <v>49.94</v>
      </c>
      <c r="G1358" s="6" t="s">
        <v>12</v>
      </c>
      <c r="H1358" s="8" t="s">
        <v>12</v>
      </c>
    </row>
    <row r="1359">
      <c r="A1359" s="10">
        <v>44861.0</v>
      </c>
      <c r="B1359" s="8" t="s">
        <v>46</v>
      </c>
      <c r="C1359" s="21" t="s">
        <v>21</v>
      </c>
      <c r="D1359" s="6" t="s">
        <v>14</v>
      </c>
      <c r="E1359" s="6" t="s">
        <v>45</v>
      </c>
      <c r="F1359" s="7">
        <v>49.94</v>
      </c>
      <c r="G1359" s="6" t="s">
        <v>12</v>
      </c>
      <c r="H1359" s="8" t="s">
        <v>12</v>
      </c>
    </row>
    <row r="1360">
      <c r="A1360" s="10">
        <v>44861.0</v>
      </c>
      <c r="B1360" s="8" t="s">
        <v>46</v>
      </c>
      <c r="C1360" s="21" t="s">
        <v>21</v>
      </c>
      <c r="D1360" s="6" t="s">
        <v>14</v>
      </c>
      <c r="E1360" s="6" t="s">
        <v>35</v>
      </c>
      <c r="F1360" s="7">
        <v>33.33</v>
      </c>
      <c r="G1360" s="6" t="s">
        <v>12</v>
      </c>
      <c r="H1360" s="8" t="s">
        <v>12</v>
      </c>
    </row>
    <row r="1361">
      <c r="A1361" s="10">
        <v>44862.0</v>
      </c>
      <c r="B1361" s="8" t="s">
        <v>46</v>
      </c>
      <c r="C1361" s="21" t="s">
        <v>22</v>
      </c>
      <c r="D1361" s="6" t="s">
        <v>10</v>
      </c>
      <c r="E1361" s="6" t="s">
        <v>31</v>
      </c>
      <c r="F1361" s="7">
        <v>93.98</v>
      </c>
      <c r="G1361" s="6" t="s">
        <v>12</v>
      </c>
      <c r="H1361" s="8" t="s">
        <v>12</v>
      </c>
    </row>
    <row r="1362">
      <c r="A1362" s="10">
        <v>44862.0</v>
      </c>
      <c r="B1362" s="8" t="s">
        <v>46</v>
      </c>
      <c r="C1362" s="21" t="s">
        <v>22</v>
      </c>
      <c r="D1362" s="6" t="s">
        <v>14</v>
      </c>
      <c r="E1362" s="6" t="s">
        <v>31</v>
      </c>
      <c r="F1362" s="7">
        <v>53.45</v>
      </c>
      <c r="G1362" s="6" t="s">
        <v>12</v>
      </c>
      <c r="H1362" s="8" t="s">
        <v>12</v>
      </c>
    </row>
    <row r="1363">
      <c r="A1363" s="10">
        <v>44862.0</v>
      </c>
      <c r="B1363" s="8" t="s">
        <v>46</v>
      </c>
      <c r="C1363" s="21" t="s">
        <v>22</v>
      </c>
      <c r="D1363" s="6" t="s">
        <v>14</v>
      </c>
      <c r="E1363" s="6" t="s">
        <v>48</v>
      </c>
      <c r="F1363" s="7">
        <v>35.62</v>
      </c>
      <c r="G1363" s="6" t="s">
        <v>12</v>
      </c>
      <c r="H1363" s="8" t="s">
        <v>12</v>
      </c>
    </row>
    <row r="1364">
      <c r="A1364" s="10">
        <v>44862.0</v>
      </c>
      <c r="B1364" s="8" t="s">
        <v>46</v>
      </c>
      <c r="C1364" s="21" t="s">
        <v>22</v>
      </c>
      <c r="D1364" s="6" t="s">
        <v>14</v>
      </c>
      <c r="E1364" s="6" t="s">
        <v>42</v>
      </c>
      <c r="F1364" s="7">
        <v>41.56</v>
      </c>
      <c r="G1364" s="6" t="s">
        <v>12</v>
      </c>
      <c r="H1364" s="8" t="s">
        <v>12</v>
      </c>
    </row>
    <row r="1365">
      <c r="A1365" s="10">
        <v>44863.0</v>
      </c>
      <c r="B1365" s="8" t="s">
        <v>46</v>
      </c>
      <c r="C1365" s="21" t="s">
        <v>23</v>
      </c>
      <c r="D1365" s="6" t="s">
        <v>10</v>
      </c>
      <c r="E1365" s="6" t="s">
        <v>31</v>
      </c>
      <c r="F1365" s="7">
        <v>85.69</v>
      </c>
      <c r="G1365" s="6" t="s">
        <v>12</v>
      </c>
      <c r="H1365" s="8" t="s">
        <v>12</v>
      </c>
    </row>
    <row r="1366">
      <c r="A1366" s="10">
        <v>44863.0</v>
      </c>
      <c r="B1366" s="8" t="s">
        <v>46</v>
      </c>
      <c r="C1366" s="21" t="s">
        <v>23</v>
      </c>
      <c r="D1366" s="6" t="s">
        <v>10</v>
      </c>
      <c r="E1366" s="6" t="s">
        <v>47</v>
      </c>
      <c r="F1366" s="7">
        <v>48.96</v>
      </c>
      <c r="G1366" s="6" t="s">
        <v>12</v>
      </c>
      <c r="H1366" s="8" t="s">
        <v>12</v>
      </c>
    </row>
    <row r="1367">
      <c r="A1367" s="10">
        <v>44863.0</v>
      </c>
      <c r="B1367" s="8" t="s">
        <v>46</v>
      </c>
      <c r="C1367" s="21" t="s">
        <v>23</v>
      </c>
      <c r="D1367" s="6" t="s">
        <v>10</v>
      </c>
      <c r="E1367" s="6" t="s">
        <v>42</v>
      </c>
      <c r="F1367" s="7">
        <v>30.6</v>
      </c>
      <c r="G1367" s="6" t="s">
        <v>12</v>
      </c>
      <c r="H1367" s="8" t="s">
        <v>12</v>
      </c>
    </row>
    <row r="1368">
      <c r="A1368" s="10">
        <v>44863.0</v>
      </c>
      <c r="B1368" s="8" t="s">
        <v>46</v>
      </c>
      <c r="C1368" s="21" t="s">
        <v>23</v>
      </c>
      <c r="D1368" s="6" t="s">
        <v>14</v>
      </c>
      <c r="E1368" s="6" t="s">
        <v>31</v>
      </c>
      <c r="F1368" s="7">
        <v>80.41</v>
      </c>
      <c r="G1368" s="6" t="s">
        <v>12</v>
      </c>
      <c r="H1368" s="8" t="s">
        <v>12</v>
      </c>
    </row>
    <row r="1369">
      <c r="A1369" s="10">
        <v>44863.0</v>
      </c>
      <c r="B1369" s="8" t="s">
        <v>46</v>
      </c>
      <c r="C1369" s="21" t="s">
        <v>23</v>
      </c>
      <c r="D1369" s="6" t="s">
        <v>14</v>
      </c>
      <c r="E1369" s="6" t="s">
        <v>48</v>
      </c>
      <c r="F1369" s="7">
        <v>80.41</v>
      </c>
      <c r="G1369" s="6" t="s">
        <v>12</v>
      </c>
      <c r="H1369" s="8" t="s">
        <v>12</v>
      </c>
    </row>
    <row r="1370">
      <c r="A1370" s="10">
        <v>44863.0</v>
      </c>
      <c r="B1370" s="8" t="s">
        <v>46</v>
      </c>
      <c r="C1370" s="21" t="s">
        <v>23</v>
      </c>
      <c r="D1370" s="6" t="s">
        <v>14</v>
      </c>
      <c r="E1370" s="6" t="s">
        <v>42</v>
      </c>
      <c r="F1370" s="7">
        <v>62.55</v>
      </c>
      <c r="G1370" s="6" t="s">
        <v>12</v>
      </c>
      <c r="H1370" s="8" t="s">
        <v>12</v>
      </c>
    </row>
    <row r="1371">
      <c r="A1371" s="10">
        <v>44864.0</v>
      </c>
      <c r="B1371" s="8" t="s">
        <v>46</v>
      </c>
      <c r="C1371" s="21" t="s">
        <v>9</v>
      </c>
      <c r="D1371" s="6" t="s">
        <v>10</v>
      </c>
      <c r="E1371" s="6" t="s">
        <v>31</v>
      </c>
      <c r="F1371" s="7">
        <v>96.25</v>
      </c>
      <c r="G1371" s="6" t="s">
        <v>12</v>
      </c>
      <c r="H1371" s="8" t="s">
        <v>12</v>
      </c>
    </row>
    <row r="1372">
      <c r="A1372" s="10">
        <v>44864.0</v>
      </c>
      <c r="B1372" s="8" t="s">
        <v>46</v>
      </c>
      <c r="C1372" s="21" t="s">
        <v>9</v>
      </c>
      <c r="D1372" s="6" t="s">
        <v>10</v>
      </c>
      <c r="E1372" s="6" t="s">
        <v>45</v>
      </c>
      <c r="F1372" s="7">
        <v>68.75</v>
      </c>
      <c r="G1372" s="6" t="s">
        <v>12</v>
      </c>
      <c r="H1372" s="8" t="s">
        <v>12</v>
      </c>
    </row>
    <row r="1373">
      <c r="A1373" s="10">
        <v>44864.0</v>
      </c>
      <c r="B1373" s="8" t="s">
        <v>46</v>
      </c>
      <c r="C1373" s="21" t="s">
        <v>9</v>
      </c>
      <c r="D1373" s="6" t="s">
        <v>10</v>
      </c>
      <c r="E1373" s="6" t="s">
        <v>48</v>
      </c>
      <c r="F1373" s="7">
        <v>48.14</v>
      </c>
      <c r="G1373" s="6" t="s">
        <v>12</v>
      </c>
      <c r="H1373" s="8" t="s">
        <v>12</v>
      </c>
    </row>
    <row r="1374">
      <c r="A1374" s="10">
        <v>44864.0</v>
      </c>
      <c r="B1374" s="8" t="s">
        <v>46</v>
      </c>
      <c r="C1374" s="21" t="s">
        <v>9</v>
      </c>
      <c r="D1374" s="6" t="s">
        <v>14</v>
      </c>
      <c r="E1374" s="6" t="s">
        <v>31</v>
      </c>
      <c r="F1374" s="7">
        <v>46.04</v>
      </c>
      <c r="G1374" s="6" t="s">
        <v>12</v>
      </c>
      <c r="H1374" s="8" t="s">
        <v>12</v>
      </c>
    </row>
    <row r="1375">
      <c r="A1375" s="10">
        <v>44864.0</v>
      </c>
      <c r="B1375" s="8" t="s">
        <v>46</v>
      </c>
      <c r="C1375" s="21" t="s">
        <v>9</v>
      </c>
      <c r="D1375" s="6" t="s">
        <v>14</v>
      </c>
      <c r="E1375" s="6" t="s">
        <v>45</v>
      </c>
      <c r="F1375" s="7">
        <v>38.36</v>
      </c>
      <c r="G1375" s="6" t="s">
        <v>12</v>
      </c>
      <c r="H1375" s="8" t="s">
        <v>12</v>
      </c>
    </row>
    <row r="1376">
      <c r="A1376" s="10">
        <v>44864.0</v>
      </c>
      <c r="B1376" s="8" t="s">
        <v>46</v>
      </c>
      <c r="C1376" s="21" t="s">
        <v>9</v>
      </c>
      <c r="D1376" s="6" t="s">
        <v>14</v>
      </c>
      <c r="E1376" s="6" t="s">
        <v>47</v>
      </c>
      <c r="F1376" s="7">
        <v>38.36</v>
      </c>
      <c r="G1376" s="6" t="s">
        <v>12</v>
      </c>
      <c r="H1376" s="8" t="s">
        <v>12</v>
      </c>
    </row>
    <row r="1377">
      <c r="A1377" s="10">
        <v>44865.0</v>
      </c>
      <c r="B1377" s="8" t="s">
        <v>46</v>
      </c>
      <c r="C1377" s="21" t="s">
        <v>16</v>
      </c>
      <c r="D1377" s="6" t="s">
        <v>10</v>
      </c>
      <c r="E1377" s="6" t="s">
        <v>34</v>
      </c>
      <c r="F1377" s="7">
        <v>103.15</v>
      </c>
      <c r="G1377" s="6" t="s">
        <v>12</v>
      </c>
      <c r="H1377" s="8" t="s">
        <v>12</v>
      </c>
    </row>
    <row r="1378">
      <c r="A1378" s="10">
        <v>44865.0</v>
      </c>
      <c r="B1378" s="8" t="s">
        <v>46</v>
      </c>
      <c r="C1378" s="21" t="s">
        <v>16</v>
      </c>
      <c r="D1378" s="6" t="s">
        <v>14</v>
      </c>
      <c r="E1378" s="6" t="s">
        <v>34</v>
      </c>
      <c r="F1378" s="7">
        <v>42.18</v>
      </c>
      <c r="G1378" s="6" t="s">
        <v>12</v>
      </c>
      <c r="H1378" s="8" t="s">
        <v>12</v>
      </c>
    </row>
    <row r="1379">
      <c r="A1379" s="10">
        <v>44865.0</v>
      </c>
      <c r="B1379" s="8" t="s">
        <v>46</v>
      </c>
      <c r="C1379" s="21" t="s">
        <v>16</v>
      </c>
      <c r="D1379" s="6" t="s">
        <v>14</v>
      </c>
      <c r="E1379" s="6" t="s">
        <v>19</v>
      </c>
      <c r="F1379" s="7">
        <v>42.19</v>
      </c>
      <c r="G1379" s="6" t="s">
        <v>12</v>
      </c>
      <c r="H1379" s="8" t="s">
        <v>12</v>
      </c>
    </row>
    <row r="1380">
      <c r="A1380" s="10">
        <v>44866.0</v>
      </c>
      <c r="B1380" s="8" t="s">
        <v>49</v>
      </c>
      <c r="C1380" s="21" t="s">
        <v>18</v>
      </c>
      <c r="D1380" s="6" t="s">
        <v>10</v>
      </c>
      <c r="E1380" s="6" t="s">
        <v>34</v>
      </c>
      <c r="F1380" s="7">
        <v>89.33</v>
      </c>
      <c r="G1380" s="6" t="s">
        <v>12</v>
      </c>
      <c r="H1380" s="8" t="s">
        <v>12</v>
      </c>
    </row>
    <row r="1381">
      <c r="A1381" s="10">
        <v>44866.0</v>
      </c>
      <c r="B1381" s="8" t="s">
        <v>49</v>
      </c>
      <c r="C1381" s="21" t="s">
        <v>18</v>
      </c>
      <c r="D1381" s="6" t="s">
        <v>14</v>
      </c>
      <c r="E1381" s="6" t="s">
        <v>34</v>
      </c>
      <c r="F1381" s="7">
        <v>83.83</v>
      </c>
      <c r="G1381" s="6" t="s">
        <v>12</v>
      </c>
      <c r="H1381" s="8" t="s">
        <v>12</v>
      </c>
    </row>
    <row r="1382">
      <c r="A1382" s="10">
        <v>44866.0</v>
      </c>
      <c r="B1382" s="8" t="s">
        <v>49</v>
      </c>
      <c r="C1382" s="21" t="s">
        <v>18</v>
      </c>
      <c r="D1382" s="6" t="s">
        <v>14</v>
      </c>
      <c r="E1382" s="6" t="s">
        <v>19</v>
      </c>
      <c r="F1382" s="7">
        <v>27.95</v>
      </c>
      <c r="G1382" s="6" t="s">
        <v>12</v>
      </c>
      <c r="H1382" s="8" t="s">
        <v>12</v>
      </c>
    </row>
    <row r="1383">
      <c r="A1383" s="10">
        <v>44866.0</v>
      </c>
      <c r="B1383" s="8" t="s">
        <v>49</v>
      </c>
      <c r="C1383" s="21" t="s">
        <v>18</v>
      </c>
      <c r="D1383" s="6" t="s">
        <v>14</v>
      </c>
      <c r="E1383" s="6" t="s">
        <v>45</v>
      </c>
      <c r="F1383" s="7">
        <v>83.83</v>
      </c>
      <c r="G1383" s="6" t="s">
        <v>12</v>
      </c>
      <c r="H1383" s="8" t="s">
        <v>12</v>
      </c>
    </row>
    <row r="1384">
      <c r="A1384" s="10">
        <v>44867.0</v>
      </c>
      <c r="B1384" s="8" t="s">
        <v>49</v>
      </c>
      <c r="C1384" s="21" t="s">
        <v>20</v>
      </c>
      <c r="D1384" s="6" t="s">
        <v>10</v>
      </c>
      <c r="E1384" s="6" t="s">
        <v>42</v>
      </c>
      <c r="F1384" s="7">
        <v>42.04</v>
      </c>
      <c r="G1384" s="6" t="s">
        <v>12</v>
      </c>
      <c r="H1384" s="8" t="s">
        <v>12</v>
      </c>
    </row>
    <row r="1385">
      <c r="A1385" s="10">
        <v>44867.0</v>
      </c>
      <c r="B1385" s="8" t="s">
        <v>49</v>
      </c>
      <c r="C1385" s="21" t="s">
        <v>20</v>
      </c>
      <c r="D1385" s="6" t="s">
        <v>14</v>
      </c>
      <c r="E1385" s="6" t="s">
        <v>42</v>
      </c>
      <c r="F1385" s="7">
        <v>61.62</v>
      </c>
      <c r="G1385" s="6" t="s">
        <v>12</v>
      </c>
      <c r="H1385" s="8" t="s">
        <v>12</v>
      </c>
    </row>
    <row r="1386">
      <c r="A1386" s="10">
        <v>44867.0</v>
      </c>
      <c r="B1386" s="8" t="s">
        <v>49</v>
      </c>
      <c r="C1386" s="21" t="s">
        <v>20</v>
      </c>
      <c r="D1386" s="6" t="s">
        <v>14</v>
      </c>
      <c r="E1386" s="6" t="s">
        <v>19</v>
      </c>
      <c r="F1386" s="7">
        <v>34.22</v>
      </c>
      <c r="G1386" s="6" t="s">
        <v>12</v>
      </c>
      <c r="H1386" s="8" t="s">
        <v>12</v>
      </c>
    </row>
    <row r="1387">
      <c r="A1387" s="10">
        <v>44867.0</v>
      </c>
      <c r="B1387" s="8" t="s">
        <v>49</v>
      </c>
      <c r="C1387" s="21" t="s">
        <v>20</v>
      </c>
      <c r="D1387" s="6" t="s">
        <v>14</v>
      </c>
      <c r="E1387" s="6" t="s">
        <v>34</v>
      </c>
      <c r="F1387" s="7">
        <v>27.38</v>
      </c>
      <c r="G1387" s="6" t="s">
        <v>12</v>
      </c>
      <c r="H1387" s="8" t="s">
        <v>12</v>
      </c>
    </row>
    <row r="1388">
      <c r="A1388" s="10">
        <v>44868.0</v>
      </c>
      <c r="B1388" s="8" t="s">
        <v>49</v>
      </c>
      <c r="C1388" s="21" t="s">
        <v>21</v>
      </c>
      <c r="D1388" s="6" t="s">
        <v>10</v>
      </c>
      <c r="E1388" s="6" t="s">
        <v>19</v>
      </c>
      <c r="F1388" s="7">
        <v>109.99</v>
      </c>
      <c r="G1388" s="6" t="s">
        <v>12</v>
      </c>
      <c r="H1388" s="8" t="s">
        <v>12</v>
      </c>
    </row>
    <row r="1389">
      <c r="A1389" s="10">
        <v>44868.0</v>
      </c>
      <c r="B1389" s="8" t="s">
        <v>49</v>
      </c>
      <c r="C1389" s="21" t="s">
        <v>21</v>
      </c>
      <c r="D1389" s="6" t="s">
        <v>14</v>
      </c>
      <c r="E1389" s="6" t="s">
        <v>19</v>
      </c>
      <c r="F1389" s="7">
        <v>76.0</v>
      </c>
      <c r="G1389" s="6" t="s">
        <v>12</v>
      </c>
      <c r="H1389" s="8" t="s">
        <v>12</v>
      </c>
    </row>
    <row r="1390">
      <c r="A1390" s="10">
        <v>44868.0</v>
      </c>
      <c r="B1390" s="8" t="s">
        <v>49</v>
      </c>
      <c r="C1390" s="21" t="s">
        <v>21</v>
      </c>
      <c r="D1390" s="6" t="s">
        <v>14</v>
      </c>
      <c r="E1390" s="6" t="s">
        <v>45</v>
      </c>
      <c r="F1390" s="7">
        <v>76.0</v>
      </c>
      <c r="G1390" s="6" t="s">
        <v>12</v>
      </c>
      <c r="H1390" s="8" t="s">
        <v>12</v>
      </c>
    </row>
    <row r="1391">
      <c r="A1391" s="10">
        <v>44868.0</v>
      </c>
      <c r="B1391" s="8" t="s">
        <v>49</v>
      </c>
      <c r="C1391" s="21" t="s">
        <v>21</v>
      </c>
      <c r="D1391" s="6" t="s">
        <v>14</v>
      </c>
      <c r="E1391" s="6" t="s">
        <v>47</v>
      </c>
      <c r="F1391" s="7">
        <v>24.49</v>
      </c>
      <c r="G1391" s="6" t="s">
        <v>12</v>
      </c>
      <c r="H1391" s="8" t="s">
        <v>12</v>
      </c>
    </row>
    <row r="1392">
      <c r="A1392" s="10">
        <v>44869.0</v>
      </c>
      <c r="B1392" s="8" t="s">
        <v>49</v>
      </c>
      <c r="C1392" s="21" t="s">
        <v>22</v>
      </c>
      <c r="D1392" s="6" t="s">
        <v>10</v>
      </c>
      <c r="E1392" s="6" t="s">
        <v>19</v>
      </c>
      <c r="F1392" s="7">
        <v>71.58</v>
      </c>
      <c r="G1392" s="6" t="s">
        <v>12</v>
      </c>
      <c r="H1392" s="8" t="s">
        <v>12</v>
      </c>
    </row>
    <row r="1393">
      <c r="A1393" s="10">
        <v>44869.0</v>
      </c>
      <c r="B1393" s="8" t="s">
        <v>49</v>
      </c>
      <c r="C1393" s="21" t="s">
        <v>22</v>
      </c>
      <c r="D1393" s="6" t="s">
        <v>14</v>
      </c>
      <c r="E1393" s="6" t="s">
        <v>19</v>
      </c>
      <c r="F1393" s="7">
        <v>100.92</v>
      </c>
      <c r="G1393" s="6" t="s">
        <v>12</v>
      </c>
      <c r="H1393" s="8" t="s">
        <v>12</v>
      </c>
    </row>
    <row r="1394">
      <c r="A1394" s="10">
        <v>44869.0</v>
      </c>
      <c r="B1394" s="8" t="s">
        <v>49</v>
      </c>
      <c r="C1394" s="21" t="s">
        <v>22</v>
      </c>
      <c r="D1394" s="6" t="s">
        <v>14</v>
      </c>
      <c r="E1394" s="6" t="s">
        <v>42</v>
      </c>
      <c r="F1394" s="7">
        <v>100.92</v>
      </c>
      <c r="G1394" s="6" t="s">
        <v>12</v>
      </c>
      <c r="H1394" s="8" t="s">
        <v>12</v>
      </c>
    </row>
    <row r="1395">
      <c r="A1395" s="10">
        <v>44869.0</v>
      </c>
      <c r="B1395" s="8" t="s">
        <v>49</v>
      </c>
      <c r="C1395" s="21" t="s">
        <v>22</v>
      </c>
      <c r="D1395" s="6" t="s">
        <v>14</v>
      </c>
      <c r="E1395" s="6" t="s">
        <v>47</v>
      </c>
      <c r="F1395" s="7">
        <v>67.28</v>
      </c>
      <c r="G1395" s="6" t="s">
        <v>12</v>
      </c>
      <c r="H1395" s="8" t="s">
        <v>12</v>
      </c>
    </row>
    <row r="1396">
      <c r="A1396" s="10">
        <v>44870.0</v>
      </c>
      <c r="B1396" s="8" t="s">
        <v>49</v>
      </c>
      <c r="C1396" s="21" t="s">
        <v>23</v>
      </c>
      <c r="D1396" s="6" t="s">
        <v>10</v>
      </c>
      <c r="E1396" s="6" t="s">
        <v>19</v>
      </c>
      <c r="F1396" s="7">
        <v>144.62</v>
      </c>
      <c r="G1396" s="6" t="s">
        <v>12</v>
      </c>
      <c r="H1396" s="8" t="s">
        <v>12</v>
      </c>
    </row>
    <row r="1397">
      <c r="A1397" s="10">
        <v>44870.0</v>
      </c>
      <c r="B1397" s="8" t="s">
        <v>49</v>
      </c>
      <c r="C1397" s="21" t="s">
        <v>23</v>
      </c>
      <c r="D1397" s="6" t="s">
        <v>10</v>
      </c>
      <c r="E1397" s="6" t="s">
        <v>42</v>
      </c>
      <c r="F1397" s="7">
        <v>103.32</v>
      </c>
      <c r="G1397" s="6" t="s">
        <v>12</v>
      </c>
      <c r="H1397" s="8" t="s">
        <v>12</v>
      </c>
    </row>
    <row r="1398">
      <c r="A1398" s="10">
        <v>44870.0</v>
      </c>
      <c r="B1398" s="8" t="s">
        <v>49</v>
      </c>
      <c r="C1398" s="21" t="s">
        <v>23</v>
      </c>
      <c r="D1398" s="6" t="s">
        <v>10</v>
      </c>
      <c r="E1398" s="6" t="s">
        <v>50</v>
      </c>
      <c r="F1398" s="7">
        <v>0.0</v>
      </c>
      <c r="G1398" s="6" t="s">
        <v>26</v>
      </c>
      <c r="H1398" s="8" t="s">
        <v>12</v>
      </c>
    </row>
    <row r="1399">
      <c r="A1399" s="10">
        <v>44870.0</v>
      </c>
      <c r="B1399" s="8" t="s">
        <v>49</v>
      </c>
      <c r="C1399" s="21" t="s">
        <v>23</v>
      </c>
      <c r="D1399" s="6" t="s">
        <v>14</v>
      </c>
      <c r="E1399" s="6" t="s">
        <v>19</v>
      </c>
      <c r="F1399" s="7">
        <v>54.09</v>
      </c>
      <c r="G1399" s="6" t="s">
        <v>12</v>
      </c>
      <c r="H1399" s="8" t="s">
        <v>12</v>
      </c>
    </row>
    <row r="1400">
      <c r="A1400" s="10">
        <v>44870.0</v>
      </c>
      <c r="B1400" s="8" t="s">
        <v>49</v>
      </c>
      <c r="C1400" s="21" t="s">
        <v>23</v>
      </c>
      <c r="D1400" s="6" t="s">
        <v>14</v>
      </c>
      <c r="E1400" s="6" t="s">
        <v>42</v>
      </c>
      <c r="F1400" s="7">
        <v>108.19</v>
      </c>
      <c r="G1400" s="6" t="s">
        <v>12</v>
      </c>
      <c r="H1400" s="8" t="s">
        <v>12</v>
      </c>
    </row>
    <row r="1401">
      <c r="A1401" s="10">
        <v>44870.0</v>
      </c>
      <c r="B1401" s="8" t="s">
        <v>49</v>
      </c>
      <c r="C1401" s="21" t="s">
        <v>23</v>
      </c>
      <c r="D1401" s="6" t="s">
        <v>14</v>
      </c>
      <c r="E1401" s="6" t="s">
        <v>45</v>
      </c>
      <c r="F1401" s="7">
        <v>108.19</v>
      </c>
      <c r="G1401" s="6" t="s">
        <v>12</v>
      </c>
      <c r="H1401" s="8" t="s">
        <v>12</v>
      </c>
    </row>
    <row r="1402">
      <c r="A1402" s="10">
        <v>44870.0</v>
      </c>
      <c r="B1402" s="8" t="s">
        <v>49</v>
      </c>
      <c r="C1402" s="21" t="s">
        <v>23</v>
      </c>
      <c r="D1402" s="6" t="s">
        <v>14</v>
      </c>
      <c r="E1402" s="6" t="s">
        <v>50</v>
      </c>
      <c r="F1402" s="7">
        <v>0.0</v>
      </c>
      <c r="G1402" s="6" t="s">
        <v>26</v>
      </c>
      <c r="H1402" s="8" t="s">
        <v>12</v>
      </c>
    </row>
    <row r="1403">
      <c r="A1403" s="10">
        <v>44871.0</v>
      </c>
      <c r="B1403" s="8" t="s">
        <v>49</v>
      </c>
      <c r="C1403" s="21" t="s">
        <v>9</v>
      </c>
      <c r="D1403" s="6" t="s">
        <v>10</v>
      </c>
      <c r="E1403" s="6" t="s">
        <v>34</v>
      </c>
      <c r="F1403" s="7">
        <v>95.33</v>
      </c>
      <c r="G1403" s="6" t="s">
        <v>12</v>
      </c>
      <c r="H1403" s="8" t="s">
        <v>12</v>
      </c>
    </row>
    <row r="1404">
      <c r="A1404" s="10">
        <v>44871.0</v>
      </c>
      <c r="B1404" s="8" t="s">
        <v>49</v>
      </c>
      <c r="C1404" s="21" t="s">
        <v>9</v>
      </c>
      <c r="D1404" s="6" t="s">
        <v>10</v>
      </c>
      <c r="E1404" s="6" t="s">
        <v>45</v>
      </c>
      <c r="F1404" s="7">
        <v>68.05</v>
      </c>
      <c r="G1404" s="6" t="s">
        <v>12</v>
      </c>
      <c r="H1404" s="8" t="s">
        <v>12</v>
      </c>
    </row>
    <row r="1405">
      <c r="A1405" s="10">
        <v>44871.0</v>
      </c>
      <c r="B1405" s="8" t="s">
        <v>49</v>
      </c>
      <c r="C1405" s="21" t="s">
        <v>9</v>
      </c>
      <c r="D1405" s="6" t="s">
        <v>10</v>
      </c>
      <c r="E1405" s="6" t="s">
        <v>42</v>
      </c>
      <c r="F1405" s="7">
        <v>54.44</v>
      </c>
      <c r="G1405" s="6" t="s">
        <v>12</v>
      </c>
      <c r="H1405" s="8" t="s">
        <v>12</v>
      </c>
    </row>
    <row r="1406">
      <c r="A1406" s="10">
        <v>44871.0</v>
      </c>
      <c r="B1406" s="8" t="s">
        <v>49</v>
      </c>
      <c r="C1406" s="21" t="s">
        <v>9</v>
      </c>
      <c r="D1406" s="6" t="s">
        <v>14</v>
      </c>
      <c r="E1406" s="6" t="s">
        <v>19</v>
      </c>
      <c r="F1406" s="7">
        <v>77.71</v>
      </c>
      <c r="G1406" s="6" t="s">
        <v>12</v>
      </c>
      <c r="H1406" s="8" t="s">
        <v>12</v>
      </c>
    </row>
    <row r="1407">
      <c r="A1407" s="10">
        <v>44871.0</v>
      </c>
      <c r="B1407" s="8" t="s">
        <v>49</v>
      </c>
      <c r="C1407" s="21" t="s">
        <v>9</v>
      </c>
      <c r="D1407" s="6" t="s">
        <v>14</v>
      </c>
      <c r="E1407" s="6" t="s">
        <v>47</v>
      </c>
      <c r="F1407" s="7">
        <v>77.71</v>
      </c>
      <c r="G1407" s="6" t="s">
        <v>12</v>
      </c>
      <c r="H1407" s="8" t="s">
        <v>12</v>
      </c>
    </row>
    <row r="1408">
      <c r="A1408" s="10">
        <v>44871.0</v>
      </c>
      <c r="B1408" s="8" t="s">
        <v>49</v>
      </c>
      <c r="C1408" s="21" t="s">
        <v>9</v>
      </c>
      <c r="D1408" s="6" t="s">
        <v>14</v>
      </c>
      <c r="E1408" s="6" t="s">
        <v>50</v>
      </c>
      <c r="F1408" s="7">
        <v>0.0</v>
      </c>
      <c r="G1408" s="6" t="s">
        <v>26</v>
      </c>
      <c r="H1408" s="8" t="s">
        <v>12</v>
      </c>
    </row>
    <row r="1409">
      <c r="A1409" s="10">
        <v>44872.0</v>
      </c>
      <c r="B1409" s="8" t="s">
        <v>49</v>
      </c>
      <c r="C1409" s="21" t="s">
        <v>16</v>
      </c>
      <c r="D1409" s="6" t="s">
        <v>10</v>
      </c>
      <c r="E1409" s="6" t="s">
        <v>34</v>
      </c>
      <c r="F1409" s="7">
        <v>108.83</v>
      </c>
      <c r="G1409" s="6" t="s">
        <v>12</v>
      </c>
      <c r="H1409" s="8" t="s">
        <v>12</v>
      </c>
    </row>
    <row r="1410">
      <c r="A1410" s="10">
        <v>44872.0</v>
      </c>
      <c r="B1410" s="8" t="s">
        <v>49</v>
      </c>
      <c r="C1410" s="21" t="s">
        <v>16</v>
      </c>
      <c r="D1410" s="6" t="s">
        <v>14</v>
      </c>
      <c r="E1410" s="6" t="s">
        <v>34</v>
      </c>
      <c r="F1410" s="7">
        <v>51.55</v>
      </c>
      <c r="G1410" s="6" t="s">
        <v>12</v>
      </c>
      <c r="H1410" s="8" t="s">
        <v>12</v>
      </c>
    </row>
    <row r="1411">
      <c r="A1411" s="10">
        <v>44872.0</v>
      </c>
      <c r="B1411" s="8" t="s">
        <v>49</v>
      </c>
      <c r="C1411" s="21" t="s">
        <v>16</v>
      </c>
      <c r="D1411" s="6" t="s">
        <v>14</v>
      </c>
      <c r="E1411" s="6" t="s">
        <v>45</v>
      </c>
      <c r="F1411" s="7">
        <v>51.56</v>
      </c>
      <c r="G1411" s="6" t="s">
        <v>12</v>
      </c>
      <c r="H1411" s="8" t="s">
        <v>12</v>
      </c>
    </row>
    <row r="1412">
      <c r="A1412" s="10">
        <v>44872.0</v>
      </c>
      <c r="B1412" s="8" t="s">
        <v>49</v>
      </c>
      <c r="C1412" s="21" t="s">
        <v>16</v>
      </c>
      <c r="D1412" s="6" t="s">
        <v>14</v>
      </c>
      <c r="E1412" s="6" t="s">
        <v>42</v>
      </c>
      <c r="F1412" s="7">
        <v>51.56</v>
      </c>
      <c r="G1412" s="6" t="s">
        <v>12</v>
      </c>
      <c r="H1412" s="8" t="s">
        <v>12</v>
      </c>
    </row>
    <row r="1413">
      <c r="A1413" s="10">
        <v>373591.0</v>
      </c>
      <c r="B1413" s="8" t="s">
        <v>49</v>
      </c>
      <c r="C1413" s="21" t="s">
        <v>9</v>
      </c>
      <c r="D1413" s="6" t="s">
        <v>10</v>
      </c>
      <c r="E1413" s="6" t="s">
        <v>34</v>
      </c>
      <c r="F1413" s="7">
        <v>112.38</v>
      </c>
      <c r="G1413" s="6" t="s">
        <v>12</v>
      </c>
      <c r="H1413" s="8" t="s">
        <v>12</v>
      </c>
    </row>
    <row r="1414">
      <c r="A1414" s="10">
        <v>44873.0</v>
      </c>
      <c r="B1414" s="8" t="s">
        <v>49</v>
      </c>
      <c r="C1414" s="21" t="s">
        <v>18</v>
      </c>
      <c r="D1414" s="6" t="s">
        <v>14</v>
      </c>
      <c r="E1414" s="6" t="s">
        <v>34</v>
      </c>
      <c r="F1414" s="7">
        <v>66.41</v>
      </c>
      <c r="G1414" s="6" t="s">
        <v>12</v>
      </c>
      <c r="H1414" s="8" t="s">
        <v>12</v>
      </c>
    </row>
    <row r="1415">
      <c r="A1415" s="10">
        <v>44873.0</v>
      </c>
      <c r="B1415" s="8" t="s">
        <v>49</v>
      </c>
      <c r="C1415" s="21" t="s">
        <v>18</v>
      </c>
      <c r="D1415" s="6" t="s">
        <v>14</v>
      </c>
      <c r="E1415" s="6" t="s">
        <v>19</v>
      </c>
      <c r="F1415" s="7">
        <v>66.41</v>
      </c>
      <c r="G1415" s="6" t="s">
        <v>12</v>
      </c>
      <c r="H1415" s="8" t="s">
        <v>12</v>
      </c>
    </row>
    <row r="1416">
      <c r="A1416" s="10">
        <v>44874.0</v>
      </c>
      <c r="B1416" s="8" t="s">
        <v>49</v>
      </c>
      <c r="C1416" s="21" t="s">
        <v>20</v>
      </c>
      <c r="D1416" s="6" t="s">
        <v>10</v>
      </c>
      <c r="E1416" s="6" t="s">
        <v>34</v>
      </c>
      <c r="F1416" s="7">
        <v>103.88</v>
      </c>
      <c r="G1416" s="6" t="s">
        <v>12</v>
      </c>
      <c r="H1416" s="8" t="s">
        <v>12</v>
      </c>
    </row>
    <row r="1417">
      <c r="A1417" s="10">
        <v>44874.0</v>
      </c>
      <c r="B1417" s="8" t="s">
        <v>49</v>
      </c>
      <c r="C1417" s="21" t="s">
        <v>20</v>
      </c>
      <c r="D1417" s="6" t="s">
        <v>14</v>
      </c>
      <c r="E1417" s="6" t="s">
        <v>45</v>
      </c>
      <c r="F1417" s="7">
        <v>58.68</v>
      </c>
      <c r="G1417" s="6" t="s">
        <v>12</v>
      </c>
      <c r="H1417" s="8" t="s">
        <v>12</v>
      </c>
    </row>
    <row r="1418">
      <c r="A1418" s="10">
        <v>44874.0</v>
      </c>
      <c r="B1418" s="8" t="s">
        <v>49</v>
      </c>
      <c r="C1418" s="21" t="s">
        <v>20</v>
      </c>
      <c r="D1418" s="6" t="s">
        <v>14</v>
      </c>
      <c r="E1418" s="6" t="s">
        <v>19</v>
      </c>
      <c r="F1418" s="7">
        <v>32.6</v>
      </c>
      <c r="G1418" s="6" t="s">
        <v>12</v>
      </c>
      <c r="H1418" s="8" t="s">
        <v>12</v>
      </c>
    </row>
    <row r="1419">
      <c r="A1419" s="10">
        <v>44874.0</v>
      </c>
      <c r="B1419" s="8" t="s">
        <v>49</v>
      </c>
      <c r="C1419" s="21" t="s">
        <v>20</v>
      </c>
      <c r="D1419" s="6" t="s">
        <v>14</v>
      </c>
      <c r="E1419" s="6" t="s">
        <v>47</v>
      </c>
      <c r="F1419" s="7">
        <v>29.34</v>
      </c>
      <c r="G1419" s="6" t="s">
        <v>12</v>
      </c>
      <c r="H1419" s="8" t="s">
        <v>12</v>
      </c>
    </row>
    <row r="1420">
      <c r="A1420" s="10">
        <v>44875.0</v>
      </c>
      <c r="B1420" s="8" t="s">
        <v>49</v>
      </c>
      <c r="C1420" s="21" t="s">
        <v>21</v>
      </c>
      <c r="D1420" s="6" t="s">
        <v>10</v>
      </c>
      <c r="E1420" s="6" t="s">
        <v>31</v>
      </c>
      <c r="F1420" s="7">
        <v>74.27</v>
      </c>
      <c r="G1420" s="6" t="s">
        <v>12</v>
      </c>
      <c r="H1420" s="8" t="s">
        <v>12</v>
      </c>
    </row>
    <row r="1421">
      <c r="A1421" s="10">
        <v>44875.0</v>
      </c>
      <c r="B1421" s="8" t="s">
        <v>49</v>
      </c>
      <c r="C1421" s="21" t="s">
        <v>21</v>
      </c>
      <c r="D1421" s="6" t="s">
        <v>14</v>
      </c>
      <c r="E1421" s="6" t="s">
        <v>34</v>
      </c>
      <c r="F1421" s="7">
        <v>86.62</v>
      </c>
      <c r="G1421" s="6" t="s">
        <v>12</v>
      </c>
      <c r="H1421" s="8" t="s">
        <v>12</v>
      </c>
    </row>
    <row r="1422">
      <c r="A1422" s="10">
        <v>44875.0</v>
      </c>
      <c r="B1422" s="8" t="s">
        <v>49</v>
      </c>
      <c r="C1422" s="21" t="s">
        <v>21</v>
      </c>
      <c r="D1422" s="6" t="s">
        <v>14</v>
      </c>
      <c r="E1422" s="6" t="s">
        <v>19</v>
      </c>
      <c r="F1422" s="7">
        <v>86.62</v>
      </c>
      <c r="G1422" s="6" t="s">
        <v>12</v>
      </c>
      <c r="H1422" s="8" t="s">
        <v>12</v>
      </c>
    </row>
    <row r="1423">
      <c r="A1423" s="10">
        <v>44875.0</v>
      </c>
      <c r="B1423" s="8" t="s">
        <v>49</v>
      </c>
      <c r="C1423" s="21" t="s">
        <v>21</v>
      </c>
      <c r="D1423" s="6" t="s">
        <v>14</v>
      </c>
      <c r="E1423" s="6" t="s">
        <v>50</v>
      </c>
      <c r="F1423" s="7">
        <v>0.0</v>
      </c>
      <c r="G1423" s="6" t="s">
        <v>26</v>
      </c>
      <c r="H1423" s="8" t="s">
        <v>12</v>
      </c>
    </row>
    <row r="1424">
      <c r="A1424" s="10">
        <v>44876.0</v>
      </c>
      <c r="B1424" s="8" t="s">
        <v>49</v>
      </c>
      <c r="C1424" s="21" t="s">
        <v>22</v>
      </c>
      <c r="D1424" s="6" t="s">
        <v>10</v>
      </c>
      <c r="E1424" s="6" t="s">
        <v>31</v>
      </c>
      <c r="F1424" s="7">
        <v>127.75</v>
      </c>
      <c r="G1424" s="6" t="s">
        <v>12</v>
      </c>
      <c r="H1424" s="8" t="s">
        <v>12</v>
      </c>
    </row>
    <row r="1425">
      <c r="A1425" s="10">
        <v>44876.0</v>
      </c>
      <c r="B1425" s="8" t="s">
        <v>49</v>
      </c>
      <c r="C1425" s="21" t="s">
        <v>22</v>
      </c>
      <c r="D1425" s="6" t="s">
        <v>14</v>
      </c>
      <c r="E1425" s="6" t="s">
        <v>31</v>
      </c>
      <c r="F1425" s="7">
        <v>56.28</v>
      </c>
      <c r="G1425" s="6" t="s">
        <v>12</v>
      </c>
      <c r="H1425" s="8" t="s">
        <v>12</v>
      </c>
    </row>
    <row r="1426">
      <c r="A1426" s="10">
        <v>44876.0</v>
      </c>
      <c r="B1426" s="8" t="s">
        <v>49</v>
      </c>
      <c r="C1426" s="21" t="s">
        <v>22</v>
      </c>
      <c r="D1426" s="6" t="s">
        <v>14</v>
      </c>
      <c r="E1426" s="6" t="s">
        <v>19</v>
      </c>
      <c r="F1426" s="7">
        <v>72.36</v>
      </c>
      <c r="G1426" s="6" t="s">
        <v>12</v>
      </c>
      <c r="H1426" s="8" t="s">
        <v>12</v>
      </c>
    </row>
    <row r="1427">
      <c r="A1427" s="10">
        <v>44877.0</v>
      </c>
      <c r="B1427" s="8" t="s">
        <v>49</v>
      </c>
      <c r="C1427" s="21" t="s">
        <v>23</v>
      </c>
      <c r="D1427" s="6" t="s">
        <v>10</v>
      </c>
      <c r="E1427" s="6" t="s">
        <v>31</v>
      </c>
      <c r="F1427" s="7">
        <v>86.63</v>
      </c>
      <c r="G1427" s="6" t="s">
        <v>12</v>
      </c>
      <c r="H1427" s="8" t="s">
        <v>12</v>
      </c>
    </row>
    <row r="1428">
      <c r="A1428" s="10">
        <v>44877.0</v>
      </c>
      <c r="B1428" s="8" t="s">
        <v>49</v>
      </c>
      <c r="C1428" s="21" t="s">
        <v>23</v>
      </c>
      <c r="D1428" s="6" t="s">
        <v>10</v>
      </c>
      <c r="E1428" s="6" t="s">
        <v>50</v>
      </c>
      <c r="F1428" s="7">
        <v>43.31</v>
      </c>
      <c r="G1428" s="6" t="s">
        <v>12</v>
      </c>
      <c r="H1428" s="8" t="s">
        <v>12</v>
      </c>
    </row>
    <row r="1429">
      <c r="A1429" s="10">
        <v>44877.0</v>
      </c>
      <c r="B1429" s="8" t="s">
        <v>49</v>
      </c>
      <c r="C1429" s="21" t="s">
        <v>23</v>
      </c>
      <c r="D1429" s="6" t="s">
        <v>10</v>
      </c>
      <c r="E1429" s="6" t="s">
        <v>47</v>
      </c>
      <c r="F1429" s="7">
        <v>24.75</v>
      </c>
      <c r="G1429" s="6" t="s">
        <v>12</v>
      </c>
      <c r="H1429" s="8" t="s">
        <v>12</v>
      </c>
    </row>
    <row r="1430">
      <c r="A1430" s="10">
        <v>44877.0</v>
      </c>
      <c r="B1430" s="8" t="s">
        <v>49</v>
      </c>
      <c r="C1430" s="21" t="s">
        <v>23</v>
      </c>
      <c r="D1430" s="6" t="s">
        <v>14</v>
      </c>
      <c r="E1430" s="6" t="s">
        <v>31</v>
      </c>
      <c r="F1430" s="7">
        <v>52.96</v>
      </c>
      <c r="G1430" s="6" t="s">
        <v>12</v>
      </c>
      <c r="H1430" s="8" t="s">
        <v>12</v>
      </c>
    </row>
    <row r="1431">
      <c r="A1431" s="10">
        <v>44877.0</v>
      </c>
      <c r="B1431" s="8" t="s">
        <v>49</v>
      </c>
      <c r="C1431" s="21" t="s">
        <v>23</v>
      </c>
      <c r="D1431" s="6" t="s">
        <v>14</v>
      </c>
      <c r="E1431" s="6" t="s">
        <v>19</v>
      </c>
      <c r="F1431" s="7">
        <v>63.5</v>
      </c>
      <c r="G1431" s="6" t="s">
        <v>12</v>
      </c>
      <c r="H1431" s="8" t="s">
        <v>12</v>
      </c>
    </row>
    <row r="1432">
      <c r="A1432" s="10">
        <v>44877.0</v>
      </c>
      <c r="B1432" s="8" t="s">
        <v>49</v>
      </c>
      <c r="C1432" s="21" t="s">
        <v>23</v>
      </c>
      <c r="D1432" s="6" t="s">
        <v>14</v>
      </c>
      <c r="E1432" s="6" t="s">
        <v>50</v>
      </c>
      <c r="F1432" s="7">
        <v>63.55</v>
      </c>
      <c r="G1432" s="6" t="s">
        <v>12</v>
      </c>
      <c r="H1432" s="8" t="s">
        <v>12</v>
      </c>
    </row>
    <row r="1433">
      <c r="A1433" s="10">
        <v>44878.0</v>
      </c>
      <c r="B1433" s="8" t="s">
        <v>49</v>
      </c>
      <c r="C1433" s="21" t="s">
        <v>9</v>
      </c>
      <c r="D1433" s="6" t="s">
        <v>10</v>
      </c>
      <c r="E1433" s="6" t="s">
        <v>31</v>
      </c>
      <c r="F1433" s="7">
        <v>111.88</v>
      </c>
      <c r="G1433" s="6" t="s">
        <v>12</v>
      </c>
      <c r="H1433" s="8" t="s">
        <v>12</v>
      </c>
    </row>
    <row r="1434">
      <c r="A1434" s="10">
        <v>44878.0</v>
      </c>
      <c r="B1434" s="8" t="s">
        <v>49</v>
      </c>
      <c r="C1434" s="21" t="s">
        <v>9</v>
      </c>
      <c r="D1434" s="6" t="s">
        <v>10</v>
      </c>
      <c r="E1434" s="6" t="s">
        <v>50</v>
      </c>
      <c r="F1434" s="7">
        <v>59.94</v>
      </c>
      <c r="G1434" s="6" t="s">
        <v>12</v>
      </c>
      <c r="H1434" s="8" t="s">
        <v>12</v>
      </c>
    </row>
    <row r="1435">
      <c r="A1435" s="10">
        <v>44878.0</v>
      </c>
      <c r="B1435" s="8" t="s">
        <v>49</v>
      </c>
      <c r="C1435" s="21" t="s">
        <v>9</v>
      </c>
      <c r="D1435" s="6" t="s">
        <v>10</v>
      </c>
      <c r="E1435" s="6" t="s">
        <v>19</v>
      </c>
      <c r="F1435" s="7">
        <v>47.95</v>
      </c>
      <c r="G1435" s="6" t="s">
        <v>12</v>
      </c>
      <c r="H1435" s="8" t="s">
        <v>12</v>
      </c>
    </row>
    <row r="1436">
      <c r="A1436" s="10">
        <v>44878.0</v>
      </c>
      <c r="B1436" s="8" t="s">
        <v>49</v>
      </c>
      <c r="C1436" s="21" t="s">
        <v>9</v>
      </c>
      <c r="D1436" s="6" t="s">
        <v>14</v>
      </c>
      <c r="E1436" s="6" t="s">
        <v>31</v>
      </c>
      <c r="F1436" s="7">
        <v>14.26</v>
      </c>
      <c r="G1436" s="6" t="s">
        <v>12</v>
      </c>
      <c r="H1436" s="8" t="s">
        <v>12</v>
      </c>
    </row>
    <row r="1437">
      <c r="A1437" s="10">
        <v>44878.0</v>
      </c>
      <c r="B1437" s="8" t="s">
        <v>49</v>
      </c>
      <c r="C1437" s="21" t="s">
        <v>9</v>
      </c>
      <c r="D1437" s="6" t="s">
        <v>14</v>
      </c>
      <c r="E1437" s="6" t="s">
        <v>19</v>
      </c>
      <c r="F1437" s="7">
        <v>64.19</v>
      </c>
      <c r="G1437" s="6" t="s">
        <v>12</v>
      </c>
      <c r="H1437" s="8" t="s">
        <v>12</v>
      </c>
    </row>
    <row r="1438">
      <c r="A1438" s="10">
        <v>44878.0</v>
      </c>
      <c r="B1438" s="8" t="s">
        <v>49</v>
      </c>
      <c r="C1438" s="21" t="s">
        <v>9</v>
      </c>
      <c r="D1438" s="6" t="s">
        <v>14</v>
      </c>
      <c r="E1438" s="6" t="s">
        <v>47</v>
      </c>
      <c r="F1438" s="7">
        <v>64.19</v>
      </c>
      <c r="G1438" s="6" t="s">
        <v>12</v>
      </c>
      <c r="H1438" s="8" t="s">
        <v>12</v>
      </c>
    </row>
    <row r="1439">
      <c r="A1439" s="10">
        <v>44879.0</v>
      </c>
      <c r="B1439" s="8" t="s">
        <v>49</v>
      </c>
      <c r="C1439" s="21" t="s">
        <v>16</v>
      </c>
      <c r="D1439" s="6" t="s">
        <v>10</v>
      </c>
      <c r="E1439" s="6" t="s">
        <v>34</v>
      </c>
      <c r="F1439" s="7">
        <v>75.73</v>
      </c>
      <c r="G1439" s="6" t="s">
        <v>12</v>
      </c>
      <c r="H1439" s="8" t="s">
        <v>12</v>
      </c>
    </row>
    <row r="1440">
      <c r="A1440" s="10">
        <v>44879.0</v>
      </c>
      <c r="B1440" s="8" t="s">
        <v>49</v>
      </c>
      <c r="C1440" s="21" t="s">
        <v>16</v>
      </c>
      <c r="D1440" s="6" t="s">
        <v>14</v>
      </c>
      <c r="E1440" s="6" t="s">
        <v>34</v>
      </c>
      <c r="F1440" s="7">
        <v>43.84</v>
      </c>
      <c r="G1440" s="6" t="s">
        <v>12</v>
      </c>
      <c r="H1440" s="8" t="s">
        <v>12</v>
      </c>
    </row>
    <row r="1441">
      <c r="A1441" s="10">
        <v>44879.0</v>
      </c>
      <c r="B1441" s="8" t="s">
        <v>49</v>
      </c>
      <c r="C1441" s="21" t="s">
        <v>16</v>
      </c>
      <c r="D1441" s="6" t="s">
        <v>14</v>
      </c>
      <c r="E1441" s="6" t="s">
        <v>45</v>
      </c>
      <c r="F1441" s="7">
        <v>56.35</v>
      </c>
      <c r="G1441" s="6" t="s">
        <v>12</v>
      </c>
      <c r="H1441" s="8" t="s">
        <v>12</v>
      </c>
    </row>
    <row r="1442">
      <c r="A1442" s="10">
        <v>44879.0</v>
      </c>
      <c r="B1442" s="8" t="s">
        <v>49</v>
      </c>
      <c r="C1442" s="21" t="s">
        <v>16</v>
      </c>
      <c r="D1442" s="6" t="s">
        <v>14</v>
      </c>
      <c r="E1442" s="6" t="s">
        <v>42</v>
      </c>
      <c r="F1442" s="7">
        <v>56.35</v>
      </c>
      <c r="G1442" s="6" t="s">
        <v>12</v>
      </c>
      <c r="H1442" s="8" t="s">
        <v>12</v>
      </c>
    </row>
    <row r="1443">
      <c r="A1443" s="10">
        <v>44880.0</v>
      </c>
      <c r="B1443" s="8" t="s">
        <v>49</v>
      </c>
      <c r="C1443" s="21" t="s">
        <v>18</v>
      </c>
      <c r="D1443" s="6" t="s">
        <v>10</v>
      </c>
      <c r="E1443" s="6" t="s">
        <v>19</v>
      </c>
      <c r="F1443" s="7">
        <v>77.62</v>
      </c>
      <c r="G1443" s="6" t="s">
        <v>12</v>
      </c>
      <c r="H1443" s="8" t="s">
        <v>12</v>
      </c>
    </row>
    <row r="1444">
      <c r="A1444" s="10">
        <v>44880.0</v>
      </c>
      <c r="B1444" s="8" t="s">
        <v>49</v>
      </c>
      <c r="C1444" s="21" t="s">
        <v>18</v>
      </c>
      <c r="D1444" s="6" t="s">
        <v>14</v>
      </c>
      <c r="E1444" s="6" t="s">
        <v>35</v>
      </c>
      <c r="F1444" s="7">
        <v>119.66</v>
      </c>
      <c r="G1444" s="6" t="s">
        <v>12</v>
      </c>
      <c r="H1444" s="8" t="s">
        <v>12</v>
      </c>
    </row>
    <row r="1445">
      <c r="A1445" s="10">
        <v>44881.0</v>
      </c>
      <c r="B1445" s="8" t="s">
        <v>49</v>
      </c>
      <c r="C1445" s="21" t="s">
        <v>20</v>
      </c>
      <c r="D1445" s="6" t="s">
        <v>10</v>
      </c>
      <c r="E1445" s="6" t="s">
        <v>42</v>
      </c>
      <c r="F1445" s="7">
        <v>87.47</v>
      </c>
      <c r="G1445" s="6" t="s">
        <v>12</v>
      </c>
      <c r="H1445" s="8" t="s">
        <v>12</v>
      </c>
    </row>
    <row r="1446">
      <c r="A1446" s="10">
        <v>44881.0</v>
      </c>
      <c r="B1446" s="8" t="s">
        <v>49</v>
      </c>
      <c r="C1446" s="21" t="s">
        <v>20</v>
      </c>
      <c r="D1446" s="6" t="s">
        <v>14</v>
      </c>
      <c r="E1446" s="6" t="s">
        <v>42</v>
      </c>
      <c r="F1446" s="7">
        <v>62.24</v>
      </c>
      <c r="G1446" s="6" t="s">
        <v>12</v>
      </c>
      <c r="H1446" s="8" t="s">
        <v>12</v>
      </c>
    </row>
    <row r="1447">
      <c r="A1447" s="10">
        <v>44881.0</v>
      </c>
      <c r="B1447" s="8" t="s">
        <v>49</v>
      </c>
      <c r="C1447" s="21" t="s">
        <v>20</v>
      </c>
      <c r="D1447" s="6" t="s">
        <v>14</v>
      </c>
      <c r="E1447" s="6" t="s">
        <v>45</v>
      </c>
      <c r="F1447" s="7">
        <v>62.24</v>
      </c>
      <c r="G1447" s="6" t="s">
        <v>12</v>
      </c>
      <c r="H1447" s="8" t="s">
        <v>12</v>
      </c>
    </row>
    <row r="1448">
      <c r="A1448" s="10">
        <v>44882.0</v>
      </c>
      <c r="B1448" s="8" t="s">
        <v>49</v>
      </c>
      <c r="C1448" s="21" t="s">
        <v>21</v>
      </c>
      <c r="D1448" s="6" t="s">
        <v>10</v>
      </c>
      <c r="E1448" s="6" t="s">
        <v>31</v>
      </c>
      <c r="F1448" s="7">
        <v>19.93</v>
      </c>
      <c r="G1448" s="6" t="s">
        <v>12</v>
      </c>
      <c r="H1448" s="8" t="s">
        <v>12</v>
      </c>
    </row>
    <row r="1449">
      <c r="A1449" s="10">
        <v>44882.0</v>
      </c>
      <c r="B1449" s="8" t="s">
        <v>49</v>
      </c>
      <c r="C1449" s="21" t="s">
        <v>21</v>
      </c>
      <c r="D1449" s="6" t="s">
        <v>14</v>
      </c>
      <c r="E1449" s="6" t="s">
        <v>19</v>
      </c>
      <c r="F1449" s="7">
        <v>88.58</v>
      </c>
      <c r="G1449" s="6" t="s">
        <v>12</v>
      </c>
      <c r="H1449" s="8" t="s">
        <v>12</v>
      </c>
    </row>
    <row r="1450">
      <c r="A1450" s="10">
        <v>44882.0</v>
      </c>
      <c r="B1450" s="8" t="s">
        <v>49</v>
      </c>
      <c r="C1450" s="21" t="s">
        <v>21</v>
      </c>
      <c r="D1450" s="6" t="s">
        <v>14</v>
      </c>
      <c r="E1450" s="6" t="s">
        <v>35</v>
      </c>
      <c r="F1450" s="7">
        <v>68.9</v>
      </c>
      <c r="G1450" s="6" t="s">
        <v>12</v>
      </c>
      <c r="H1450" s="8" t="s">
        <v>12</v>
      </c>
    </row>
    <row r="1451">
      <c r="A1451" s="10">
        <v>44882.0</v>
      </c>
      <c r="B1451" s="8" t="s">
        <v>49</v>
      </c>
      <c r="C1451" s="21" t="s">
        <v>21</v>
      </c>
      <c r="D1451" s="6" t="s">
        <v>14</v>
      </c>
      <c r="E1451" s="6" t="s">
        <v>51</v>
      </c>
      <c r="F1451" s="7">
        <v>0.0</v>
      </c>
      <c r="G1451" s="6" t="s">
        <v>26</v>
      </c>
      <c r="H1451" s="8" t="s">
        <v>12</v>
      </c>
    </row>
    <row r="1452">
      <c r="A1452" s="10">
        <v>44883.0</v>
      </c>
      <c r="B1452" s="8" t="s">
        <v>49</v>
      </c>
      <c r="C1452" s="21" t="s">
        <v>22</v>
      </c>
      <c r="D1452" s="6" t="s">
        <v>10</v>
      </c>
      <c r="E1452" s="6" t="s">
        <v>31</v>
      </c>
      <c r="F1452" s="7">
        <v>127.32</v>
      </c>
      <c r="G1452" s="6" t="s">
        <v>12</v>
      </c>
      <c r="H1452" s="8" t="s">
        <v>12</v>
      </c>
    </row>
    <row r="1453">
      <c r="A1453" s="10">
        <v>44883.0</v>
      </c>
      <c r="B1453" s="8" t="s">
        <v>49</v>
      </c>
      <c r="C1453" s="21" t="s">
        <v>22</v>
      </c>
      <c r="D1453" s="6" t="s">
        <v>10</v>
      </c>
      <c r="E1453" s="6" t="s">
        <v>51</v>
      </c>
      <c r="F1453" s="7">
        <v>0.0</v>
      </c>
      <c r="G1453" s="6" t="s">
        <v>26</v>
      </c>
      <c r="H1453" s="8" t="s">
        <v>12</v>
      </c>
    </row>
    <row r="1454">
      <c r="A1454" s="10">
        <v>44883.0</v>
      </c>
      <c r="B1454" s="8" t="s">
        <v>49</v>
      </c>
      <c r="C1454" s="21" t="s">
        <v>22</v>
      </c>
      <c r="D1454" s="6" t="s">
        <v>14</v>
      </c>
      <c r="E1454" s="6" t="s">
        <v>31</v>
      </c>
      <c r="F1454" s="7">
        <v>108.68</v>
      </c>
      <c r="G1454" s="6" t="s">
        <v>12</v>
      </c>
      <c r="H1454" s="8" t="s">
        <v>12</v>
      </c>
    </row>
    <row r="1455">
      <c r="A1455" s="10">
        <v>44883.0</v>
      </c>
      <c r="B1455" s="8" t="s">
        <v>49</v>
      </c>
      <c r="C1455" s="21" t="s">
        <v>22</v>
      </c>
      <c r="D1455" s="6" t="s">
        <v>14</v>
      </c>
      <c r="E1455" s="6" t="s">
        <v>51</v>
      </c>
      <c r="F1455" s="7">
        <v>0.0</v>
      </c>
      <c r="G1455" s="6" t="s">
        <v>26</v>
      </c>
      <c r="H1455" s="8" t="s">
        <v>12</v>
      </c>
    </row>
    <row r="1456">
      <c r="A1456" s="10">
        <v>44883.0</v>
      </c>
      <c r="B1456" s="8" t="s">
        <v>49</v>
      </c>
      <c r="C1456" s="21" t="s">
        <v>22</v>
      </c>
      <c r="D1456" s="6" t="s">
        <v>14</v>
      </c>
      <c r="E1456" s="6" t="s">
        <v>42</v>
      </c>
      <c r="F1456" s="7">
        <v>96.61</v>
      </c>
      <c r="G1456" s="6" t="s">
        <v>12</v>
      </c>
      <c r="H1456" s="8" t="s">
        <v>12</v>
      </c>
    </row>
    <row r="1457">
      <c r="A1457" s="10">
        <v>44884.0</v>
      </c>
      <c r="B1457" s="8" t="s">
        <v>49</v>
      </c>
      <c r="C1457" s="21" t="s">
        <v>23</v>
      </c>
      <c r="D1457" s="6" t="s">
        <v>10</v>
      </c>
      <c r="E1457" s="6" t="s">
        <v>31</v>
      </c>
      <c r="F1457" s="7">
        <v>135.6</v>
      </c>
      <c r="G1457" s="6" t="s">
        <v>12</v>
      </c>
      <c r="H1457" s="8" t="s">
        <v>12</v>
      </c>
    </row>
    <row r="1458">
      <c r="A1458" s="10">
        <v>44884.0</v>
      </c>
      <c r="B1458" s="8" t="s">
        <v>49</v>
      </c>
      <c r="C1458" s="21" t="s">
        <v>23</v>
      </c>
      <c r="D1458" s="6" t="s">
        <v>10</v>
      </c>
      <c r="E1458" s="6" t="s">
        <v>47</v>
      </c>
      <c r="F1458" s="7">
        <v>58.12</v>
      </c>
      <c r="G1458" s="6" t="s">
        <v>12</v>
      </c>
      <c r="H1458" s="8" t="s">
        <v>12</v>
      </c>
    </row>
    <row r="1459">
      <c r="A1459" s="10">
        <v>44884.0</v>
      </c>
      <c r="B1459" s="8" t="s">
        <v>49</v>
      </c>
      <c r="C1459" s="21" t="s">
        <v>23</v>
      </c>
      <c r="D1459" s="6" t="s">
        <v>14</v>
      </c>
      <c r="E1459" s="6" t="s">
        <v>31</v>
      </c>
      <c r="F1459" s="7">
        <v>37.56</v>
      </c>
      <c r="G1459" s="6" t="s">
        <v>12</v>
      </c>
      <c r="H1459" s="8" t="s">
        <v>12</v>
      </c>
    </row>
    <row r="1460">
      <c r="A1460" s="10">
        <v>44884.0</v>
      </c>
      <c r="B1460" s="8" t="s">
        <v>49</v>
      </c>
      <c r="C1460" s="21" t="s">
        <v>23</v>
      </c>
      <c r="D1460" s="6" t="s">
        <v>14</v>
      </c>
      <c r="E1460" s="6" t="s">
        <v>19</v>
      </c>
      <c r="F1460" s="7">
        <v>43.82</v>
      </c>
      <c r="G1460" s="6" t="s">
        <v>12</v>
      </c>
      <c r="H1460" s="8" t="s">
        <v>12</v>
      </c>
    </row>
    <row r="1461">
      <c r="A1461" s="10">
        <v>44884.0</v>
      </c>
      <c r="B1461" s="8" t="s">
        <v>49</v>
      </c>
      <c r="C1461" s="21" t="s">
        <v>23</v>
      </c>
      <c r="D1461" s="6" t="s">
        <v>14</v>
      </c>
      <c r="E1461" s="6" t="s">
        <v>42</v>
      </c>
      <c r="F1461" s="7">
        <v>56.34</v>
      </c>
      <c r="G1461" s="6" t="s">
        <v>12</v>
      </c>
      <c r="H1461" s="8" t="s">
        <v>12</v>
      </c>
    </row>
    <row r="1462">
      <c r="A1462" s="10">
        <v>44885.0</v>
      </c>
      <c r="B1462" s="8" t="s">
        <v>49</v>
      </c>
      <c r="C1462" s="21" t="s">
        <v>9</v>
      </c>
      <c r="D1462" s="6" t="s">
        <v>10</v>
      </c>
      <c r="E1462" s="6" t="s">
        <v>31</v>
      </c>
      <c r="F1462" s="7">
        <v>105.5</v>
      </c>
      <c r="G1462" s="6" t="s">
        <v>12</v>
      </c>
      <c r="H1462" s="8" t="s">
        <v>12</v>
      </c>
    </row>
    <row r="1463">
      <c r="A1463" s="10">
        <v>44885.0</v>
      </c>
      <c r="B1463" s="8" t="s">
        <v>49</v>
      </c>
      <c r="C1463" s="21" t="s">
        <v>9</v>
      </c>
      <c r="D1463" s="6" t="s">
        <v>10</v>
      </c>
      <c r="E1463" s="6" t="s">
        <v>19</v>
      </c>
      <c r="F1463" s="7">
        <v>117.23</v>
      </c>
      <c r="G1463" s="6" t="s">
        <v>12</v>
      </c>
      <c r="H1463" s="8" t="s">
        <v>12</v>
      </c>
    </row>
    <row r="1464">
      <c r="A1464" s="10">
        <v>44885.0</v>
      </c>
      <c r="B1464" s="8" t="s">
        <v>49</v>
      </c>
      <c r="C1464" s="21" t="s">
        <v>9</v>
      </c>
      <c r="D1464" s="6" t="s">
        <v>10</v>
      </c>
      <c r="E1464" s="6" t="s">
        <v>51</v>
      </c>
      <c r="F1464" s="7">
        <v>0.0</v>
      </c>
      <c r="G1464" s="6" t="s">
        <v>26</v>
      </c>
      <c r="H1464" s="8" t="s">
        <v>12</v>
      </c>
    </row>
    <row r="1465">
      <c r="A1465" s="10">
        <v>44885.0</v>
      </c>
      <c r="B1465" s="8" t="s">
        <v>49</v>
      </c>
      <c r="C1465" s="21" t="s">
        <v>9</v>
      </c>
      <c r="D1465" s="6" t="s">
        <v>14</v>
      </c>
      <c r="E1465" s="6" t="s">
        <v>35</v>
      </c>
      <c r="F1465" s="7">
        <v>44.35</v>
      </c>
      <c r="G1465" s="6" t="s">
        <v>12</v>
      </c>
      <c r="H1465" s="8" t="s">
        <v>12</v>
      </c>
    </row>
    <row r="1466">
      <c r="A1466" s="10">
        <v>44885.0</v>
      </c>
      <c r="B1466" s="8" t="s">
        <v>49</v>
      </c>
      <c r="C1466" s="21" t="s">
        <v>9</v>
      </c>
      <c r="D1466" s="6" t="s">
        <v>14</v>
      </c>
      <c r="E1466" s="6" t="s">
        <v>47</v>
      </c>
      <c r="F1466" s="7">
        <v>49.89</v>
      </c>
      <c r="G1466" s="6" t="s">
        <v>12</v>
      </c>
      <c r="H1466" s="8" t="s">
        <v>12</v>
      </c>
    </row>
    <row r="1467">
      <c r="A1467" s="10">
        <v>44885.0</v>
      </c>
      <c r="B1467" s="8" t="s">
        <v>49</v>
      </c>
      <c r="C1467" s="21" t="s">
        <v>9</v>
      </c>
      <c r="D1467" s="6" t="s">
        <v>14</v>
      </c>
      <c r="E1467" s="6" t="s">
        <v>42</v>
      </c>
      <c r="F1467" s="7">
        <v>49.89</v>
      </c>
      <c r="G1467" s="6" t="s">
        <v>12</v>
      </c>
      <c r="H1467" s="8" t="s">
        <v>12</v>
      </c>
    </row>
    <row r="1468">
      <c r="A1468" s="10">
        <v>44886.0</v>
      </c>
      <c r="B1468" s="8" t="s">
        <v>49</v>
      </c>
      <c r="C1468" s="21" t="s">
        <v>16</v>
      </c>
      <c r="D1468" s="6" t="s">
        <v>10</v>
      </c>
      <c r="E1468" s="6" t="s">
        <v>34</v>
      </c>
      <c r="F1468" s="7">
        <v>167.48</v>
      </c>
      <c r="G1468" s="6" t="s">
        <v>12</v>
      </c>
      <c r="H1468" s="8" t="s">
        <v>12</v>
      </c>
    </row>
    <row r="1469">
      <c r="A1469" s="10">
        <v>44886.0</v>
      </c>
      <c r="B1469" s="8" t="s">
        <v>49</v>
      </c>
      <c r="C1469" s="21" t="s">
        <v>16</v>
      </c>
      <c r="D1469" s="6" t="s">
        <v>14</v>
      </c>
      <c r="E1469" s="6" t="s">
        <v>34</v>
      </c>
      <c r="F1469" s="7">
        <v>86.44</v>
      </c>
      <c r="G1469" s="6" t="s">
        <v>12</v>
      </c>
      <c r="H1469" s="8" t="s">
        <v>12</v>
      </c>
    </row>
    <row r="1470">
      <c r="A1470" s="10">
        <v>44886.0</v>
      </c>
      <c r="B1470" s="8" t="s">
        <v>49</v>
      </c>
      <c r="C1470" s="21" t="s">
        <v>16</v>
      </c>
      <c r="D1470" s="6" t="s">
        <v>14</v>
      </c>
      <c r="E1470" s="6" t="s">
        <v>42</v>
      </c>
      <c r="F1470" s="7">
        <v>86.44</v>
      </c>
      <c r="G1470" s="6" t="s">
        <v>12</v>
      </c>
      <c r="H1470" s="8" t="s">
        <v>12</v>
      </c>
    </row>
    <row r="1471">
      <c r="A1471" s="10">
        <v>44887.0</v>
      </c>
      <c r="B1471" s="8" t="s">
        <v>49</v>
      </c>
      <c r="C1471" s="21" t="s">
        <v>18</v>
      </c>
      <c r="D1471" s="6" t="s">
        <v>10</v>
      </c>
      <c r="E1471" s="6" t="s">
        <v>34</v>
      </c>
      <c r="F1471" s="7">
        <v>77.69</v>
      </c>
      <c r="G1471" s="6" t="s">
        <v>12</v>
      </c>
      <c r="H1471" s="8" t="s">
        <v>12</v>
      </c>
    </row>
    <row r="1472">
      <c r="A1472" s="10">
        <v>44887.0</v>
      </c>
      <c r="B1472" s="8" t="s">
        <v>49</v>
      </c>
      <c r="C1472" s="21" t="s">
        <v>18</v>
      </c>
      <c r="D1472" s="6" t="s">
        <v>14</v>
      </c>
      <c r="E1472" s="6" t="s">
        <v>34</v>
      </c>
      <c r="F1472" s="7">
        <v>115.88</v>
      </c>
      <c r="G1472" s="6" t="s">
        <v>12</v>
      </c>
      <c r="H1472" s="8" t="s">
        <v>12</v>
      </c>
    </row>
    <row r="1473">
      <c r="A1473" s="10">
        <v>44887.0</v>
      </c>
      <c r="B1473" s="8" t="s">
        <v>49</v>
      </c>
      <c r="C1473" s="21" t="s">
        <v>18</v>
      </c>
      <c r="D1473" s="6" t="s">
        <v>14</v>
      </c>
      <c r="E1473" s="6" t="s">
        <v>19</v>
      </c>
      <c r="F1473" s="7">
        <v>115.88</v>
      </c>
      <c r="G1473" s="6" t="s">
        <v>12</v>
      </c>
      <c r="H1473" s="8" t="s">
        <v>12</v>
      </c>
    </row>
    <row r="1474">
      <c r="A1474" s="10">
        <v>44888.0</v>
      </c>
      <c r="B1474" s="8" t="s">
        <v>49</v>
      </c>
      <c r="C1474" s="21" t="s">
        <v>20</v>
      </c>
      <c r="D1474" s="6" t="s">
        <v>10</v>
      </c>
      <c r="E1474" s="6" t="s">
        <v>34</v>
      </c>
      <c r="F1474" s="7">
        <v>110.61</v>
      </c>
      <c r="G1474" s="6" t="s">
        <v>12</v>
      </c>
      <c r="H1474" s="8" t="s">
        <v>12</v>
      </c>
    </row>
    <row r="1475">
      <c r="A1475" s="10">
        <v>44888.0</v>
      </c>
      <c r="B1475" s="8" t="s">
        <v>49</v>
      </c>
      <c r="C1475" s="21" t="s">
        <v>20</v>
      </c>
      <c r="D1475" s="6" t="s">
        <v>14</v>
      </c>
      <c r="E1475" s="6" t="s">
        <v>47</v>
      </c>
      <c r="F1475" s="7">
        <v>41.51</v>
      </c>
      <c r="G1475" s="6" t="s">
        <v>12</v>
      </c>
      <c r="H1475" s="8" t="s">
        <v>12</v>
      </c>
    </row>
    <row r="1476">
      <c r="A1476" s="10">
        <v>44888.0</v>
      </c>
      <c r="B1476" s="8" t="s">
        <v>49</v>
      </c>
      <c r="C1476" s="21" t="s">
        <v>20</v>
      </c>
      <c r="D1476" s="6" t="s">
        <v>14</v>
      </c>
      <c r="E1476" s="6" t="s">
        <v>19</v>
      </c>
      <c r="F1476" s="7">
        <v>58.12</v>
      </c>
      <c r="G1476" s="6" t="s">
        <v>12</v>
      </c>
      <c r="H1476" s="8" t="s">
        <v>12</v>
      </c>
    </row>
    <row r="1477">
      <c r="A1477" s="10">
        <v>44890.0</v>
      </c>
      <c r="B1477" s="8" t="s">
        <v>49</v>
      </c>
      <c r="C1477" s="21" t="s">
        <v>22</v>
      </c>
      <c r="D1477" s="6" t="s">
        <v>10</v>
      </c>
      <c r="E1477" s="6" t="s">
        <v>31</v>
      </c>
      <c r="F1477" s="7">
        <v>100.57</v>
      </c>
      <c r="G1477" s="6" t="s">
        <v>12</v>
      </c>
      <c r="H1477" s="8" t="s">
        <v>12</v>
      </c>
    </row>
    <row r="1478">
      <c r="A1478" s="10">
        <v>44890.0</v>
      </c>
      <c r="B1478" s="8" t="s">
        <v>49</v>
      </c>
      <c r="C1478" s="21" t="s">
        <v>22</v>
      </c>
      <c r="D1478" s="6" t="s">
        <v>14</v>
      </c>
      <c r="E1478" s="6" t="s">
        <v>31</v>
      </c>
      <c r="F1478" s="7">
        <v>73.38</v>
      </c>
      <c r="G1478" s="6" t="s">
        <v>12</v>
      </c>
      <c r="H1478" s="8" t="s">
        <v>12</v>
      </c>
    </row>
    <row r="1479">
      <c r="A1479" s="10">
        <v>44890.0</v>
      </c>
      <c r="B1479" s="8" t="s">
        <v>49</v>
      </c>
      <c r="C1479" s="21" t="s">
        <v>22</v>
      </c>
      <c r="D1479" s="6" t="s">
        <v>14</v>
      </c>
      <c r="E1479" s="6" t="s">
        <v>19</v>
      </c>
      <c r="F1479" s="7">
        <v>94.35</v>
      </c>
      <c r="G1479" s="6" t="s">
        <v>12</v>
      </c>
      <c r="H1479" s="8" t="s">
        <v>12</v>
      </c>
    </row>
    <row r="1480">
      <c r="A1480" s="10">
        <v>44890.0</v>
      </c>
      <c r="B1480" s="8" t="s">
        <v>49</v>
      </c>
      <c r="C1480" s="21" t="s">
        <v>22</v>
      </c>
      <c r="D1480" s="6" t="s">
        <v>14</v>
      </c>
      <c r="E1480" s="6" t="s">
        <v>52</v>
      </c>
      <c r="F1480" s="7">
        <v>0.0</v>
      </c>
      <c r="G1480" s="6" t="s">
        <v>26</v>
      </c>
      <c r="H1480" s="8" t="s">
        <v>12</v>
      </c>
    </row>
    <row r="1481">
      <c r="A1481" s="10">
        <v>44891.0</v>
      </c>
      <c r="B1481" s="8" t="s">
        <v>49</v>
      </c>
      <c r="C1481" s="21" t="s">
        <v>23</v>
      </c>
      <c r="D1481" s="6" t="s">
        <v>10</v>
      </c>
      <c r="E1481" s="6" t="s">
        <v>31</v>
      </c>
      <c r="F1481" s="7">
        <v>141.02</v>
      </c>
      <c r="G1481" s="6" t="s">
        <v>12</v>
      </c>
      <c r="H1481" s="8" t="s">
        <v>12</v>
      </c>
    </row>
    <row r="1482">
      <c r="A1482" s="10">
        <v>44891.0</v>
      </c>
      <c r="B1482" s="8" t="s">
        <v>49</v>
      </c>
      <c r="C1482" s="21" t="s">
        <v>23</v>
      </c>
      <c r="D1482" s="6" t="s">
        <v>10</v>
      </c>
      <c r="E1482" s="6" t="s">
        <v>47</v>
      </c>
      <c r="F1482" s="7">
        <v>60.44</v>
      </c>
      <c r="G1482" s="6" t="s">
        <v>12</v>
      </c>
      <c r="H1482" s="8" t="s">
        <v>12</v>
      </c>
    </row>
    <row r="1483">
      <c r="A1483" s="10">
        <v>44891.0</v>
      </c>
      <c r="B1483" s="8" t="s">
        <v>49</v>
      </c>
      <c r="C1483" s="21" t="s">
        <v>23</v>
      </c>
      <c r="D1483" s="6" t="s">
        <v>14</v>
      </c>
      <c r="E1483" s="6" t="s">
        <v>19</v>
      </c>
      <c r="F1483" s="7">
        <v>56.27</v>
      </c>
      <c r="G1483" s="6" t="s">
        <v>12</v>
      </c>
      <c r="H1483" s="8" t="s">
        <v>12</v>
      </c>
    </row>
    <row r="1484">
      <c r="A1484" s="10">
        <v>44891.0</v>
      </c>
      <c r="B1484" s="8" t="s">
        <v>49</v>
      </c>
      <c r="C1484" s="21" t="s">
        <v>23</v>
      </c>
      <c r="D1484" s="6" t="s">
        <v>14</v>
      </c>
      <c r="E1484" s="6" t="s">
        <v>31</v>
      </c>
      <c r="F1484" s="7">
        <v>12.5</v>
      </c>
      <c r="G1484" s="6" t="s">
        <v>12</v>
      </c>
      <c r="H1484" s="8" t="s">
        <v>12</v>
      </c>
    </row>
    <row r="1485">
      <c r="A1485" s="10">
        <v>44891.0</v>
      </c>
      <c r="B1485" s="8" t="s">
        <v>49</v>
      </c>
      <c r="C1485" s="21" t="s">
        <v>23</v>
      </c>
      <c r="D1485" s="6" t="s">
        <v>14</v>
      </c>
      <c r="E1485" s="6" t="s">
        <v>52</v>
      </c>
      <c r="F1485" s="7">
        <v>0.0</v>
      </c>
      <c r="G1485" s="6" t="s">
        <v>26</v>
      </c>
      <c r="H1485" s="8" t="s">
        <v>12</v>
      </c>
    </row>
    <row r="1486">
      <c r="A1486" s="10">
        <v>44892.0</v>
      </c>
      <c r="B1486" s="8" t="s">
        <v>49</v>
      </c>
      <c r="C1486" s="21" t="s">
        <v>9</v>
      </c>
      <c r="D1486" s="6" t="s">
        <v>10</v>
      </c>
      <c r="E1486" s="6" t="s">
        <v>31</v>
      </c>
      <c r="F1486" s="7">
        <v>54.46</v>
      </c>
      <c r="G1486" s="6" t="s">
        <v>12</v>
      </c>
      <c r="H1486" s="8" t="s">
        <v>12</v>
      </c>
    </row>
    <row r="1487">
      <c r="A1487" s="10">
        <v>44892.0</v>
      </c>
      <c r="B1487" s="8" t="s">
        <v>49</v>
      </c>
      <c r="C1487" s="21" t="s">
        <v>9</v>
      </c>
      <c r="D1487" s="6" t="s">
        <v>10</v>
      </c>
      <c r="E1487" s="6" t="s">
        <v>19</v>
      </c>
      <c r="F1487" s="7">
        <v>54.46</v>
      </c>
      <c r="G1487" s="6" t="s">
        <v>12</v>
      </c>
      <c r="H1487" s="8" t="s">
        <v>12</v>
      </c>
    </row>
    <row r="1488">
      <c r="A1488" s="10">
        <v>44892.0</v>
      </c>
      <c r="B1488" s="8" t="s">
        <v>49</v>
      </c>
      <c r="C1488" s="21" t="s">
        <v>9</v>
      </c>
      <c r="D1488" s="6" t="s">
        <v>10</v>
      </c>
      <c r="E1488" s="6" t="s">
        <v>53</v>
      </c>
      <c r="F1488" s="7">
        <v>0.0</v>
      </c>
      <c r="G1488" s="6" t="s">
        <v>26</v>
      </c>
      <c r="H1488" s="8" t="s">
        <v>12</v>
      </c>
    </row>
    <row r="1489">
      <c r="A1489" s="10">
        <v>44892.0</v>
      </c>
      <c r="B1489" s="8" t="s">
        <v>49</v>
      </c>
      <c r="C1489" s="21" t="s">
        <v>9</v>
      </c>
      <c r="D1489" s="6" t="s">
        <v>14</v>
      </c>
      <c r="E1489" s="6" t="s">
        <v>19</v>
      </c>
      <c r="F1489" s="7">
        <v>14.48</v>
      </c>
      <c r="G1489" s="6" t="s">
        <v>12</v>
      </c>
      <c r="H1489" s="8" t="s">
        <v>12</v>
      </c>
    </row>
    <row r="1490">
      <c r="A1490" s="10">
        <v>44892.0</v>
      </c>
      <c r="B1490" s="8" t="s">
        <v>49</v>
      </c>
      <c r="C1490" s="21" t="s">
        <v>9</v>
      </c>
      <c r="D1490" s="6" t="s">
        <v>14</v>
      </c>
      <c r="E1490" s="6" t="s">
        <v>31</v>
      </c>
      <c r="F1490" s="7">
        <v>33.79</v>
      </c>
      <c r="G1490" s="6" t="s">
        <v>12</v>
      </c>
      <c r="H1490" s="8" t="s">
        <v>12</v>
      </c>
    </row>
    <row r="1491">
      <c r="A1491" s="10">
        <v>44892.0</v>
      </c>
      <c r="B1491" s="8" t="s">
        <v>49</v>
      </c>
      <c r="C1491" s="21" t="s">
        <v>9</v>
      </c>
      <c r="D1491" s="6" t="s">
        <v>14</v>
      </c>
      <c r="E1491" s="6" t="s">
        <v>52</v>
      </c>
      <c r="F1491" s="7">
        <v>0.0</v>
      </c>
      <c r="G1491" s="6" t="s">
        <v>26</v>
      </c>
      <c r="H1491" s="8" t="s">
        <v>12</v>
      </c>
    </row>
    <row r="1492">
      <c r="A1492" s="10">
        <v>44893.0</v>
      </c>
      <c r="B1492" s="8" t="s">
        <v>49</v>
      </c>
      <c r="C1492" s="21" t="s">
        <v>16</v>
      </c>
      <c r="D1492" s="6" t="s">
        <v>10</v>
      </c>
      <c r="E1492" s="6" t="s">
        <v>34</v>
      </c>
      <c r="F1492" s="7">
        <v>85.92</v>
      </c>
      <c r="G1492" s="6" t="s">
        <v>12</v>
      </c>
      <c r="H1492" s="8" t="s">
        <v>12</v>
      </c>
    </row>
    <row r="1493">
      <c r="A1493" s="10">
        <v>44893.0</v>
      </c>
      <c r="B1493" s="8" t="s">
        <v>49</v>
      </c>
      <c r="C1493" s="21" t="s">
        <v>16</v>
      </c>
      <c r="D1493" s="6" t="s">
        <v>14</v>
      </c>
      <c r="E1493" s="6" t="s">
        <v>34</v>
      </c>
      <c r="F1493" s="7">
        <v>86.58</v>
      </c>
      <c r="G1493" s="6" t="s">
        <v>12</v>
      </c>
      <c r="H1493" s="8" t="s">
        <v>12</v>
      </c>
    </row>
    <row r="1494">
      <c r="A1494" s="10">
        <v>44893.0</v>
      </c>
      <c r="B1494" s="8" t="s">
        <v>49</v>
      </c>
      <c r="C1494" s="21" t="s">
        <v>16</v>
      </c>
      <c r="D1494" s="6" t="s">
        <v>14</v>
      </c>
      <c r="E1494" s="6" t="s">
        <v>47</v>
      </c>
      <c r="F1494" s="7">
        <v>38.48</v>
      </c>
      <c r="G1494" s="6" t="s">
        <v>12</v>
      </c>
      <c r="H1494" s="8" t="s">
        <v>12</v>
      </c>
    </row>
    <row r="1495">
      <c r="A1495" s="10">
        <v>44893.0</v>
      </c>
      <c r="B1495" s="8" t="s">
        <v>49</v>
      </c>
      <c r="C1495" s="21" t="s">
        <v>16</v>
      </c>
      <c r="D1495" s="6" t="s">
        <v>14</v>
      </c>
      <c r="E1495" s="6" t="s">
        <v>19</v>
      </c>
      <c r="F1495" s="7">
        <v>48.1</v>
      </c>
      <c r="G1495" s="6" t="s">
        <v>12</v>
      </c>
      <c r="H1495" s="8" t="s">
        <v>12</v>
      </c>
    </row>
    <row r="1496">
      <c r="A1496" s="10">
        <v>44894.0</v>
      </c>
      <c r="B1496" s="8" t="s">
        <v>49</v>
      </c>
      <c r="C1496" s="21" t="s">
        <v>18</v>
      </c>
      <c r="D1496" s="6" t="s">
        <v>10</v>
      </c>
      <c r="E1496" s="6" t="s">
        <v>34</v>
      </c>
      <c r="F1496" s="7">
        <v>98.17</v>
      </c>
      <c r="G1496" s="6" t="s">
        <v>12</v>
      </c>
      <c r="H1496" s="8" t="s">
        <v>12</v>
      </c>
    </row>
    <row r="1497">
      <c r="A1497" s="10">
        <v>44894.0</v>
      </c>
      <c r="B1497" s="8" t="s">
        <v>49</v>
      </c>
      <c r="C1497" s="21" t="s">
        <v>18</v>
      </c>
      <c r="D1497" s="6" t="s">
        <v>14</v>
      </c>
      <c r="E1497" s="6" t="s">
        <v>34</v>
      </c>
      <c r="F1497" s="7">
        <v>17.58</v>
      </c>
      <c r="G1497" s="6" t="s">
        <v>12</v>
      </c>
      <c r="H1497" s="8" t="s">
        <v>12</v>
      </c>
    </row>
    <row r="1498">
      <c r="A1498" s="10">
        <v>44894.0</v>
      </c>
      <c r="B1498" s="8" t="s">
        <v>49</v>
      </c>
      <c r="C1498" s="21" t="s">
        <v>18</v>
      </c>
      <c r="D1498" s="6" t="s">
        <v>14</v>
      </c>
      <c r="E1498" s="6" t="s">
        <v>19</v>
      </c>
      <c r="F1498" s="7">
        <v>46.88</v>
      </c>
      <c r="G1498" s="6" t="s">
        <v>12</v>
      </c>
      <c r="H1498" s="8" t="s">
        <v>12</v>
      </c>
    </row>
    <row r="1499">
      <c r="A1499" s="10">
        <v>44894.0</v>
      </c>
      <c r="B1499" s="8" t="s">
        <v>49</v>
      </c>
      <c r="C1499" s="21" t="s">
        <v>18</v>
      </c>
      <c r="D1499" s="6" t="s">
        <v>14</v>
      </c>
      <c r="E1499" s="6" t="s">
        <v>52</v>
      </c>
      <c r="F1499" s="7">
        <v>52.74</v>
      </c>
      <c r="G1499" s="6" t="s">
        <v>12</v>
      </c>
      <c r="H1499" s="8" t="s">
        <v>12</v>
      </c>
    </row>
    <row r="1500">
      <c r="A1500" s="10">
        <v>44895.0</v>
      </c>
      <c r="B1500" s="8" t="s">
        <v>49</v>
      </c>
      <c r="C1500" s="21" t="s">
        <v>20</v>
      </c>
      <c r="D1500" s="6" t="s">
        <v>10</v>
      </c>
      <c r="E1500" s="6" t="s">
        <v>34</v>
      </c>
      <c r="F1500" s="7">
        <v>88.99</v>
      </c>
      <c r="G1500" s="6" t="s">
        <v>12</v>
      </c>
      <c r="H1500" s="8" t="s">
        <v>12</v>
      </c>
    </row>
    <row r="1501">
      <c r="A1501" s="10">
        <v>44895.0</v>
      </c>
      <c r="B1501" s="8" t="s">
        <v>49</v>
      </c>
      <c r="C1501" s="21" t="s">
        <v>20</v>
      </c>
      <c r="D1501" s="6" t="s">
        <v>14</v>
      </c>
      <c r="E1501" s="6" t="s">
        <v>19</v>
      </c>
      <c r="F1501" s="7">
        <v>42.65</v>
      </c>
      <c r="G1501" s="6" t="s">
        <v>12</v>
      </c>
      <c r="H1501" s="8" t="s">
        <v>12</v>
      </c>
    </row>
    <row r="1502">
      <c r="A1502" s="10">
        <v>44895.0</v>
      </c>
      <c r="B1502" s="8" t="s">
        <v>49</v>
      </c>
      <c r="C1502" s="21" t="s">
        <v>20</v>
      </c>
      <c r="D1502" s="6" t="s">
        <v>14</v>
      </c>
      <c r="E1502" s="6" t="s">
        <v>53</v>
      </c>
      <c r="F1502" s="7">
        <v>0.0</v>
      </c>
      <c r="G1502" s="6" t="s">
        <v>26</v>
      </c>
      <c r="H1502" s="8" t="s">
        <v>12</v>
      </c>
    </row>
    <row r="1503">
      <c r="A1503" s="10">
        <v>44895.0</v>
      </c>
      <c r="B1503" s="8" t="s">
        <v>49</v>
      </c>
      <c r="C1503" s="21" t="s">
        <v>20</v>
      </c>
      <c r="D1503" s="6" t="s">
        <v>14</v>
      </c>
      <c r="E1503" s="6" t="s">
        <v>47</v>
      </c>
      <c r="F1503" s="7">
        <v>28.43</v>
      </c>
      <c r="G1503" s="6" t="s">
        <v>12</v>
      </c>
      <c r="H1503" s="8" t="s">
        <v>12</v>
      </c>
    </row>
    <row r="1504">
      <c r="A1504" s="10">
        <v>44896.0</v>
      </c>
      <c r="B1504" s="8" t="s">
        <v>54</v>
      </c>
      <c r="C1504" s="21" t="s">
        <v>21</v>
      </c>
      <c r="D1504" s="6" t="s">
        <v>10</v>
      </c>
      <c r="E1504" s="6" t="s">
        <v>31</v>
      </c>
      <c r="F1504" s="7">
        <v>45.58</v>
      </c>
      <c r="G1504" s="6" t="s">
        <v>12</v>
      </c>
      <c r="H1504" s="8" t="s">
        <v>12</v>
      </c>
    </row>
    <row r="1505">
      <c r="A1505" s="10">
        <v>44896.0</v>
      </c>
      <c r="B1505" s="8" t="s">
        <v>54</v>
      </c>
      <c r="C1505" s="21" t="s">
        <v>21</v>
      </c>
      <c r="D1505" s="6" t="s">
        <v>14</v>
      </c>
      <c r="E1505" s="6" t="s">
        <v>19</v>
      </c>
      <c r="F1505" s="7">
        <v>54.99</v>
      </c>
      <c r="G1505" s="6" t="s">
        <v>12</v>
      </c>
      <c r="H1505" s="8" t="s">
        <v>12</v>
      </c>
    </row>
    <row r="1506">
      <c r="A1506" s="10">
        <v>44896.0</v>
      </c>
      <c r="B1506" s="8" t="s">
        <v>54</v>
      </c>
      <c r="C1506" s="21" t="s">
        <v>21</v>
      </c>
      <c r="D1506" s="6" t="s">
        <v>14</v>
      </c>
      <c r="E1506" s="6" t="s">
        <v>53</v>
      </c>
      <c r="F1506" s="7">
        <v>0.0</v>
      </c>
      <c r="G1506" s="6" t="s">
        <v>26</v>
      </c>
      <c r="H1506" s="8" t="s">
        <v>12</v>
      </c>
    </row>
    <row r="1507">
      <c r="A1507" s="10">
        <v>44896.0</v>
      </c>
      <c r="B1507" s="8" t="s">
        <v>54</v>
      </c>
      <c r="C1507" s="21" t="s">
        <v>21</v>
      </c>
      <c r="D1507" s="6" t="s">
        <v>14</v>
      </c>
      <c r="E1507" s="6" t="s">
        <v>52</v>
      </c>
      <c r="F1507" s="7">
        <v>0.0</v>
      </c>
      <c r="G1507" s="6" t="s">
        <v>12</v>
      </c>
      <c r="H1507" s="8" t="s">
        <v>26</v>
      </c>
    </row>
    <row r="1508">
      <c r="A1508" s="10">
        <v>44897.0</v>
      </c>
      <c r="B1508" s="8" t="s">
        <v>54</v>
      </c>
      <c r="C1508" s="21" t="s">
        <v>22</v>
      </c>
      <c r="D1508" s="6" t="s">
        <v>10</v>
      </c>
      <c r="E1508" s="6" t="s">
        <v>31</v>
      </c>
      <c r="F1508" s="7">
        <v>85.02</v>
      </c>
      <c r="G1508" s="6" t="s">
        <v>12</v>
      </c>
      <c r="H1508" s="8" t="s">
        <v>12</v>
      </c>
    </row>
    <row r="1509">
      <c r="A1509" s="10">
        <v>44897.0</v>
      </c>
      <c r="B1509" s="8" t="s">
        <v>54</v>
      </c>
      <c r="C1509" s="21" t="s">
        <v>22</v>
      </c>
      <c r="D1509" s="6" t="s">
        <v>10</v>
      </c>
      <c r="E1509" s="6" t="s">
        <v>55</v>
      </c>
      <c r="F1509" s="7">
        <v>0.0</v>
      </c>
      <c r="G1509" s="6" t="s">
        <v>26</v>
      </c>
      <c r="H1509" s="8" t="s">
        <v>12</v>
      </c>
    </row>
    <row r="1510">
      <c r="A1510" s="10">
        <v>44897.0</v>
      </c>
      <c r="B1510" s="8" t="s">
        <v>54</v>
      </c>
      <c r="C1510" s="21" t="s">
        <v>22</v>
      </c>
      <c r="D1510" s="6" t="s">
        <v>14</v>
      </c>
      <c r="E1510" s="6" t="s">
        <v>31</v>
      </c>
      <c r="F1510" s="7">
        <v>115.1</v>
      </c>
      <c r="G1510" s="6" t="s">
        <v>12</v>
      </c>
      <c r="H1510" s="8" t="s">
        <v>12</v>
      </c>
    </row>
    <row r="1511">
      <c r="A1511" s="10">
        <v>44897.0</v>
      </c>
      <c r="B1511" s="8" t="s">
        <v>54</v>
      </c>
      <c r="C1511" s="21" t="s">
        <v>22</v>
      </c>
      <c r="D1511" s="6" t="s">
        <v>14</v>
      </c>
      <c r="E1511" s="6" t="s">
        <v>47</v>
      </c>
      <c r="F1511" s="7">
        <v>76.73</v>
      </c>
      <c r="G1511" s="6" t="s">
        <v>12</v>
      </c>
      <c r="H1511" s="8" t="s">
        <v>12</v>
      </c>
    </row>
    <row r="1512">
      <c r="A1512" s="10">
        <v>44898.0</v>
      </c>
      <c r="B1512" s="8" t="s">
        <v>54</v>
      </c>
      <c r="C1512" s="21" t="s">
        <v>23</v>
      </c>
      <c r="D1512" s="6" t="s">
        <v>10</v>
      </c>
      <c r="E1512" s="6" t="s">
        <v>31</v>
      </c>
      <c r="F1512" s="7">
        <v>70.17</v>
      </c>
      <c r="G1512" s="6" t="s">
        <v>12</v>
      </c>
      <c r="H1512" s="8" t="s">
        <v>12</v>
      </c>
    </row>
    <row r="1513">
      <c r="A1513" s="10">
        <v>44898.0</v>
      </c>
      <c r="B1513" s="8" t="s">
        <v>54</v>
      </c>
      <c r="C1513" s="21" t="s">
        <v>23</v>
      </c>
      <c r="D1513" s="6" t="s">
        <v>10</v>
      </c>
      <c r="E1513" s="6" t="s">
        <v>52</v>
      </c>
      <c r="F1513" s="7">
        <v>50.12</v>
      </c>
      <c r="G1513" s="6" t="s">
        <v>12</v>
      </c>
      <c r="H1513" s="8" t="s">
        <v>12</v>
      </c>
    </row>
    <row r="1514">
      <c r="A1514" s="10">
        <v>44898.0</v>
      </c>
      <c r="B1514" s="8" t="s">
        <v>54</v>
      </c>
      <c r="C1514" s="21" t="s">
        <v>23</v>
      </c>
      <c r="D1514" s="6" t="s">
        <v>10</v>
      </c>
      <c r="E1514" s="6" t="s">
        <v>47</v>
      </c>
      <c r="F1514" s="7">
        <v>30.07</v>
      </c>
      <c r="G1514" s="6" t="s">
        <v>12</v>
      </c>
      <c r="H1514" s="8" t="s">
        <v>12</v>
      </c>
    </row>
    <row r="1515">
      <c r="A1515" s="10">
        <v>44898.0</v>
      </c>
      <c r="B1515" s="8" t="s">
        <v>54</v>
      </c>
      <c r="C1515" s="21" t="s">
        <v>23</v>
      </c>
      <c r="D1515" s="6" t="s">
        <v>14</v>
      </c>
      <c r="E1515" s="6" t="s">
        <v>31</v>
      </c>
      <c r="F1515" s="7">
        <v>110.52</v>
      </c>
      <c r="G1515" s="6" t="s">
        <v>12</v>
      </c>
      <c r="H1515" s="8" t="s">
        <v>12</v>
      </c>
    </row>
    <row r="1516">
      <c r="A1516" s="10">
        <v>44898.0</v>
      </c>
      <c r="B1516" s="8" t="s">
        <v>54</v>
      </c>
      <c r="C1516" s="21" t="s">
        <v>23</v>
      </c>
      <c r="D1516" s="6" t="s">
        <v>14</v>
      </c>
      <c r="E1516" s="6" t="s">
        <v>19</v>
      </c>
      <c r="F1516" s="7">
        <v>73.69</v>
      </c>
      <c r="G1516" s="6" t="s">
        <v>12</v>
      </c>
      <c r="H1516" s="8" t="s">
        <v>12</v>
      </c>
    </row>
    <row r="1517">
      <c r="A1517" s="10">
        <v>44898.0</v>
      </c>
      <c r="B1517" s="8" t="s">
        <v>54</v>
      </c>
      <c r="C1517" s="21" t="s">
        <v>23</v>
      </c>
      <c r="D1517" s="6" t="s">
        <v>14</v>
      </c>
      <c r="E1517" s="6" t="s">
        <v>55</v>
      </c>
      <c r="F1517" s="7">
        <v>0.0</v>
      </c>
      <c r="G1517" s="6" t="s">
        <v>26</v>
      </c>
      <c r="H1517" s="8" t="s">
        <v>12</v>
      </c>
    </row>
    <row r="1518">
      <c r="A1518" s="10">
        <v>44899.0</v>
      </c>
      <c r="B1518" s="8" t="s">
        <v>54</v>
      </c>
      <c r="C1518" s="21" t="s">
        <v>9</v>
      </c>
      <c r="D1518" s="6" t="s">
        <v>10</v>
      </c>
      <c r="E1518" s="6" t="s">
        <v>19</v>
      </c>
      <c r="F1518" s="7">
        <v>67.61</v>
      </c>
      <c r="G1518" s="6" t="s">
        <v>12</v>
      </c>
      <c r="H1518" s="8" t="s">
        <v>12</v>
      </c>
    </row>
    <row r="1519">
      <c r="A1519" s="10">
        <v>44899.0</v>
      </c>
      <c r="B1519" s="8" t="s">
        <v>54</v>
      </c>
      <c r="C1519" s="21" t="s">
        <v>9</v>
      </c>
      <c r="D1519" s="6" t="s">
        <v>10</v>
      </c>
      <c r="E1519" s="6" t="s">
        <v>52</v>
      </c>
      <c r="F1519" s="7">
        <v>67.61</v>
      </c>
      <c r="G1519" s="6" t="s">
        <v>12</v>
      </c>
      <c r="H1519" s="8" t="s">
        <v>12</v>
      </c>
    </row>
    <row r="1520">
      <c r="A1520" s="10">
        <v>44899.0</v>
      </c>
      <c r="B1520" s="8" t="s">
        <v>54</v>
      </c>
      <c r="C1520" s="21" t="s">
        <v>9</v>
      </c>
      <c r="D1520" s="6" t="s">
        <v>10</v>
      </c>
      <c r="E1520" s="6" t="s">
        <v>31</v>
      </c>
      <c r="F1520" s="7">
        <v>57.47</v>
      </c>
      <c r="G1520" s="6" t="s">
        <v>12</v>
      </c>
      <c r="H1520" s="8" t="s">
        <v>12</v>
      </c>
    </row>
    <row r="1521">
      <c r="A1521" s="10">
        <v>44899.0</v>
      </c>
      <c r="B1521" s="8" t="s">
        <v>54</v>
      </c>
      <c r="C1521" s="21" t="s">
        <v>9</v>
      </c>
      <c r="D1521" s="6" t="s">
        <v>14</v>
      </c>
      <c r="E1521" s="6" t="s">
        <v>19</v>
      </c>
      <c r="F1521" s="7">
        <v>118.59</v>
      </c>
      <c r="G1521" s="6" t="s">
        <v>12</v>
      </c>
      <c r="H1521" s="8" t="s">
        <v>12</v>
      </c>
    </row>
    <row r="1522">
      <c r="A1522" s="10">
        <v>44899.0</v>
      </c>
      <c r="B1522" s="8" t="s">
        <v>54</v>
      </c>
      <c r="C1522" s="21" t="s">
        <v>9</v>
      </c>
      <c r="D1522" s="6" t="s">
        <v>14</v>
      </c>
      <c r="E1522" s="6" t="s">
        <v>55</v>
      </c>
      <c r="F1522" s="7">
        <v>0.0</v>
      </c>
      <c r="G1522" s="6" t="s">
        <v>26</v>
      </c>
      <c r="H1522" s="8" t="s">
        <v>12</v>
      </c>
    </row>
    <row r="1523">
      <c r="A1523" s="10">
        <v>44899.0</v>
      </c>
      <c r="B1523" s="8" t="s">
        <v>54</v>
      </c>
      <c r="C1523" s="21" t="s">
        <v>9</v>
      </c>
      <c r="D1523" s="6" t="s">
        <v>14</v>
      </c>
      <c r="E1523" s="6" t="s">
        <v>47</v>
      </c>
      <c r="F1523" s="7">
        <v>0.0</v>
      </c>
      <c r="G1523" s="6" t="s">
        <v>12</v>
      </c>
      <c r="H1523" s="8" t="s">
        <v>26</v>
      </c>
    </row>
    <row r="1524">
      <c r="A1524" s="10">
        <v>44900.0</v>
      </c>
      <c r="B1524" s="8" t="s">
        <v>54</v>
      </c>
      <c r="C1524" s="21" t="s">
        <v>16</v>
      </c>
      <c r="D1524" s="6" t="s">
        <v>10</v>
      </c>
      <c r="E1524" s="6" t="s">
        <v>34</v>
      </c>
      <c r="F1524" s="7">
        <v>57.21</v>
      </c>
      <c r="G1524" s="6" t="s">
        <v>12</v>
      </c>
      <c r="H1524" s="8" t="s">
        <v>12</v>
      </c>
    </row>
    <row r="1525">
      <c r="A1525" s="10">
        <v>44900.0</v>
      </c>
      <c r="B1525" s="8" t="s">
        <v>54</v>
      </c>
      <c r="C1525" s="21" t="s">
        <v>16</v>
      </c>
      <c r="D1525" s="6" t="s">
        <v>14</v>
      </c>
      <c r="E1525" s="6" t="s">
        <v>19</v>
      </c>
      <c r="F1525" s="7">
        <v>100.4</v>
      </c>
      <c r="G1525" s="6" t="s">
        <v>12</v>
      </c>
      <c r="H1525" s="8" t="s">
        <v>12</v>
      </c>
    </row>
    <row r="1526">
      <c r="A1526" s="10">
        <v>44900.0</v>
      </c>
      <c r="B1526" s="8" t="s">
        <v>54</v>
      </c>
      <c r="C1526" s="21" t="s">
        <v>16</v>
      </c>
      <c r="D1526" s="6" t="s">
        <v>14</v>
      </c>
      <c r="E1526" s="6" t="s">
        <v>34</v>
      </c>
      <c r="F1526" s="7">
        <v>66.94</v>
      </c>
      <c r="G1526" s="6" t="s">
        <v>12</v>
      </c>
      <c r="H1526" s="8" t="s">
        <v>12</v>
      </c>
    </row>
    <row r="1527">
      <c r="A1527" s="10">
        <v>44901.0</v>
      </c>
      <c r="B1527" s="8" t="s">
        <v>54</v>
      </c>
      <c r="C1527" s="21" t="s">
        <v>18</v>
      </c>
      <c r="D1527" s="6" t="s">
        <v>10</v>
      </c>
      <c r="E1527" s="6" t="s">
        <v>34</v>
      </c>
      <c r="F1527" s="7">
        <v>96.57</v>
      </c>
      <c r="G1527" s="6" t="s">
        <v>12</v>
      </c>
      <c r="H1527" s="8" t="s">
        <v>12</v>
      </c>
    </row>
    <row r="1528">
      <c r="A1528" s="10">
        <v>44901.0</v>
      </c>
      <c r="B1528" s="8" t="s">
        <v>54</v>
      </c>
      <c r="C1528" s="21" t="s">
        <v>18</v>
      </c>
      <c r="D1528" s="6" t="s">
        <v>14</v>
      </c>
      <c r="E1528" s="6" t="s">
        <v>34</v>
      </c>
      <c r="F1528" s="7">
        <v>24.27</v>
      </c>
      <c r="G1528" s="6" t="s">
        <v>12</v>
      </c>
      <c r="H1528" s="8" t="s">
        <v>12</v>
      </c>
    </row>
    <row r="1529">
      <c r="A1529" s="10">
        <v>44901.0</v>
      </c>
      <c r="B1529" s="8" t="s">
        <v>54</v>
      </c>
      <c r="C1529" s="21" t="s">
        <v>18</v>
      </c>
      <c r="D1529" s="6" t="s">
        <v>14</v>
      </c>
      <c r="E1529" s="6" t="s">
        <v>19</v>
      </c>
      <c r="F1529" s="7">
        <v>72.81</v>
      </c>
      <c r="G1529" s="6" t="s">
        <v>12</v>
      </c>
      <c r="H1529" s="8" t="s">
        <v>12</v>
      </c>
    </row>
    <row r="1530">
      <c r="A1530" s="10">
        <v>44901.0</v>
      </c>
      <c r="B1530" s="8" t="s">
        <v>54</v>
      </c>
      <c r="C1530" s="21" t="s">
        <v>18</v>
      </c>
      <c r="D1530" s="6" t="s">
        <v>14</v>
      </c>
      <c r="E1530" s="6" t="s">
        <v>55</v>
      </c>
      <c r="F1530" s="7">
        <v>72.81</v>
      </c>
      <c r="G1530" s="6" t="s">
        <v>12</v>
      </c>
      <c r="H1530" s="8" t="s">
        <v>12</v>
      </c>
    </row>
    <row r="1531">
      <c r="A1531" s="10">
        <v>44902.0</v>
      </c>
      <c r="B1531" s="8" t="s">
        <v>54</v>
      </c>
      <c r="C1531" s="21" t="s">
        <v>20</v>
      </c>
      <c r="D1531" s="6" t="s">
        <v>10</v>
      </c>
      <c r="E1531" s="6" t="s">
        <v>34</v>
      </c>
      <c r="F1531" s="7">
        <v>92.78</v>
      </c>
      <c r="G1531" s="6" t="s">
        <v>12</v>
      </c>
      <c r="H1531" s="8" t="s">
        <v>12</v>
      </c>
    </row>
    <row r="1532">
      <c r="A1532" s="10">
        <v>44902.0</v>
      </c>
      <c r="B1532" s="8" t="s">
        <v>54</v>
      </c>
      <c r="C1532" s="21" t="s">
        <v>20</v>
      </c>
      <c r="D1532" s="6" t="s">
        <v>14</v>
      </c>
      <c r="E1532" s="6" t="s">
        <v>19</v>
      </c>
      <c r="F1532" s="7">
        <v>78.41</v>
      </c>
      <c r="G1532" s="6" t="s">
        <v>12</v>
      </c>
      <c r="H1532" s="8" t="s">
        <v>12</v>
      </c>
    </row>
    <row r="1533">
      <c r="A1533" s="10">
        <v>44902.0</v>
      </c>
      <c r="B1533" s="8" t="s">
        <v>54</v>
      </c>
      <c r="C1533" s="21" t="s">
        <v>20</v>
      </c>
      <c r="D1533" s="6" t="s">
        <v>14</v>
      </c>
      <c r="E1533" s="6" t="s">
        <v>56</v>
      </c>
      <c r="F1533" s="7">
        <v>0.0</v>
      </c>
      <c r="G1533" s="6" t="s">
        <v>26</v>
      </c>
      <c r="H1533" s="8" t="s">
        <v>12</v>
      </c>
    </row>
    <row r="1534">
      <c r="A1534" s="10">
        <v>44903.0</v>
      </c>
      <c r="B1534" s="8" t="s">
        <v>54</v>
      </c>
      <c r="C1534" s="21" t="s">
        <v>21</v>
      </c>
      <c r="D1534" s="6" t="s">
        <v>10</v>
      </c>
      <c r="E1534" s="6" t="s">
        <v>31</v>
      </c>
      <c r="F1534" s="7">
        <v>71.06</v>
      </c>
      <c r="G1534" s="6" t="s">
        <v>12</v>
      </c>
      <c r="H1534" s="8" t="s">
        <v>12</v>
      </c>
    </row>
    <row r="1535">
      <c r="A1535" s="10">
        <v>44903.0</v>
      </c>
      <c r="B1535" s="8" t="s">
        <v>54</v>
      </c>
      <c r="C1535" s="21" t="s">
        <v>21</v>
      </c>
      <c r="D1535" s="6" t="s">
        <v>14</v>
      </c>
      <c r="E1535" s="6" t="s">
        <v>19</v>
      </c>
      <c r="F1535" s="7">
        <v>54.52</v>
      </c>
      <c r="G1535" s="6" t="s">
        <v>12</v>
      </c>
      <c r="H1535" s="8" t="s">
        <v>12</v>
      </c>
    </row>
    <row r="1536">
      <c r="A1536" s="10">
        <v>44903.0</v>
      </c>
      <c r="B1536" s="8" t="s">
        <v>54</v>
      </c>
      <c r="C1536" s="21" t="s">
        <v>21</v>
      </c>
      <c r="D1536" s="6" t="s">
        <v>14</v>
      </c>
      <c r="E1536" s="6" t="s">
        <v>55</v>
      </c>
      <c r="F1536" s="7">
        <v>54.52</v>
      </c>
      <c r="G1536" s="6" t="s">
        <v>12</v>
      </c>
      <c r="H1536" s="8" t="s">
        <v>12</v>
      </c>
    </row>
    <row r="1537">
      <c r="A1537" s="10">
        <v>44903.0</v>
      </c>
      <c r="B1537" s="8" t="s">
        <v>54</v>
      </c>
      <c r="C1537" s="21" t="s">
        <v>21</v>
      </c>
      <c r="D1537" s="6" t="s">
        <v>14</v>
      </c>
      <c r="E1537" s="6" t="s">
        <v>53</v>
      </c>
      <c r="F1537" s="7">
        <v>54.52</v>
      </c>
      <c r="G1537" s="6" t="s">
        <v>12</v>
      </c>
      <c r="H1537" s="8" t="s">
        <v>12</v>
      </c>
    </row>
    <row r="1538">
      <c r="A1538" s="10">
        <v>44904.0</v>
      </c>
      <c r="B1538" s="8" t="s">
        <v>54</v>
      </c>
      <c r="C1538" s="21" t="s">
        <v>22</v>
      </c>
      <c r="D1538" s="6" t="s">
        <v>10</v>
      </c>
      <c r="E1538" s="6" t="s">
        <v>31</v>
      </c>
      <c r="F1538" s="7">
        <v>37.95</v>
      </c>
      <c r="G1538" s="6" t="s">
        <v>12</v>
      </c>
      <c r="H1538" s="8" t="s">
        <v>12</v>
      </c>
    </row>
    <row r="1539">
      <c r="A1539" s="10">
        <v>44904.0</v>
      </c>
      <c r="B1539" s="8" t="s">
        <v>54</v>
      </c>
      <c r="C1539" s="21" t="s">
        <v>22</v>
      </c>
      <c r="D1539" s="6" t="s">
        <v>10</v>
      </c>
      <c r="E1539" s="6" t="s">
        <v>52</v>
      </c>
      <c r="F1539" s="7">
        <v>54.21</v>
      </c>
      <c r="G1539" s="6" t="s">
        <v>12</v>
      </c>
      <c r="H1539" s="8" t="s">
        <v>12</v>
      </c>
    </row>
    <row r="1540">
      <c r="A1540" s="10">
        <v>44904.0</v>
      </c>
      <c r="B1540" s="8" t="s">
        <v>54</v>
      </c>
      <c r="C1540" s="21" t="s">
        <v>22</v>
      </c>
      <c r="D1540" s="6" t="s">
        <v>14</v>
      </c>
      <c r="E1540" s="6" t="s">
        <v>31</v>
      </c>
      <c r="F1540" s="7">
        <v>71.65</v>
      </c>
      <c r="G1540" s="6" t="s">
        <v>12</v>
      </c>
      <c r="H1540" s="8" t="s">
        <v>12</v>
      </c>
    </row>
    <row r="1541">
      <c r="A1541" s="10">
        <v>44904.0</v>
      </c>
      <c r="B1541" s="8" t="s">
        <v>54</v>
      </c>
      <c r="C1541" s="21" t="s">
        <v>22</v>
      </c>
      <c r="D1541" s="6" t="s">
        <v>14</v>
      </c>
      <c r="E1541" s="6" t="s">
        <v>55</v>
      </c>
      <c r="F1541" s="7">
        <v>71.65</v>
      </c>
      <c r="G1541" s="6" t="s">
        <v>12</v>
      </c>
      <c r="H1541" s="8" t="s">
        <v>12</v>
      </c>
    </row>
    <row r="1542">
      <c r="A1542" s="10">
        <v>44904.0</v>
      </c>
      <c r="B1542" s="8" t="s">
        <v>54</v>
      </c>
      <c r="C1542" s="21" t="s">
        <v>22</v>
      </c>
      <c r="D1542" s="6" t="s">
        <v>14</v>
      </c>
      <c r="E1542" s="6" t="s">
        <v>53</v>
      </c>
      <c r="F1542" s="7">
        <v>63.68</v>
      </c>
      <c r="G1542" s="6" t="s">
        <v>12</v>
      </c>
      <c r="H1542" s="8" t="s">
        <v>12</v>
      </c>
    </row>
    <row r="1543">
      <c r="A1543" s="10">
        <v>44905.0</v>
      </c>
      <c r="B1543" s="8" t="s">
        <v>54</v>
      </c>
      <c r="C1543" s="21" t="s">
        <v>23</v>
      </c>
      <c r="D1543" s="6" t="s">
        <v>10</v>
      </c>
      <c r="E1543" s="6" t="s">
        <v>31</v>
      </c>
      <c r="F1543" s="7">
        <v>74.79</v>
      </c>
      <c r="G1543" s="6" t="s">
        <v>12</v>
      </c>
      <c r="H1543" s="8" t="s">
        <v>12</v>
      </c>
    </row>
    <row r="1544">
      <c r="A1544" s="10">
        <v>44905.0</v>
      </c>
      <c r="B1544" s="8" t="s">
        <v>54</v>
      </c>
      <c r="C1544" s="21" t="s">
        <v>23</v>
      </c>
      <c r="D1544" s="6" t="s">
        <v>10</v>
      </c>
      <c r="E1544" s="6" t="s">
        <v>52</v>
      </c>
      <c r="F1544" s="7">
        <v>58.76</v>
      </c>
      <c r="G1544" s="6" t="s">
        <v>12</v>
      </c>
      <c r="H1544" s="8" t="s">
        <v>12</v>
      </c>
    </row>
    <row r="1545">
      <c r="A1545" s="10">
        <v>44905.0</v>
      </c>
      <c r="B1545" s="8" t="s">
        <v>54</v>
      </c>
      <c r="C1545" s="21" t="s">
        <v>23</v>
      </c>
      <c r="D1545" s="6" t="s">
        <v>10</v>
      </c>
      <c r="E1545" s="6" t="s">
        <v>47</v>
      </c>
      <c r="F1545" s="7">
        <v>32.05</v>
      </c>
      <c r="G1545" s="6" t="s">
        <v>12</v>
      </c>
      <c r="H1545" s="8" t="s">
        <v>12</v>
      </c>
    </row>
    <row r="1546">
      <c r="A1546" s="10">
        <v>44905.0</v>
      </c>
      <c r="B1546" s="8" t="s">
        <v>54</v>
      </c>
      <c r="C1546" s="21" t="s">
        <v>23</v>
      </c>
      <c r="D1546" s="6" t="s">
        <v>14</v>
      </c>
      <c r="E1546" s="6" t="s">
        <v>31</v>
      </c>
      <c r="F1546" s="7">
        <v>25.71</v>
      </c>
      <c r="G1546" s="6" t="s">
        <v>12</v>
      </c>
      <c r="H1546" s="8" t="s">
        <v>12</v>
      </c>
    </row>
    <row r="1547">
      <c r="A1547" s="10">
        <v>44905.0</v>
      </c>
      <c r="B1547" s="8" t="s">
        <v>54</v>
      </c>
      <c r="C1547" s="21" t="s">
        <v>23</v>
      </c>
      <c r="D1547" s="6" t="s">
        <v>14</v>
      </c>
      <c r="E1547" s="6" t="s">
        <v>19</v>
      </c>
      <c r="F1547" s="7">
        <v>57.84</v>
      </c>
      <c r="G1547" s="6" t="s">
        <v>12</v>
      </c>
      <c r="H1547" s="8" t="s">
        <v>12</v>
      </c>
    </row>
    <row r="1548">
      <c r="A1548" s="10">
        <v>44905.0</v>
      </c>
      <c r="B1548" s="8" t="s">
        <v>54</v>
      </c>
      <c r="C1548" s="21" t="s">
        <v>23</v>
      </c>
      <c r="D1548" s="6" t="s">
        <v>14</v>
      </c>
      <c r="E1548" s="6" t="s">
        <v>53</v>
      </c>
      <c r="F1548" s="7">
        <v>57.84</v>
      </c>
      <c r="G1548" s="6" t="s">
        <v>12</v>
      </c>
      <c r="H1548" s="8" t="s">
        <v>12</v>
      </c>
    </row>
    <row r="1549">
      <c r="A1549" s="10">
        <v>44906.0</v>
      </c>
      <c r="B1549" s="8" t="s">
        <v>54</v>
      </c>
      <c r="C1549" s="21" t="s">
        <v>9</v>
      </c>
      <c r="D1549" s="6" t="s">
        <v>10</v>
      </c>
      <c r="E1549" s="6" t="s">
        <v>31</v>
      </c>
      <c r="F1549" s="7">
        <v>59.31</v>
      </c>
      <c r="G1549" s="6" t="s">
        <v>12</v>
      </c>
      <c r="H1549" s="8" t="s">
        <v>12</v>
      </c>
    </row>
    <row r="1550">
      <c r="A1550" s="10">
        <v>44906.0</v>
      </c>
      <c r="B1550" s="8" t="s">
        <v>54</v>
      </c>
      <c r="C1550" s="21" t="s">
        <v>9</v>
      </c>
      <c r="D1550" s="6" t="s">
        <v>10</v>
      </c>
      <c r="E1550" s="6" t="s">
        <v>52</v>
      </c>
      <c r="F1550" s="7">
        <v>59.31</v>
      </c>
      <c r="G1550" s="6" t="s">
        <v>12</v>
      </c>
      <c r="H1550" s="8" t="s">
        <v>12</v>
      </c>
    </row>
    <row r="1551">
      <c r="A1551" s="10">
        <v>44906.0</v>
      </c>
      <c r="B1551" s="8" t="s">
        <v>54</v>
      </c>
      <c r="C1551" s="21" t="s">
        <v>9</v>
      </c>
      <c r="D1551" s="6" t="s">
        <v>10</v>
      </c>
      <c r="E1551" s="6" t="s">
        <v>55</v>
      </c>
      <c r="F1551" s="7">
        <v>59.31</v>
      </c>
      <c r="G1551" s="6" t="s">
        <v>12</v>
      </c>
      <c r="H1551" s="8" t="s">
        <v>12</v>
      </c>
    </row>
    <row r="1552">
      <c r="A1552" s="10">
        <v>44906.0</v>
      </c>
      <c r="B1552" s="8" t="s">
        <v>54</v>
      </c>
      <c r="C1552" s="21" t="s">
        <v>9</v>
      </c>
      <c r="D1552" s="6" t="s">
        <v>14</v>
      </c>
      <c r="E1552" s="6" t="s">
        <v>53</v>
      </c>
      <c r="F1552" s="7">
        <v>78.53</v>
      </c>
      <c r="G1552" s="6" t="s">
        <v>12</v>
      </c>
      <c r="H1552" s="8" t="s">
        <v>12</v>
      </c>
    </row>
    <row r="1553">
      <c r="A1553" s="10">
        <v>44906.0</v>
      </c>
      <c r="B1553" s="8" t="s">
        <v>54</v>
      </c>
      <c r="C1553" s="21" t="s">
        <v>9</v>
      </c>
      <c r="D1553" s="6" t="s">
        <v>14</v>
      </c>
      <c r="E1553" s="6" t="s">
        <v>47</v>
      </c>
      <c r="F1553" s="7">
        <v>78.53</v>
      </c>
      <c r="G1553" s="6" t="s">
        <v>12</v>
      </c>
      <c r="H1553" s="8" t="s">
        <v>12</v>
      </c>
    </row>
    <row r="1554">
      <c r="A1554" s="10">
        <v>44907.0</v>
      </c>
      <c r="B1554" s="8" t="s">
        <v>54</v>
      </c>
      <c r="C1554" s="21" t="s">
        <v>16</v>
      </c>
      <c r="D1554" s="6" t="s">
        <v>10</v>
      </c>
      <c r="E1554" s="6" t="s">
        <v>52</v>
      </c>
      <c r="F1554" s="7">
        <v>86.86</v>
      </c>
      <c r="G1554" s="6" t="s">
        <v>12</v>
      </c>
      <c r="H1554" s="8" t="s">
        <v>12</v>
      </c>
    </row>
    <row r="1555">
      <c r="A1555" s="10">
        <v>44907.0</v>
      </c>
      <c r="B1555" s="8" t="s">
        <v>54</v>
      </c>
      <c r="C1555" s="21" t="s">
        <v>16</v>
      </c>
      <c r="D1555" s="6" t="s">
        <v>14</v>
      </c>
      <c r="E1555" s="6" t="s">
        <v>19</v>
      </c>
      <c r="F1555" s="7">
        <v>70.81</v>
      </c>
      <c r="G1555" s="6" t="s">
        <v>12</v>
      </c>
      <c r="H1555" s="8" t="s">
        <v>12</v>
      </c>
    </row>
    <row r="1556">
      <c r="A1556" s="10">
        <v>44907.0</v>
      </c>
      <c r="B1556" s="8" t="s">
        <v>54</v>
      </c>
      <c r="C1556" s="21" t="s">
        <v>16</v>
      </c>
      <c r="D1556" s="6" t="s">
        <v>14</v>
      </c>
      <c r="E1556" s="6" t="s">
        <v>53</v>
      </c>
      <c r="F1556" s="7">
        <v>59.01</v>
      </c>
      <c r="G1556" s="6" t="s">
        <v>12</v>
      </c>
      <c r="H1556" s="8" t="s">
        <v>12</v>
      </c>
    </row>
    <row r="1557">
      <c r="A1557" s="10">
        <v>44907.0</v>
      </c>
      <c r="B1557" s="8" t="s">
        <v>54</v>
      </c>
      <c r="C1557" s="21" t="s">
        <v>16</v>
      </c>
      <c r="D1557" s="6" t="s">
        <v>14</v>
      </c>
      <c r="E1557" s="6" t="s">
        <v>56</v>
      </c>
      <c r="F1557" s="7">
        <v>0.0</v>
      </c>
      <c r="G1557" s="6" t="s">
        <v>26</v>
      </c>
      <c r="H1557" s="8" t="s">
        <v>12</v>
      </c>
    </row>
    <row r="1558">
      <c r="A1558" s="10">
        <v>44908.0</v>
      </c>
      <c r="B1558" s="8" t="s">
        <v>54</v>
      </c>
      <c r="C1558" s="21" t="s">
        <v>18</v>
      </c>
      <c r="D1558" s="6" t="s">
        <v>10</v>
      </c>
      <c r="E1558" s="6" t="s">
        <v>52</v>
      </c>
      <c r="F1558" s="7">
        <v>54.42</v>
      </c>
      <c r="G1558" s="6" t="s">
        <v>12</v>
      </c>
      <c r="H1558" s="8" t="s">
        <v>12</v>
      </c>
    </row>
    <row r="1559">
      <c r="A1559" s="10">
        <v>44908.0</v>
      </c>
      <c r="B1559" s="8" t="s">
        <v>54</v>
      </c>
      <c r="C1559" s="21" t="s">
        <v>18</v>
      </c>
      <c r="D1559" s="6" t="s">
        <v>14</v>
      </c>
      <c r="E1559" s="6" t="s">
        <v>19</v>
      </c>
      <c r="F1559" s="7">
        <v>40.74</v>
      </c>
      <c r="G1559" s="6" t="s">
        <v>12</v>
      </c>
      <c r="H1559" s="8" t="s">
        <v>12</v>
      </c>
    </row>
    <row r="1560">
      <c r="A1560" s="10">
        <v>44908.0</v>
      </c>
      <c r="B1560" s="8" t="s">
        <v>54</v>
      </c>
      <c r="C1560" s="21" t="s">
        <v>18</v>
      </c>
      <c r="D1560" s="6" t="s">
        <v>14</v>
      </c>
      <c r="E1560" s="6" t="s">
        <v>55</v>
      </c>
      <c r="F1560" s="7">
        <v>40.74</v>
      </c>
      <c r="G1560" s="6" t="s">
        <v>12</v>
      </c>
      <c r="H1560" s="8" t="s">
        <v>12</v>
      </c>
    </row>
    <row r="1561">
      <c r="A1561" s="10">
        <v>44908.0</v>
      </c>
      <c r="B1561" s="8" t="s">
        <v>54</v>
      </c>
      <c r="C1561" s="21" t="s">
        <v>18</v>
      </c>
      <c r="D1561" s="6" t="s">
        <v>14</v>
      </c>
      <c r="E1561" s="6" t="s">
        <v>53</v>
      </c>
      <c r="F1561" s="7">
        <v>27.16</v>
      </c>
      <c r="G1561" s="6" t="s">
        <v>12</v>
      </c>
      <c r="H1561" s="8" t="s">
        <v>12</v>
      </c>
    </row>
    <row r="1562">
      <c r="A1562" s="10">
        <v>44909.0</v>
      </c>
      <c r="B1562" s="8" t="s">
        <v>54</v>
      </c>
      <c r="C1562" s="21" t="s">
        <v>20</v>
      </c>
      <c r="D1562" s="6" t="s">
        <v>10</v>
      </c>
      <c r="E1562" s="6" t="s">
        <v>55</v>
      </c>
      <c r="F1562" s="7">
        <v>83.28</v>
      </c>
      <c r="G1562" s="6" t="s">
        <v>12</v>
      </c>
      <c r="H1562" s="8" t="s">
        <v>12</v>
      </c>
    </row>
    <row r="1563">
      <c r="A1563" s="10">
        <v>44909.0</v>
      </c>
      <c r="B1563" s="8" t="s">
        <v>54</v>
      </c>
      <c r="C1563" s="21" t="s">
        <v>20</v>
      </c>
      <c r="D1563" s="6" t="s">
        <v>14</v>
      </c>
      <c r="E1563" s="6" t="s">
        <v>19</v>
      </c>
      <c r="F1563" s="7">
        <v>25.45</v>
      </c>
      <c r="G1563" s="6" t="s">
        <v>12</v>
      </c>
      <c r="H1563" s="8" t="s">
        <v>12</v>
      </c>
    </row>
    <row r="1564">
      <c r="A1564" s="10">
        <v>44909.0</v>
      </c>
      <c r="B1564" s="8" t="s">
        <v>54</v>
      </c>
      <c r="C1564" s="21" t="s">
        <v>20</v>
      </c>
      <c r="D1564" s="6" t="s">
        <v>14</v>
      </c>
      <c r="E1564" s="6" t="s">
        <v>53</v>
      </c>
      <c r="F1564" s="7">
        <v>22.62</v>
      </c>
      <c r="G1564" s="6" t="s">
        <v>12</v>
      </c>
      <c r="H1564" s="8" t="s">
        <v>12</v>
      </c>
    </row>
    <row r="1565">
      <c r="A1565" s="10">
        <v>44909.0</v>
      </c>
      <c r="B1565" s="8" t="s">
        <v>54</v>
      </c>
      <c r="C1565" s="21" t="s">
        <v>20</v>
      </c>
      <c r="D1565" s="6" t="s">
        <v>14</v>
      </c>
      <c r="E1565" s="6" t="s">
        <v>47</v>
      </c>
      <c r="F1565" s="7">
        <v>8.76</v>
      </c>
      <c r="G1565" s="6" t="s">
        <v>12</v>
      </c>
      <c r="H1565" s="8" t="s">
        <v>12</v>
      </c>
    </row>
    <row r="1566">
      <c r="A1566" s="10">
        <v>44910.0</v>
      </c>
      <c r="B1566" s="8" t="s">
        <v>54</v>
      </c>
      <c r="C1566" s="21" t="s">
        <v>21</v>
      </c>
      <c r="D1566" s="6" t="s">
        <v>10</v>
      </c>
      <c r="E1566" s="6" t="s">
        <v>31</v>
      </c>
      <c r="F1566" s="7">
        <v>87.14</v>
      </c>
      <c r="G1566" s="6" t="s">
        <v>12</v>
      </c>
      <c r="H1566" s="8" t="s">
        <v>12</v>
      </c>
    </row>
    <row r="1567">
      <c r="A1567" s="10">
        <v>44910.0</v>
      </c>
      <c r="B1567" s="8" t="s">
        <v>54</v>
      </c>
      <c r="C1567" s="21" t="s">
        <v>21</v>
      </c>
      <c r="D1567" s="6" t="s">
        <v>14</v>
      </c>
      <c r="E1567" s="6" t="s">
        <v>19</v>
      </c>
      <c r="F1567" s="7">
        <v>62.37</v>
      </c>
      <c r="G1567" s="6" t="s">
        <v>12</v>
      </c>
      <c r="H1567" s="8" t="s">
        <v>12</v>
      </c>
    </row>
    <row r="1568">
      <c r="A1568" s="10">
        <v>44910.0</v>
      </c>
      <c r="B1568" s="8" t="s">
        <v>54</v>
      </c>
      <c r="C1568" s="21" t="s">
        <v>21</v>
      </c>
      <c r="D1568" s="6" t="s">
        <v>14</v>
      </c>
      <c r="E1568" s="6" t="s">
        <v>55</v>
      </c>
      <c r="F1568" s="7">
        <v>20.79</v>
      </c>
      <c r="G1568" s="6" t="s">
        <v>12</v>
      </c>
      <c r="H1568" s="8" t="s">
        <v>12</v>
      </c>
    </row>
    <row r="1569">
      <c r="A1569" s="10">
        <v>44910.0</v>
      </c>
      <c r="B1569" s="8" t="s">
        <v>54</v>
      </c>
      <c r="C1569" s="21" t="s">
        <v>21</v>
      </c>
      <c r="D1569" s="6" t="s">
        <v>14</v>
      </c>
      <c r="E1569" s="6" t="s">
        <v>53</v>
      </c>
      <c r="F1569" s="7">
        <v>62.37</v>
      </c>
      <c r="G1569" s="6" t="s">
        <v>12</v>
      </c>
      <c r="H1569" s="8" t="s">
        <v>12</v>
      </c>
    </row>
    <row r="1570">
      <c r="A1570" s="10">
        <v>44911.0</v>
      </c>
      <c r="B1570" s="8" t="s">
        <v>54</v>
      </c>
      <c r="C1570" s="21" t="s">
        <v>22</v>
      </c>
      <c r="D1570" s="6" t="s">
        <v>10</v>
      </c>
      <c r="E1570" s="6" t="s">
        <v>52</v>
      </c>
      <c r="F1570" s="7">
        <v>107.1</v>
      </c>
      <c r="G1570" s="6" t="s">
        <v>12</v>
      </c>
      <c r="H1570" s="8" t="s">
        <v>12</v>
      </c>
    </row>
    <row r="1571">
      <c r="A1571" s="10">
        <v>44911.0</v>
      </c>
      <c r="B1571" s="8" t="s">
        <v>54</v>
      </c>
      <c r="C1571" s="21" t="s">
        <v>22</v>
      </c>
      <c r="D1571" s="6" t="s">
        <v>14</v>
      </c>
      <c r="E1571" s="6" t="s">
        <v>19</v>
      </c>
      <c r="F1571" s="7">
        <v>78.35</v>
      </c>
      <c r="G1571" s="6" t="s">
        <v>12</v>
      </c>
      <c r="H1571" s="8" t="s">
        <v>12</v>
      </c>
    </row>
    <row r="1572">
      <c r="A1572" s="10">
        <v>44911.0</v>
      </c>
      <c r="B1572" s="8" t="s">
        <v>54</v>
      </c>
      <c r="C1572" s="21" t="s">
        <v>22</v>
      </c>
      <c r="D1572" s="6" t="s">
        <v>14</v>
      </c>
      <c r="E1572" s="6" t="s">
        <v>53</v>
      </c>
      <c r="F1572" s="7">
        <v>78.35</v>
      </c>
      <c r="G1572" s="6" t="s">
        <v>12</v>
      </c>
      <c r="H1572" s="8" t="s">
        <v>12</v>
      </c>
    </row>
    <row r="1573">
      <c r="A1573" s="10">
        <v>44911.0</v>
      </c>
      <c r="B1573" s="8" t="s">
        <v>54</v>
      </c>
      <c r="C1573" s="21" t="s">
        <v>22</v>
      </c>
      <c r="D1573" s="6" t="s">
        <v>14</v>
      </c>
      <c r="E1573" s="6" t="s">
        <v>56</v>
      </c>
      <c r="F1573" s="7">
        <v>0.0</v>
      </c>
      <c r="G1573" s="6" t="s">
        <v>26</v>
      </c>
      <c r="H1573" s="8" t="s">
        <v>12</v>
      </c>
    </row>
    <row r="1574">
      <c r="A1574" s="10">
        <v>44912.0</v>
      </c>
      <c r="B1574" s="8" t="s">
        <v>54</v>
      </c>
      <c r="C1574" s="21" t="s">
        <v>23</v>
      </c>
      <c r="D1574" s="6" t="s">
        <v>10</v>
      </c>
      <c r="E1574" s="6" t="s">
        <v>52</v>
      </c>
      <c r="F1574" s="7">
        <v>110.12</v>
      </c>
      <c r="G1574" s="6" t="s">
        <v>12</v>
      </c>
      <c r="H1574" s="8" t="s">
        <v>12</v>
      </c>
    </row>
    <row r="1575">
      <c r="A1575" s="10">
        <v>44912.0</v>
      </c>
      <c r="B1575" s="8" t="s">
        <v>54</v>
      </c>
      <c r="C1575" s="21" t="s">
        <v>23</v>
      </c>
      <c r="D1575" s="6" t="s">
        <v>10</v>
      </c>
      <c r="E1575" s="6" t="s">
        <v>55</v>
      </c>
      <c r="F1575" s="7">
        <v>137.65</v>
      </c>
      <c r="G1575" s="6" t="s">
        <v>12</v>
      </c>
      <c r="H1575" s="8" t="s">
        <v>12</v>
      </c>
    </row>
    <row r="1576">
      <c r="A1576" s="10">
        <v>44912.0</v>
      </c>
      <c r="B1576" s="8" t="s">
        <v>54</v>
      </c>
      <c r="C1576" s="21" t="s">
        <v>23</v>
      </c>
      <c r="D1576" s="6" t="s">
        <v>14</v>
      </c>
      <c r="E1576" s="6" t="s">
        <v>19</v>
      </c>
      <c r="F1576" s="7">
        <v>42.46</v>
      </c>
      <c r="G1576" s="6" t="s">
        <v>12</v>
      </c>
      <c r="H1576" s="8" t="s">
        <v>12</v>
      </c>
    </row>
    <row r="1577">
      <c r="A1577" s="10">
        <v>44912.0</v>
      </c>
      <c r="B1577" s="8" t="s">
        <v>54</v>
      </c>
      <c r="C1577" s="21" t="s">
        <v>23</v>
      </c>
      <c r="D1577" s="6" t="s">
        <v>14</v>
      </c>
      <c r="E1577" s="6" t="s">
        <v>55</v>
      </c>
      <c r="F1577" s="7">
        <v>37.16</v>
      </c>
      <c r="G1577" s="6" t="s">
        <v>12</v>
      </c>
      <c r="H1577" s="8" t="s">
        <v>12</v>
      </c>
    </row>
    <row r="1578">
      <c r="A1578" s="10">
        <v>44912.0</v>
      </c>
      <c r="B1578" s="8" t="s">
        <v>54</v>
      </c>
      <c r="C1578" s="21" t="s">
        <v>23</v>
      </c>
      <c r="D1578" s="6" t="s">
        <v>14</v>
      </c>
      <c r="E1578" s="6" t="s">
        <v>53</v>
      </c>
      <c r="F1578" s="7">
        <v>47.77</v>
      </c>
      <c r="G1578" s="6" t="s">
        <v>12</v>
      </c>
      <c r="H1578" s="8" t="s">
        <v>12</v>
      </c>
    </row>
    <row r="1579">
      <c r="A1579" s="10">
        <v>44913.0</v>
      </c>
      <c r="B1579" s="8" t="s">
        <v>54</v>
      </c>
      <c r="C1579" s="21" t="s">
        <v>9</v>
      </c>
      <c r="D1579" s="6" t="s">
        <v>10</v>
      </c>
      <c r="E1579" s="6" t="s">
        <v>52</v>
      </c>
      <c r="F1579" s="7">
        <v>66.76</v>
      </c>
      <c r="G1579" s="6" t="s">
        <v>12</v>
      </c>
      <c r="H1579" s="8" t="s">
        <v>12</v>
      </c>
    </row>
    <row r="1580">
      <c r="A1580" s="10">
        <v>44913.0</v>
      </c>
      <c r="B1580" s="8" t="s">
        <v>54</v>
      </c>
      <c r="C1580" s="21" t="s">
        <v>9</v>
      </c>
      <c r="D1580" s="6" t="s">
        <v>10</v>
      </c>
      <c r="E1580" s="6" t="s">
        <v>55</v>
      </c>
      <c r="F1580" s="7">
        <v>46.87</v>
      </c>
      <c r="G1580" s="6" t="s">
        <v>12</v>
      </c>
      <c r="H1580" s="8" t="s">
        <v>12</v>
      </c>
    </row>
    <row r="1581">
      <c r="A1581" s="10">
        <v>44913.0</v>
      </c>
      <c r="B1581" s="8" t="s">
        <v>54</v>
      </c>
      <c r="C1581" s="21" t="s">
        <v>9</v>
      </c>
      <c r="D1581" s="6" t="s">
        <v>10</v>
      </c>
      <c r="E1581" s="6" t="s">
        <v>19</v>
      </c>
      <c r="F1581" s="7">
        <v>21.46</v>
      </c>
      <c r="G1581" s="6" t="s">
        <v>12</v>
      </c>
      <c r="H1581" s="8" t="s">
        <v>12</v>
      </c>
    </row>
    <row r="1582">
      <c r="A1582" s="10">
        <v>44913.0</v>
      </c>
      <c r="B1582" s="8" t="s">
        <v>54</v>
      </c>
      <c r="C1582" s="21" t="s">
        <v>9</v>
      </c>
      <c r="D1582" s="6" t="s">
        <v>14</v>
      </c>
      <c r="E1582" s="6" t="s">
        <v>55</v>
      </c>
      <c r="F1582" s="7">
        <v>31.22</v>
      </c>
      <c r="G1582" s="6" t="s">
        <v>12</v>
      </c>
      <c r="H1582" s="8" t="s">
        <v>12</v>
      </c>
    </row>
    <row r="1583">
      <c r="A1583" s="10">
        <v>44913.0</v>
      </c>
      <c r="B1583" s="8" t="s">
        <v>54</v>
      </c>
      <c r="C1583" s="21" t="s">
        <v>9</v>
      </c>
      <c r="D1583" s="6" t="s">
        <v>14</v>
      </c>
      <c r="E1583" s="6" t="s">
        <v>19</v>
      </c>
      <c r="F1583" s="7">
        <v>46.83</v>
      </c>
      <c r="G1583" s="6" t="s">
        <v>12</v>
      </c>
      <c r="H1583" s="8" t="s">
        <v>12</v>
      </c>
    </row>
    <row r="1584">
      <c r="A1584" s="10">
        <v>44913.0</v>
      </c>
      <c r="B1584" s="8" t="s">
        <v>54</v>
      </c>
      <c r="C1584" s="21" t="s">
        <v>9</v>
      </c>
      <c r="D1584" s="6" t="s">
        <v>14</v>
      </c>
      <c r="E1584" s="6" t="s">
        <v>53</v>
      </c>
      <c r="F1584" s="7">
        <v>36.42</v>
      </c>
      <c r="G1584" s="6" t="s">
        <v>12</v>
      </c>
      <c r="H1584" s="8" t="s">
        <v>12</v>
      </c>
    </row>
    <row r="1585">
      <c r="A1585" s="10">
        <v>44914.0</v>
      </c>
      <c r="B1585" s="8" t="s">
        <v>54</v>
      </c>
      <c r="C1585" s="21" t="s">
        <v>16</v>
      </c>
      <c r="D1585" s="6" t="s">
        <v>10</v>
      </c>
      <c r="E1585" s="6" t="s">
        <v>52</v>
      </c>
      <c r="F1585" s="7">
        <v>118.21</v>
      </c>
      <c r="G1585" s="6" t="s">
        <v>12</v>
      </c>
      <c r="H1585" s="8" t="s">
        <v>12</v>
      </c>
    </row>
    <row r="1586">
      <c r="A1586" s="10">
        <v>44914.0</v>
      </c>
      <c r="B1586" s="8" t="s">
        <v>54</v>
      </c>
      <c r="C1586" s="21" t="s">
        <v>16</v>
      </c>
      <c r="D1586" s="6" t="s">
        <v>14</v>
      </c>
      <c r="E1586" s="6" t="s">
        <v>19</v>
      </c>
      <c r="F1586" s="7">
        <v>87.99</v>
      </c>
      <c r="G1586" s="6" t="s">
        <v>12</v>
      </c>
      <c r="H1586" s="8" t="s">
        <v>12</v>
      </c>
    </row>
    <row r="1587">
      <c r="A1587" s="10">
        <v>44914.0</v>
      </c>
      <c r="B1587" s="8" t="s">
        <v>54</v>
      </c>
      <c r="C1587" s="21" t="s">
        <v>16</v>
      </c>
      <c r="D1587" s="6" t="s">
        <v>14</v>
      </c>
      <c r="E1587" s="6" t="s">
        <v>56</v>
      </c>
      <c r="F1587" s="7">
        <v>98.99</v>
      </c>
      <c r="G1587" s="6" t="s">
        <v>12</v>
      </c>
      <c r="H1587" s="8" t="s">
        <v>12</v>
      </c>
    </row>
    <row r="1588">
      <c r="A1588" s="10">
        <v>44914.0</v>
      </c>
      <c r="B1588" s="8" t="s">
        <v>54</v>
      </c>
      <c r="C1588" s="21" t="s">
        <v>16</v>
      </c>
      <c r="D1588" s="6" t="s">
        <v>14</v>
      </c>
      <c r="E1588" s="6" t="s">
        <v>53</v>
      </c>
      <c r="F1588" s="7">
        <v>54.99</v>
      </c>
      <c r="G1588" s="6" t="s">
        <v>12</v>
      </c>
      <c r="H1588" s="8" t="s">
        <v>12</v>
      </c>
    </row>
    <row r="1589">
      <c r="A1589" s="10">
        <v>44915.0</v>
      </c>
      <c r="B1589" s="8" t="s">
        <v>54</v>
      </c>
      <c r="C1589" s="21" t="s">
        <v>18</v>
      </c>
      <c r="D1589" s="6" t="s">
        <v>10</v>
      </c>
      <c r="E1589" s="6" t="s">
        <v>52</v>
      </c>
      <c r="F1589" s="7">
        <v>122.33</v>
      </c>
      <c r="G1589" s="6" t="s">
        <v>12</v>
      </c>
      <c r="H1589" s="8" t="s">
        <v>12</v>
      </c>
    </row>
    <row r="1590">
      <c r="A1590" s="10">
        <v>44915.0</v>
      </c>
      <c r="B1590" s="8" t="s">
        <v>54</v>
      </c>
      <c r="C1590" s="21" t="s">
        <v>18</v>
      </c>
      <c r="D1590" s="6" t="s">
        <v>14</v>
      </c>
      <c r="E1590" s="6" t="s">
        <v>19</v>
      </c>
      <c r="F1590" s="7">
        <v>46.8</v>
      </c>
      <c r="G1590" s="6" t="s">
        <v>12</v>
      </c>
      <c r="H1590" s="8" t="s">
        <v>12</v>
      </c>
    </row>
    <row r="1591">
      <c r="A1591" s="10">
        <v>44915.0</v>
      </c>
      <c r="B1591" s="8" t="s">
        <v>54</v>
      </c>
      <c r="C1591" s="21" t="s">
        <v>18</v>
      </c>
      <c r="D1591" s="6" t="s">
        <v>14</v>
      </c>
      <c r="E1591" s="6" t="s">
        <v>55</v>
      </c>
      <c r="F1591" s="7">
        <v>41.6</v>
      </c>
      <c r="G1591" s="6" t="s">
        <v>12</v>
      </c>
      <c r="H1591" s="8" t="s">
        <v>12</v>
      </c>
    </row>
    <row r="1592">
      <c r="A1592" s="10">
        <v>44915.0</v>
      </c>
      <c r="B1592" s="8" t="s">
        <v>54</v>
      </c>
      <c r="C1592" s="21" t="s">
        <v>18</v>
      </c>
      <c r="D1592" s="6" t="s">
        <v>14</v>
      </c>
      <c r="E1592" s="6" t="s">
        <v>53</v>
      </c>
      <c r="F1592" s="7">
        <v>31.2</v>
      </c>
      <c r="G1592" s="6" t="s">
        <v>12</v>
      </c>
      <c r="H1592" s="8" t="s">
        <v>12</v>
      </c>
    </row>
    <row r="1593">
      <c r="A1593" s="10">
        <v>44916.0</v>
      </c>
      <c r="B1593" s="8" t="s">
        <v>54</v>
      </c>
      <c r="C1593" s="21" t="s">
        <v>20</v>
      </c>
      <c r="D1593" s="6" t="s">
        <v>10</v>
      </c>
      <c r="E1593" s="6" t="s">
        <v>52</v>
      </c>
      <c r="F1593" s="7">
        <v>66.07</v>
      </c>
      <c r="G1593" s="6" t="s">
        <v>12</v>
      </c>
      <c r="H1593" s="8" t="s">
        <v>12</v>
      </c>
    </row>
    <row r="1594">
      <c r="A1594" s="10">
        <v>44916.0</v>
      </c>
      <c r="B1594" s="8" t="s">
        <v>54</v>
      </c>
      <c r="C1594" s="21" t="s">
        <v>20</v>
      </c>
      <c r="D1594" s="6" t="s">
        <v>14</v>
      </c>
      <c r="E1594" s="6" t="s">
        <v>19</v>
      </c>
      <c r="F1594" s="7">
        <v>53.34</v>
      </c>
      <c r="G1594" s="6" t="s">
        <v>12</v>
      </c>
      <c r="H1594" s="8" t="s">
        <v>12</v>
      </c>
    </row>
    <row r="1595">
      <c r="A1595" s="10">
        <v>44916.0</v>
      </c>
      <c r="B1595" s="8" t="s">
        <v>54</v>
      </c>
      <c r="C1595" s="21" t="s">
        <v>20</v>
      </c>
      <c r="D1595" s="6" t="s">
        <v>14</v>
      </c>
      <c r="E1595" s="6" t="s">
        <v>56</v>
      </c>
      <c r="F1595" s="7">
        <v>32.6</v>
      </c>
      <c r="G1595" s="6" t="s">
        <v>12</v>
      </c>
      <c r="H1595" s="8" t="s">
        <v>12</v>
      </c>
    </row>
    <row r="1596">
      <c r="A1596" s="10">
        <v>44917.0</v>
      </c>
      <c r="B1596" s="8" t="s">
        <v>54</v>
      </c>
      <c r="C1596" s="21" t="s">
        <v>21</v>
      </c>
      <c r="D1596" s="6" t="s">
        <v>10</v>
      </c>
      <c r="E1596" s="6" t="s">
        <v>31</v>
      </c>
      <c r="F1596" s="7">
        <v>100.3</v>
      </c>
      <c r="G1596" s="6" t="s">
        <v>12</v>
      </c>
      <c r="H1596" s="8" t="s">
        <v>12</v>
      </c>
    </row>
    <row r="1597">
      <c r="A1597" s="10">
        <v>44917.0</v>
      </c>
      <c r="B1597" s="8" t="s">
        <v>54</v>
      </c>
      <c r="C1597" s="21" t="s">
        <v>21</v>
      </c>
      <c r="D1597" s="6" t="s">
        <v>14</v>
      </c>
      <c r="E1597" s="6" t="s">
        <v>19</v>
      </c>
      <c r="F1597" s="7">
        <v>38.53</v>
      </c>
      <c r="G1597" s="6" t="s">
        <v>12</v>
      </c>
      <c r="H1597" s="8" t="s">
        <v>12</v>
      </c>
    </row>
    <row r="1598">
      <c r="A1598" s="10">
        <v>44917.0</v>
      </c>
      <c r="B1598" s="8" t="s">
        <v>54</v>
      </c>
      <c r="C1598" s="21" t="s">
        <v>21</v>
      </c>
      <c r="D1598" s="6" t="s">
        <v>14</v>
      </c>
      <c r="E1598" s="6" t="s">
        <v>55</v>
      </c>
      <c r="F1598" s="7">
        <v>34.25</v>
      </c>
      <c r="G1598" s="6" t="s">
        <v>12</v>
      </c>
      <c r="H1598" s="8" t="s">
        <v>12</v>
      </c>
    </row>
    <row r="1599">
      <c r="A1599" s="10">
        <v>44887.0</v>
      </c>
      <c r="B1599" s="8" t="s">
        <v>49</v>
      </c>
      <c r="C1599" s="21" t="s">
        <v>18</v>
      </c>
      <c r="D1599" s="6" t="s">
        <v>14</v>
      </c>
      <c r="E1599" s="6" t="s">
        <v>57</v>
      </c>
      <c r="F1599" s="7">
        <v>0.0</v>
      </c>
      <c r="G1599" s="6" t="s">
        <v>26</v>
      </c>
      <c r="H1599" s="8" t="s">
        <v>12</v>
      </c>
    </row>
    <row r="1600">
      <c r="A1600" s="10">
        <v>44918.0</v>
      </c>
      <c r="B1600" s="8" t="s">
        <v>54</v>
      </c>
      <c r="C1600" s="21" t="s">
        <v>22</v>
      </c>
      <c r="D1600" s="6" t="s">
        <v>10</v>
      </c>
      <c r="E1600" s="6" t="s">
        <v>55</v>
      </c>
      <c r="F1600" s="7">
        <v>46.91</v>
      </c>
      <c r="G1600" s="6" t="s">
        <v>12</v>
      </c>
      <c r="H1600" s="8" t="s">
        <v>12</v>
      </c>
    </row>
    <row r="1601">
      <c r="A1601" s="10">
        <v>44918.0</v>
      </c>
      <c r="B1601" s="8" t="s">
        <v>54</v>
      </c>
      <c r="C1601" s="21" t="s">
        <v>22</v>
      </c>
      <c r="D1601" s="6" t="s">
        <v>14</v>
      </c>
      <c r="E1601" s="6" t="s">
        <v>55</v>
      </c>
      <c r="F1601" s="7">
        <v>184.36</v>
      </c>
      <c r="G1601" s="6" t="s">
        <v>12</v>
      </c>
      <c r="H1601" s="8" t="s">
        <v>12</v>
      </c>
    </row>
    <row r="1602">
      <c r="A1602" s="10">
        <v>44918.0</v>
      </c>
      <c r="B1602" s="8" t="s">
        <v>54</v>
      </c>
      <c r="C1602" s="21" t="s">
        <v>22</v>
      </c>
      <c r="D1602" s="6" t="s">
        <v>14</v>
      </c>
      <c r="E1602" s="6" t="s">
        <v>57</v>
      </c>
      <c r="F1602" s="7">
        <v>0.0</v>
      </c>
      <c r="G1602" s="6" t="s">
        <v>26</v>
      </c>
      <c r="H1602" s="8" t="s">
        <v>12</v>
      </c>
    </row>
    <row r="1603">
      <c r="A1603" s="10">
        <v>44919.0</v>
      </c>
      <c r="B1603" s="8" t="s">
        <v>54</v>
      </c>
      <c r="C1603" s="21" t="s">
        <v>23</v>
      </c>
      <c r="D1603" s="6" t="s">
        <v>10</v>
      </c>
      <c r="E1603" s="6" t="s">
        <v>19</v>
      </c>
      <c r="F1603" s="7">
        <v>31.74</v>
      </c>
      <c r="G1603" s="6" t="s">
        <v>12</v>
      </c>
      <c r="H1603" s="8" t="s">
        <v>12</v>
      </c>
    </row>
    <row r="1604">
      <c r="A1604" s="10">
        <v>44919.0</v>
      </c>
      <c r="B1604" s="8" t="s">
        <v>54</v>
      </c>
      <c r="C1604" s="21" t="s">
        <v>23</v>
      </c>
      <c r="D1604" s="6" t="s">
        <v>10</v>
      </c>
      <c r="E1604" s="6" t="s">
        <v>55</v>
      </c>
      <c r="F1604" s="7">
        <v>31.74</v>
      </c>
      <c r="G1604" s="6" t="s">
        <v>12</v>
      </c>
      <c r="H1604" s="8" t="s">
        <v>12</v>
      </c>
    </row>
    <row r="1605">
      <c r="A1605" s="10">
        <v>44919.0</v>
      </c>
      <c r="B1605" s="8" t="s">
        <v>54</v>
      </c>
      <c r="C1605" s="21" t="s">
        <v>23</v>
      </c>
      <c r="D1605" s="6" t="s">
        <v>14</v>
      </c>
      <c r="E1605" s="6" t="s">
        <v>52</v>
      </c>
      <c r="F1605" s="7">
        <v>39.27</v>
      </c>
      <c r="G1605" s="6" t="s">
        <v>12</v>
      </c>
      <c r="H1605" s="8" t="s">
        <v>12</v>
      </c>
    </row>
    <row r="1606">
      <c r="A1606" s="10">
        <v>44921.0</v>
      </c>
      <c r="B1606" s="8" t="s">
        <v>54</v>
      </c>
      <c r="C1606" s="21" t="s">
        <v>16</v>
      </c>
      <c r="D1606" s="6" t="s">
        <v>10</v>
      </c>
      <c r="E1606" s="6" t="s">
        <v>52</v>
      </c>
      <c r="F1606" s="7">
        <v>175.98</v>
      </c>
      <c r="G1606" s="6" t="s">
        <v>12</v>
      </c>
      <c r="H1606" s="8" t="s">
        <v>12</v>
      </c>
    </row>
    <row r="1607">
      <c r="A1607" s="10">
        <v>44921.0</v>
      </c>
      <c r="B1607" s="8" t="s">
        <v>54</v>
      </c>
      <c r="C1607" s="21" t="s">
        <v>16</v>
      </c>
      <c r="D1607" s="6" t="s">
        <v>14</v>
      </c>
      <c r="E1607" s="6" t="s">
        <v>52</v>
      </c>
      <c r="F1607" s="7">
        <v>74.48</v>
      </c>
      <c r="G1607" s="6" t="s">
        <v>12</v>
      </c>
      <c r="H1607" s="8" t="s">
        <v>12</v>
      </c>
    </row>
    <row r="1608">
      <c r="A1608" s="10">
        <v>44921.0</v>
      </c>
      <c r="B1608" s="8" t="s">
        <v>54</v>
      </c>
      <c r="C1608" s="21" t="s">
        <v>16</v>
      </c>
      <c r="D1608" s="6" t="s">
        <v>14</v>
      </c>
      <c r="E1608" s="6" t="s">
        <v>56</v>
      </c>
      <c r="F1608" s="7">
        <v>74.48</v>
      </c>
      <c r="G1608" s="6" t="s">
        <v>12</v>
      </c>
      <c r="H1608" s="8" t="s">
        <v>12</v>
      </c>
    </row>
    <row r="1609">
      <c r="A1609" s="10">
        <v>44922.0</v>
      </c>
      <c r="B1609" s="8" t="s">
        <v>54</v>
      </c>
      <c r="C1609" s="21" t="s">
        <v>18</v>
      </c>
      <c r="D1609" s="6" t="s">
        <v>10</v>
      </c>
      <c r="E1609" s="6" t="s">
        <v>52</v>
      </c>
      <c r="F1609" s="7">
        <v>62.68</v>
      </c>
      <c r="G1609" s="6" t="s">
        <v>12</v>
      </c>
      <c r="H1609" s="8" t="s">
        <v>12</v>
      </c>
    </row>
    <row r="1610">
      <c r="A1610" s="10">
        <v>44922.0</v>
      </c>
      <c r="B1610" s="8" t="s">
        <v>54</v>
      </c>
      <c r="C1610" s="21" t="s">
        <v>18</v>
      </c>
      <c r="D1610" s="6" t="s">
        <v>14</v>
      </c>
      <c r="E1610" s="6" t="s">
        <v>19</v>
      </c>
      <c r="F1610" s="7">
        <v>77.1</v>
      </c>
      <c r="G1610" s="6" t="s">
        <v>12</v>
      </c>
      <c r="H1610" s="8" t="s">
        <v>12</v>
      </c>
    </row>
    <row r="1611">
      <c r="A1611" s="10">
        <v>44922.0</v>
      </c>
      <c r="B1611" s="8" t="s">
        <v>54</v>
      </c>
      <c r="C1611" s="21" t="s">
        <v>18</v>
      </c>
      <c r="D1611" s="6" t="s">
        <v>14</v>
      </c>
      <c r="E1611" s="6" t="s">
        <v>55</v>
      </c>
      <c r="F1611" s="7">
        <v>77.1</v>
      </c>
      <c r="G1611" s="6" t="s">
        <v>12</v>
      </c>
      <c r="H1611" s="8" t="s">
        <v>12</v>
      </c>
    </row>
    <row r="1612">
      <c r="A1612" s="10">
        <v>44922.0</v>
      </c>
      <c r="B1612" s="8" t="s">
        <v>54</v>
      </c>
      <c r="C1612" s="21" t="s">
        <v>18</v>
      </c>
      <c r="D1612" s="6" t="s">
        <v>14</v>
      </c>
      <c r="E1612" s="6" t="s">
        <v>57</v>
      </c>
      <c r="F1612" s="7">
        <v>0.0</v>
      </c>
      <c r="G1612" s="6" t="s">
        <v>26</v>
      </c>
      <c r="H1612" s="8" t="s">
        <v>12</v>
      </c>
    </row>
    <row r="1613">
      <c r="A1613" s="10">
        <v>44923.0</v>
      </c>
      <c r="B1613" s="8" t="s">
        <v>54</v>
      </c>
      <c r="C1613" s="21" t="s">
        <v>20</v>
      </c>
      <c r="D1613" s="6" t="s">
        <v>10</v>
      </c>
      <c r="E1613" s="6" t="s">
        <v>19</v>
      </c>
      <c r="F1613" s="7">
        <v>49.81</v>
      </c>
      <c r="G1613" s="6" t="s">
        <v>12</v>
      </c>
      <c r="H1613" s="8" t="s">
        <v>12</v>
      </c>
    </row>
    <row r="1614">
      <c r="A1614" s="10">
        <v>44923.0</v>
      </c>
      <c r="B1614" s="8" t="s">
        <v>54</v>
      </c>
      <c r="C1614" s="21" t="s">
        <v>20</v>
      </c>
      <c r="D1614" s="6" t="s">
        <v>14</v>
      </c>
      <c r="E1614" s="6" t="s">
        <v>19</v>
      </c>
      <c r="F1614" s="7">
        <v>38.09</v>
      </c>
      <c r="G1614" s="6" t="s">
        <v>12</v>
      </c>
      <c r="H1614" s="8" t="s">
        <v>12</v>
      </c>
    </row>
    <row r="1615">
      <c r="A1615" s="10">
        <v>44923.0</v>
      </c>
      <c r="B1615" s="8" t="s">
        <v>54</v>
      </c>
      <c r="C1615" s="21" t="s">
        <v>20</v>
      </c>
      <c r="D1615" s="6" t="s">
        <v>14</v>
      </c>
      <c r="E1615" s="6" t="s">
        <v>53</v>
      </c>
      <c r="F1615" s="7">
        <v>33.86</v>
      </c>
      <c r="G1615" s="6" t="s">
        <v>12</v>
      </c>
      <c r="H1615" s="8" t="s">
        <v>12</v>
      </c>
    </row>
    <row r="1616">
      <c r="A1616" s="10">
        <v>44923.0</v>
      </c>
      <c r="B1616" s="8" t="s">
        <v>54</v>
      </c>
      <c r="C1616" s="21" t="s">
        <v>20</v>
      </c>
      <c r="D1616" s="6" t="s">
        <v>14</v>
      </c>
      <c r="E1616" s="6" t="s">
        <v>47</v>
      </c>
      <c r="F1616" s="7">
        <v>19.05</v>
      </c>
      <c r="G1616" s="6" t="s">
        <v>12</v>
      </c>
      <c r="H1616" s="8" t="s">
        <v>12</v>
      </c>
    </row>
    <row r="1617">
      <c r="A1617" s="10">
        <v>44924.0</v>
      </c>
      <c r="B1617" s="8" t="s">
        <v>54</v>
      </c>
      <c r="C1617" s="21" t="s">
        <v>21</v>
      </c>
      <c r="D1617" s="6" t="s">
        <v>10</v>
      </c>
      <c r="E1617" s="6" t="s">
        <v>52</v>
      </c>
      <c r="F1617" s="7">
        <v>105.08</v>
      </c>
      <c r="G1617" s="6" t="s">
        <v>12</v>
      </c>
      <c r="H1617" s="8" t="s">
        <v>12</v>
      </c>
    </row>
    <row r="1618">
      <c r="A1618" s="10">
        <v>44924.0</v>
      </c>
      <c r="B1618" s="8" t="s">
        <v>54</v>
      </c>
      <c r="C1618" s="21" t="s">
        <v>21</v>
      </c>
      <c r="D1618" s="6" t="s">
        <v>14</v>
      </c>
      <c r="E1618" s="6" t="s">
        <v>19</v>
      </c>
      <c r="F1618" s="7">
        <v>29.54</v>
      </c>
      <c r="G1618" s="6" t="s">
        <v>12</v>
      </c>
      <c r="H1618" s="8" t="s">
        <v>12</v>
      </c>
    </row>
    <row r="1619">
      <c r="A1619" s="10">
        <v>44924.0</v>
      </c>
      <c r="B1619" s="8" t="s">
        <v>54</v>
      </c>
      <c r="C1619" s="21" t="s">
        <v>21</v>
      </c>
      <c r="D1619" s="6" t="s">
        <v>14</v>
      </c>
      <c r="E1619" s="6" t="s">
        <v>57</v>
      </c>
      <c r="F1619" s="7">
        <v>29.54</v>
      </c>
      <c r="G1619" s="6" t="s">
        <v>12</v>
      </c>
      <c r="H1619" s="8" t="s">
        <v>12</v>
      </c>
    </row>
    <row r="1620">
      <c r="A1620" s="10">
        <v>44924.0</v>
      </c>
      <c r="B1620" s="8" t="s">
        <v>54</v>
      </c>
      <c r="C1620" s="21" t="s">
        <v>21</v>
      </c>
      <c r="D1620" s="6" t="s">
        <v>14</v>
      </c>
      <c r="E1620" s="6" t="s">
        <v>53</v>
      </c>
      <c r="F1620" s="7">
        <v>24.61</v>
      </c>
      <c r="G1620" s="6" t="s">
        <v>12</v>
      </c>
      <c r="H1620" s="8" t="s">
        <v>12</v>
      </c>
    </row>
    <row r="1621">
      <c r="A1621" s="10">
        <v>44925.0</v>
      </c>
      <c r="B1621" s="8" t="s">
        <v>54</v>
      </c>
      <c r="C1621" s="21" t="s">
        <v>22</v>
      </c>
      <c r="D1621" s="6" t="s">
        <v>10</v>
      </c>
      <c r="E1621" s="6" t="s">
        <v>52</v>
      </c>
      <c r="F1621" s="7">
        <v>69.87</v>
      </c>
      <c r="G1621" s="6" t="s">
        <v>12</v>
      </c>
      <c r="H1621" s="8" t="s">
        <v>12</v>
      </c>
    </row>
    <row r="1622">
      <c r="A1622" s="10">
        <v>44925.0</v>
      </c>
      <c r="B1622" s="8" t="s">
        <v>54</v>
      </c>
      <c r="C1622" s="21" t="s">
        <v>22</v>
      </c>
      <c r="D1622" s="6" t="s">
        <v>14</v>
      </c>
      <c r="E1622" s="6" t="s">
        <v>19</v>
      </c>
      <c r="F1622" s="7">
        <v>41.93</v>
      </c>
      <c r="G1622" s="6" t="s">
        <v>12</v>
      </c>
      <c r="H1622" s="8" t="s">
        <v>12</v>
      </c>
    </row>
    <row r="1623">
      <c r="A1623" s="10">
        <v>44925.0</v>
      </c>
      <c r="B1623" s="8" t="s">
        <v>54</v>
      </c>
      <c r="C1623" s="21" t="s">
        <v>22</v>
      </c>
      <c r="D1623" s="6" t="s">
        <v>14</v>
      </c>
      <c r="E1623" s="6" t="s">
        <v>57</v>
      </c>
      <c r="F1623" s="7">
        <v>41.93</v>
      </c>
      <c r="G1623" s="6" t="s">
        <v>12</v>
      </c>
      <c r="H1623" s="8" t="s">
        <v>12</v>
      </c>
    </row>
    <row r="1624">
      <c r="A1624" s="10">
        <v>44925.0</v>
      </c>
      <c r="B1624" s="8" t="s">
        <v>54</v>
      </c>
      <c r="C1624" s="21" t="s">
        <v>22</v>
      </c>
      <c r="D1624" s="6" t="s">
        <v>14</v>
      </c>
      <c r="E1624" s="6" t="s">
        <v>53</v>
      </c>
      <c r="F1624" s="7">
        <v>41.93</v>
      </c>
      <c r="G1624" s="6" t="s">
        <v>12</v>
      </c>
      <c r="H1624" s="8" t="s">
        <v>12</v>
      </c>
    </row>
    <row r="1625">
      <c r="A1625" s="10">
        <v>44926.0</v>
      </c>
      <c r="B1625" s="8" t="s">
        <v>54</v>
      </c>
      <c r="C1625" s="21" t="s">
        <v>23</v>
      </c>
      <c r="D1625" s="6" t="s">
        <v>10</v>
      </c>
      <c r="E1625" s="6" t="s">
        <v>19</v>
      </c>
      <c r="F1625" s="7">
        <v>50.25</v>
      </c>
      <c r="G1625" s="6" t="s">
        <v>12</v>
      </c>
      <c r="H1625" s="8" t="s">
        <v>12</v>
      </c>
    </row>
    <row r="1626">
      <c r="A1626" s="10">
        <v>44926.0</v>
      </c>
      <c r="B1626" s="8" t="s">
        <v>54</v>
      </c>
      <c r="C1626" s="21" t="s">
        <v>23</v>
      </c>
      <c r="D1626" s="6" t="s">
        <v>10</v>
      </c>
      <c r="E1626" s="6" t="s">
        <v>55</v>
      </c>
      <c r="F1626" s="7">
        <v>50.25</v>
      </c>
      <c r="G1626" s="6" t="s">
        <v>12</v>
      </c>
      <c r="H1626" s="8" t="s">
        <v>12</v>
      </c>
    </row>
    <row r="1627">
      <c r="A1627" s="10">
        <v>44926.0</v>
      </c>
      <c r="B1627" s="8" t="s">
        <v>54</v>
      </c>
      <c r="C1627" s="21" t="s">
        <v>23</v>
      </c>
      <c r="D1627" s="6" t="s">
        <v>14</v>
      </c>
      <c r="E1627" s="6" t="s">
        <v>52</v>
      </c>
      <c r="F1627" s="7">
        <v>57.29</v>
      </c>
      <c r="G1627" s="6" t="s">
        <v>12</v>
      </c>
      <c r="H1627" s="8" t="s">
        <v>12</v>
      </c>
    </row>
    <row r="1628">
      <c r="A1628" s="10">
        <v>44926.0</v>
      </c>
      <c r="B1628" s="8" t="s">
        <v>54</v>
      </c>
      <c r="C1628" s="21" t="s">
        <v>23</v>
      </c>
      <c r="D1628" s="6" t="s">
        <v>14</v>
      </c>
      <c r="E1628" s="6" t="s">
        <v>47</v>
      </c>
      <c r="F1628" s="7">
        <v>49.11</v>
      </c>
      <c r="G1628" s="6" t="s">
        <v>12</v>
      </c>
      <c r="H1628" s="8" t="s">
        <v>12</v>
      </c>
    </row>
  </sheetData>
  <conditionalFormatting sqref="G1:H1628">
    <cfRule type="containsText" dxfId="0" priority="1" operator="containsText" text="Yes">
      <formula>NOT(ISERROR(SEARCH(("Yes"),(G1))))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3">
      <c r="B13" s="25" t="s">
        <v>9</v>
      </c>
      <c r="C13" s="25" t="s">
        <v>16</v>
      </c>
      <c r="D13" s="25" t="s">
        <v>18</v>
      </c>
      <c r="E13" s="25" t="s">
        <v>20</v>
      </c>
      <c r="F13" s="25" t="s">
        <v>21</v>
      </c>
      <c r="G13" s="26" t="s">
        <v>22</v>
      </c>
      <c r="H13" s="25" t="s">
        <v>23</v>
      </c>
    </row>
    <row r="14">
      <c r="A14" s="25" t="s">
        <v>10</v>
      </c>
      <c r="B14" s="23">
        <f t="array" ref="B14">XLOOKUP(B$13,$A$3:$A$9,$B$3:$B$9)/3</f>
        <v>24.75345603</v>
      </c>
      <c r="C14" s="23">
        <f t="shared" ref="C14:G14" si="1">XLOOKUP(C$13,$A$3:$A$9,$B$3:$B$9)</f>
        <v>96.26661017</v>
      </c>
      <c r="D14" s="23">
        <f t="shared" si="1"/>
        <v>84.52078431</v>
      </c>
      <c r="E14" s="23">
        <f t="shared" si="1"/>
        <v>72.47578947</v>
      </c>
      <c r="F14" s="23">
        <f t="shared" si="1"/>
        <v>77.27759259</v>
      </c>
      <c r="G14" s="23">
        <f t="shared" si="1"/>
        <v>70.7416</v>
      </c>
      <c r="H14" s="23">
        <f t="array" ref="H14">XLOOKUP(H$13,$A$3:$A$9,$B$3:$B$9)/3</f>
        <v>26.751621</v>
      </c>
    </row>
    <row r="15">
      <c r="A15" s="25" t="s">
        <v>14</v>
      </c>
      <c r="B15" s="23">
        <f t="shared" ref="B15:H15" si="2">XLOOKUP(B$13,$A$3:$A$9,$C$3:$C$9)/3</f>
        <v>17.53190476</v>
      </c>
      <c r="C15" s="23">
        <f t="shared" si="2"/>
        <v>21.67570743</v>
      </c>
      <c r="D15" s="23">
        <f t="shared" si="2"/>
        <v>17.63021277</v>
      </c>
      <c r="E15" s="23">
        <f t="shared" si="2"/>
        <v>18.2531401</v>
      </c>
      <c r="F15" s="23">
        <f t="shared" si="2"/>
        <v>17.84941441</v>
      </c>
      <c r="G15" s="23">
        <f t="shared" si="2"/>
        <v>22.91139434</v>
      </c>
      <c r="H15" s="23">
        <f t="shared" si="2"/>
        <v>19.19700855</v>
      </c>
    </row>
  </sheetData>
  <conditionalFormatting sqref="B14:H15">
    <cfRule type="colorScale" priority="1">
      <colorScale>
        <cfvo type="min"/>
        <cfvo type="percent" val="50"/>
        <cfvo type="max"/>
        <color rgb="FFEA9999"/>
        <color rgb="FFFFE599"/>
        <color rgb="FF57BB8A"/>
      </colorScale>
    </cfRule>
  </conditionalFormatting>
  <drawing r:id="rId2"/>
</worksheet>
</file>