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928F178-E272-4D9E-922B-B2E4310C5139}" xr6:coauthVersionLast="47" xr6:coauthVersionMax="47" xr10:uidLastSave="{00000000-0000-0000-0000-000000000000}"/>
  <bookViews>
    <workbookView xWindow="-108" yWindow="-108" windowWidth="23256" windowHeight="12576" activeTab="5" xr2:uid="{DD4A55DB-809E-4F5D-82D7-2E5F8644B9B4}"/>
  </bookViews>
  <sheets>
    <sheet name="Raw Data_TESLA" sheetId="1" r:id="rId1"/>
    <sheet name="Income Statement" sheetId="2" r:id="rId2"/>
    <sheet name="Virtical Analysis " sheetId="7" r:id="rId3"/>
    <sheet name="Horizontal Analysis" sheetId="9" r:id="rId4"/>
    <sheet name="RATIO" sheetId="3" r:id="rId5"/>
    <sheet name="Visualization" sheetId="10" r:id="rId6"/>
  </sheets>
  <definedNames>
    <definedName name="_xlchart.v1.0" hidden="1">RATIO!$E$10:$I$10</definedName>
    <definedName name="_xlchart.v1.1" hidden="1">RATIO!$E$6:$I$6</definedName>
    <definedName name="_xlchart.v1.2" hidden="1">RATIO!$E$10:$I$10</definedName>
    <definedName name="_xlchart.v1.3" hidden="1">RATIO!$E$6:$I$6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F22" i="3"/>
  <c r="G22" i="3"/>
  <c r="H22" i="3"/>
  <c r="I22" i="3"/>
  <c r="E22" i="3"/>
  <c r="F21" i="3"/>
  <c r="G21" i="3"/>
  <c r="H21" i="3"/>
  <c r="I21" i="3"/>
  <c r="E21" i="3"/>
  <c r="F18" i="3"/>
  <c r="G18" i="3"/>
  <c r="H18" i="3"/>
  <c r="I18" i="3"/>
  <c r="E18" i="3"/>
  <c r="F17" i="3"/>
  <c r="G17" i="3"/>
  <c r="H17" i="3"/>
  <c r="I17" i="3"/>
  <c r="E17" i="3"/>
  <c r="F16" i="3"/>
  <c r="G16" i="3"/>
  <c r="H16" i="3"/>
  <c r="I16" i="3"/>
  <c r="E16" i="3"/>
  <c r="F39" i="3"/>
  <c r="G39" i="3"/>
  <c r="H39" i="3"/>
  <c r="I39" i="3"/>
  <c r="E39" i="3"/>
  <c r="F38" i="3"/>
  <c r="G38" i="3"/>
  <c r="H38" i="3"/>
  <c r="I38" i="3"/>
  <c r="E38" i="3"/>
  <c r="F37" i="3"/>
  <c r="G37" i="3"/>
  <c r="H37" i="3"/>
  <c r="I37" i="3"/>
  <c r="E37" i="3"/>
  <c r="F36" i="3"/>
  <c r="G36" i="3"/>
  <c r="H36" i="3"/>
  <c r="I36" i="3"/>
  <c r="E36" i="3"/>
  <c r="F24" i="7"/>
  <c r="G24" i="7"/>
  <c r="H24" i="7"/>
  <c r="I24" i="7"/>
  <c r="E24" i="7"/>
  <c r="F22" i="7"/>
  <c r="G22" i="7"/>
  <c r="H22" i="7"/>
  <c r="I22" i="7"/>
  <c r="E22" i="7"/>
  <c r="F23" i="7"/>
  <c r="G23" i="7"/>
  <c r="H23" i="7"/>
  <c r="I23" i="7"/>
  <c r="I35" i="3" s="1"/>
  <c r="E23" i="7"/>
  <c r="E35" i="3" s="1"/>
  <c r="F11" i="3"/>
  <c r="G11" i="3"/>
  <c r="H11" i="3"/>
  <c r="I11" i="3"/>
  <c r="E11" i="3"/>
  <c r="F10" i="3"/>
  <c r="G10" i="3"/>
  <c r="H10" i="3"/>
  <c r="I10" i="3"/>
  <c r="E10" i="3"/>
  <c r="F9" i="3"/>
  <c r="G9" i="3"/>
  <c r="H9" i="3"/>
  <c r="I9" i="3"/>
  <c r="E9" i="3"/>
  <c r="F8" i="3"/>
  <c r="G8" i="3"/>
  <c r="H8" i="3"/>
  <c r="I8" i="3"/>
  <c r="E8" i="3"/>
  <c r="K21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K9" i="9"/>
  <c r="K10" i="9"/>
  <c r="K11" i="9"/>
  <c r="K12" i="9"/>
  <c r="K13" i="9"/>
  <c r="K14" i="9"/>
  <c r="K15" i="9"/>
  <c r="K16" i="9"/>
  <c r="K17" i="9"/>
  <c r="K18" i="9"/>
  <c r="K19" i="9"/>
  <c r="K20" i="9"/>
  <c r="K22" i="9"/>
  <c r="K23" i="9"/>
  <c r="K24" i="9"/>
  <c r="N8" i="9"/>
  <c r="M8" i="9"/>
  <c r="L8" i="9"/>
  <c r="K8" i="9"/>
  <c r="E15" i="2"/>
  <c r="I22" i="9"/>
  <c r="H22" i="9"/>
  <c r="G22" i="9"/>
  <c r="F22" i="9"/>
  <c r="E22" i="9"/>
  <c r="I19" i="9"/>
  <c r="H19" i="9"/>
  <c r="G19" i="9"/>
  <c r="F19" i="9"/>
  <c r="E19" i="9"/>
  <c r="I17" i="9"/>
  <c r="H17" i="9"/>
  <c r="G17" i="9"/>
  <c r="F17" i="9"/>
  <c r="E17" i="9"/>
  <c r="I14" i="9"/>
  <c r="H14" i="9"/>
  <c r="G14" i="9"/>
  <c r="F14" i="9"/>
  <c r="E14" i="9"/>
  <c r="I12" i="9"/>
  <c r="H12" i="9"/>
  <c r="G12" i="9"/>
  <c r="F12" i="9"/>
  <c r="E12" i="9"/>
  <c r="I9" i="9"/>
  <c r="H9" i="9"/>
  <c r="G9" i="9"/>
  <c r="F9" i="9"/>
  <c r="F10" i="9" s="1"/>
  <c r="F15" i="9" s="1"/>
  <c r="F18" i="9" s="1"/>
  <c r="F21" i="9" s="1"/>
  <c r="F24" i="9" s="1"/>
  <c r="F25" i="9" s="1"/>
  <c r="E9" i="9"/>
  <c r="I8" i="9"/>
  <c r="I10" i="9" s="1"/>
  <c r="H8" i="9"/>
  <c r="G8" i="9"/>
  <c r="F8" i="9"/>
  <c r="E8" i="9"/>
  <c r="I5" i="9"/>
  <c r="H5" i="9"/>
  <c r="G5" i="9"/>
  <c r="F5" i="9"/>
  <c r="E5" i="9"/>
  <c r="B2" i="9"/>
  <c r="E15" i="7"/>
  <c r="F15" i="7"/>
  <c r="E16" i="7"/>
  <c r="F16" i="7"/>
  <c r="G16" i="7"/>
  <c r="H16" i="7"/>
  <c r="I16" i="7"/>
  <c r="E17" i="7"/>
  <c r="F17" i="7"/>
  <c r="G17" i="7"/>
  <c r="H17" i="7"/>
  <c r="I17" i="7"/>
  <c r="E18" i="7"/>
  <c r="F18" i="7"/>
  <c r="G18" i="7"/>
  <c r="H18" i="7"/>
  <c r="I18" i="7"/>
  <c r="E19" i="7"/>
  <c r="F19" i="7"/>
  <c r="G19" i="7"/>
  <c r="H19" i="7"/>
  <c r="I19" i="7"/>
  <c r="G15" i="7"/>
  <c r="H15" i="7"/>
  <c r="I15" i="7"/>
  <c r="F11" i="7"/>
  <c r="G11" i="7"/>
  <c r="H11" i="7"/>
  <c r="I11" i="7"/>
  <c r="E11" i="7"/>
  <c r="F10" i="7"/>
  <c r="G10" i="7"/>
  <c r="H10" i="7"/>
  <c r="I10" i="7"/>
  <c r="E10" i="7"/>
  <c r="F9" i="7"/>
  <c r="G9" i="7"/>
  <c r="H9" i="7"/>
  <c r="I9" i="7"/>
  <c r="E9" i="7"/>
  <c r="F8" i="7"/>
  <c r="F28" i="3" s="1"/>
  <c r="G8" i="7"/>
  <c r="H8" i="7"/>
  <c r="I8" i="7"/>
  <c r="E8" i="7"/>
  <c r="I5" i="7"/>
  <c r="N5" i="7" s="1"/>
  <c r="H5" i="7"/>
  <c r="G5" i="7"/>
  <c r="M5" i="7" s="1"/>
  <c r="F5" i="7"/>
  <c r="L5" i="7" s="1"/>
  <c r="E5" i="7"/>
  <c r="K5" i="7" s="1"/>
  <c r="B2" i="7"/>
  <c r="E8" i="2"/>
  <c r="F22" i="2"/>
  <c r="G22" i="2"/>
  <c r="H22" i="2"/>
  <c r="I22" i="2"/>
  <c r="E22" i="2"/>
  <c r="F19" i="2"/>
  <c r="G19" i="2"/>
  <c r="H19" i="2"/>
  <c r="I19" i="2"/>
  <c r="E19" i="2"/>
  <c r="F17" i="2"/>
  <c r="G17" i="2"/>
  <c r="H17" i="2"/>
  <c r="I17" i="2"/>
  <c r="E17" i="2"/>
  <c r="F14" i="2"/>
  <c r="G14" i="2"/>
  <c r="H14" i="2"/>
  <c r="I14" i="2"/>
  <c r="E14" i="2"/>
  <c r="F12" i="2"/>
  <c r="G12" i="2"/>
  <c r="H12" i="2"/>
  <c r="I12" i="2"/>
  <c r="E12" i="2"/>
  <c r="F9" i="2"/>
  <c r="G9" i="2"/>
  <c r="H9" i="2"/>
  <c r="I9" i="2"/>
  <c r="E9" i="2"/>
  <c r="F8" i="2"/>
  <c r="G8" i="2"/>
  <c r="H8" i="2"/>
  <c r="I8" i="2"/>
  <c r="E5" i="2"/>
  <c r="F5" i="2"/>
  <c r="G5" i="2"/>
  <c r="H5" i="2"/>
  <c r="I5" i="2"/>
  <c r="B2" i="2"/>
  <c r="G60" i="1"/>
  <c r="G65" i="1" s="1"/>
  <c r="G69" i="1" s="1"/>
  <c r="G73" i="1" s="1"/>
  <c r="G76" i="1" s="1"/>
  <c r="F60" i="1"/>
  <c r="F65" i="1" s="1"/>
  <c r="F69" i="1" s="1"/>
  <c r="F73" i="1" s="1"/>
  <c r="F76" i="1" s="1"/>
  <c r="E60" i="1"/>
  <c r="E65" i="1" s="1"/>
  <c r="E69" i="1" s="1"/>
  <c r="E73" i="1" s="1"/>
  <c r="E76" i="1" s="1"/>
  <c r="D60" i="1"/>
  <c r="D65" i="1" s="1"/>
  <c r="D69" i="1" s="1"/>
  <c r="D73" i="1" s="1"/>
  <c r="D76" i="1" s="1"/>
  <c r="C60" i="1"/>
  <c r="C65" i="1" s="1"/>
  <c r="C69" i="1" s="1"/>
  <c r="C73" i="1" s="1"/>
  <c r="C76" i="1" s="1"/>
  <c r="G45" i="1"/>
  <c r="G47" i="1" s="1"/>
  <c r="G52" i="1" s="1"/>
  <c r="F45" i="1"/>
  <c r="F47" i="1" s="1"/>
  <c r="F52" i="1" s="1"/>
  <c r="E45" i="1"/>
  <c r="E47" i="1" s="1"/>
  <c r="E52" i="1" s="1"/>
  <c r="D45" i="1"/>
  <c r="D47" i="1" s="1"/>
  <c r="D52" i="1" s="1"/>
  <c r="C45" i="1"/>
  <c r="C47" i="1" s="1"/>
  <c r="C52" i="1" s="1"/>
  <c r="G38" i="1"/>
  <c r="F38" i="1"/>
  <c r="E38" i="1"/>
  <c r="D38" i="1"/>
  <c r="C38" i="1"/>
  <c r="F29" i="1"/>
  <c r="E29" i="1"/>
  <c r="G27" i="1"/>
  <c r="G29" i="1" s="1"/>
  <c r="F27" i="1"/>
  <c r="E27" i="1"/>
  <c r="D27" i="1"/>
  <c r="D29" i="1" s="1"/>
  <c r="C27" i="1"/>
  <c r="C29" i="1" s="1"/>
  <c r="E28" i="3" l="1"/>
  <c r="I28" i="3"/>
  <c r="H28" i="3"/>
  <c r="G35" i="3"/>
  <c r="F35" i="3"/>
  <c r="H35" i="3"/>
  <c r="G28" i="3"/>
  <c r="H13" i="7"/>
  <c r="G13" i="7"/>
  <c r="G21" i="7"/>
  <c r="I13" i="7"/>
  <c r="F21" i="7"/>
  <c r="I21" i="7"/>
  <c r="H21" i="7"/>
  <c r="H26" i="7" s="1"/>
  <c r="N23" i="7" s="1"/>
  <c r="F13" i="7"/>
  <c r="E13" i="7"/>
  <c r="E21" i="7"/>
  <c r="E10" i="9"/>
  <c r="E15" i="9" s="1"/>
  <c r="E18" i="9" s="1"/>
  <c r="E21" i="9" s="1"/>
  <c r="E24" i="9" s="1"/>
  <c r="E25" i="9" s="1"/>
  <c r="H10" i="9"/>
  <c r="H15" i="9" s="1"/>
  <c r="H18" i="9" s="1"/>
  <c r="H21" i="9" s="1"/>
  <c r="H24" i="9" s="1"/>
  <c r="H25" i="9" s="1"/>
  <c r="G10" i="9"/>
  <c r="G15" i="9" s="1"/>
  <c r="G18" i="9" s="1"/>
  <c r="G21" i="9" s="1"/>
  <c r="G24" i="9" s="1"/>
  <c r="G25" i="9" s="1"/>
  <c r="I15" i="9"/>
  <c r="I18" i="9" s="1"/>
  <c r="I21" i="9" s="1"/>
  <c r="I24" i="9" s="1"/>
  <c r="I25" i="9" s="1"/>
  <c r="G10" i="2"/>
  <c r="G15" i="2" s="1"/>
  <c r="G18" i="2" s="1"/>
  <c r="G21" i="2" s="1"/>
  <c r="G24" i="2" s="1"/>
  <c r="G25" i="2" s="1"/>
  <c r="I10" i="2"/>
  <c r="I15" i="2" s="1"/>
  <c r="I18" i="2" s="1"/>
  <c r="I21" i="2" s="1"/>
  <c r="I24" i="2" s="1"/>
  <c r="I25" i="2" s="1"/>
  <c r="H10" i="2"/>
  <c r="H15" i="2" s="1"/>
  <c r="H18" i="2" s="1"/>
  <c r="H21" i="2" s="1"/>
  <c r="H24" i="2" s="1"/>
  <c r="H25" i="2" s="1"/>
  <c r="E10" i="2"/>
  <c r="E18" i="2" s="1"/>
  <c r="E21" i="2" s="1"/>
  <c r="E24" i="2" s="1"/>
  <c r="E25" i="2" s="1"/>
  <c r="F10" i="2"/>
  <c r="F15" i="2" s="1"/>
  <c r="F18" i="2" s="1"/>
  <c r="F21" i="2" s="1"/>
  <c r="F24" i="2" s="1"/>
  <c r="F25" i="2" s="1"/>
  <c r="N24" i="7" l="1"/>
  <c r="I26" i="7"/>
  <c r="I29" i="3" s="1"/>
  <c r="F27" i="3"/>
  <c r="G26" i="7"/>
  <c r="G27" i="3"/>
  <c r="H27" i="3"/>
  <c r="H29" i="3"/>
  <c r="N22" i="7"/>
  <c r="N21" i="7"/>
  <c r="E27" i="3"/>
  <c r="I27" i="3"/>
  <c r="E26" i="7"/>
  <c r="K24" i="7" s="1"/>
  <c r="F26" i="7"/>
  <c r="N18" i="7"/>
  <c r="N10" i="7"/>
  <c r="N16" i="7"/>
  <c r="N17" i="7"/>
  <c r="N26" i="7"/>
  <c r="N19" i="7"/>
  <c r="N8" i="7"/>
  <c r="M15" i="7"/>
  <c r="N13" i="7"/>
  <c r="N9" i="7"/>
  <c r="N15" i="7"/>
  <c r="N11" i="7"/>
  <c r="F29" i="3" l="1"/>
  <c r="L24" i="7"/>
  <c r="M16" i="7"/>
  <c r="M24" i="7"/>
  <c r="M10" i="7"/>
  <c r="M26" i="7"/>
  <c r="M19" i="7"/>
  <c r="M8" i="7"/>
  <c r="G29" i="3"/>
  <c r="M21" i="7"/>
  <c r="M11" i="7"/>
  <c r="M13" i="7"/>
  <c r="M17" i="7"/>
  <c r="M9" i="7"/>
  <c r="M18" i="7"/>
  <c r="K21" i="7"/>
  <c r="K23" i="7"/>
  <c r="K22" i="7"/>
  <c r="E29" i="3"/>
  <c r="M23" i="7"/>
  <c r="M22" i="7"/>
  <c r="L21" i="7"/>
  <c r="L23" i="7"/>
  <c r="L22" i="7"/>
  <c r="K13" i="7"/>
  <c r="F12" i="3"/>
  <c r="L10" i="7"/>
  <c r="L26" i="7"/>
  <c r="L8" i="7"/>
  <c r="L18" i="7"/>
  <c r="L16" i="7"/>
  <c r="L15" i="7"/>
  <c r="L17" i="7"/>
  <c r="L19" i="7"/>
  <c r="L9" i="7"/>
  <c r="L11" i="7"/>
  <c r="L13" i="7"/>
  <c r="K26" i="7"/>
  <c r="K18" i="7"/>
  <c r="K16" i="7"/>
  <c r="E12" i="3"/>
  <c r="K15" i="7"/>
  <c r="K10" i="7"/>
  <c r="K19" i="7"/>
  <c r="K17" i="7"/>
  <c r="K8" i="7"/>
  <c r="K11" i="7"/>
  <c r="K9" i="7"/>
  <c r="H12" i="3" l="1"/>
  <c r="G12" i="3"/>
  <c r="I12" i="3"/>
</calcChain>
</file>

<file path=xl/sharedStrings.xml><?xml version="1.0" encoding="utf-8"?>
<sst xmlns="http://schemas.openxmlformats.org/spreadsheetml/2006/main" count="165" uniqueCount="132">
  <si>
    <t>Fiscal year is January-December. All values USD Millions.</t>
  </si>
  <si>
    <t>Balance sheet</t>
  </si>
  <si>
    <t>Assets</t>
  </si>
  <si>
    <t>Current Assets</t>
  </si>
  <si>
    <t xml:space="preserve">Cash </t>
  </si>
  <si>
    <t>Accounts Receivables, Net</t>
  </si>
  <si>
    <t>Inventories</t>
  </si>
  <si>
    <t>Other Current Assets</t>
  </si>
  <si>
    <t>Total Current Assets</t>
  </si>
  <si>
    <t>Non-Current Assets</t>
  </si>
  <si>
    <t>Net Property, Plant &amp; Equipment</t>
  </si>
  <si>
    <t>Total Investments and Advances</t>
  </si>
  <si>
    <t>Long-Term Note Receivable</t>
  </si>
  <si>
    <t>Intangible Assets</t>
  </si>
  <si>
    <t>Other Assets</t>
  </si>
  <si>
    <t>Total Non Current Assets</t>
  </si>
  <si>
    <t>Total Assets</t>
  </si>
  <si>
    <t>Liabilities &amp; Shareholders' Equity</t>
  </si>
  <si>
    <t xml:space="preserve">ST Debt 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</si>
  <si>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</si>
  <si>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</si>
  <si>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</si>
  <si>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</si>
  <si>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</si>
  <si>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</si>
  <si>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Taxes</t>
  </si>
  <si>
    <t>-</t>
  </si>
  <si>
    <t>Other Liabilities</t>
  </si>
  <si>
    <t>Total Non - Current Liabilities</t>
  </si>
  <si>
    <t>Total Liabilities</t>
  </si>
  <si>
    <t>Total Shareholders' Equity</t>
  </si>
  <si>
    <t>Total LIABILITIES &amp; SHAREHOLDERS' EQUITY</t>
  </si>
  <si>
    <t>Income Statement</t>
  </si>
  <si>
    <t>Sales/Revenue</t>
  </si>
  <si>
    <t xml:space="preserve">Cost of Goods Sold (COGS) </t>
  </si>
  <si>
    <t>Gross Income (profit)</t>
  </si>
  <si>
    <t>SG&amp;A Expense</t>
  </si>
  <si>
    <t>Depreciation &amp; Amortization Expense</t>
  </si>
  <si>
    <t>Operating income/ loss</t>
  </si>
  <si>
    <t>Other / Income &amp; Expenses</t>
  </si>
  <si>
    <t>EBIT</t>
  </si>
  <si>
    <t>Interest Expense</t>
  </si>
  <si>
    <t>EBT</t>
  </si>
  <si>
    <t>Tax</t>
  </si>
  <si>
    <t>Net Income</t>
  </si>
  <si>
    <t>Income After Tax</t>
  </si>
  <si>
    <t>Income Tax - Total</t>
  </si>
  <si>
    <t>Unusual Expenses (Income)</t>
  </si>
  <si>
    <t xml:space="preserve">Operating Income </t>
  </si>
  <si>
    <t>Depreciation/Amortization</t>
  </si>
  <si>
    <t>Research &amp; Development</t>
  </si>
  <si>
    <t>Selling/General/Administrative Expenses, Total</t>
  </si>
  <si>
    <t>Gross Profit</t>
  </si>
  <si>
    <t>Cost of Revenue, Total</t>
  </si>
  <si>
    <t xml:space="preserve">Interest coverage ratio </t>
  </si>
  <si>
    <t>Total assets to equity</t>
  </si>
  <si>
    <t>Debt to EBITDA</t>
  </si>
  <si>
    <t>Debt to TNW</t>
  </si>
  <si>
    <t>Solvency</t>
  </si>
  <si>
    <t>Quick ratio or acid test ratio</t>
  </si>
  <si>
    <t>Current ratio</t>
  </si>
  <si>
    <t>Liquidity ratio</t>
  </si>
  <si>
    <t>Inventory days ratio</t>
  </si>
  <si>
    <t>Inventory turnover ratio</t>
  </si>
  <si>
    <t>Inventory</t>
  </si>
  <si>
    <t>PP&amp;E turnover ratio</t>
  </si>
  <si>
    <t>Total Asset turnover ratio</t>
  </si>
  <si>
    <t>The tax ratio</t>
  </si>
  <si>
    <t>Efficiency ratios</t>
  </si>
  <si>
    <t>NET INCOME / AVERAGE TOTAL ASSETS</t>
  </si>
  <si>
    <t>ROA- RETURN ON ASSETS</t>
  </si>
  <si>
    <t>NET INCOME / AVERAGE EQUITY</t>
  </si>
  <si>
    <t>ROE- RETURN ON EQUITY</t>
  </si>
  <si>
    <t>NET INCOME / REVNUES</t>
  </si>
  <si>
    <t>Net profit margin</t>
  </si>
  <si>
    <t>EBIT/REVENUES</t>
  </si>
  <si>
    <t>Operating profit margin</t>
  </si>
  <si>
    <t>GROSS PROFIT / REVENUES</t>
  </si>
  <si>
    <t>Gross Profit margin</t>
  </si>
  <si>
    <t>2022</t>
  </si>
  <si>
    <t>2021</t>
  </si>
  <si>
    <t>2020</t>
  </si>
  <si>
    <t>2019</t>
  </si>
  <si>
    <t>2018</t>
  </si>
  <si>
    <t>Profitability ratios</t>
  </si>
  <si>
    <t>Ratio Analysis</t>
  </si>
  <si>
    <t>Tesla</t>
  </si>
  <si>
    <t>cash sales</t>
  </si>
  <si>
    <t>credit sales</t>
  </si>
  <si>
    <t>total revunue</t>
  </si>
  <si>
    <t>Income Before Tax EBT</t>
  </si>
  <si>
    <t>Accuricy test</t>
  </si>
  <si>
    <t>Virtical Analysis</t>
  </si>
  <si>
    <t>Table of Percentage</t>
  </si>
  <si>
    <t>Trend</t>
  </si>
  <si>
    <t>Balance Sheet</t>
  </si>
  <si>
    <t>ASSETS</t>
  </si>
  <si>
    <t>Cash</t>
  </si>
  <si>
    <t>Accounts Receviable</t>
  </si>
  <si>
    <t>Inventiories</t>
  </si>
  <si>
    <t>Prepaid expenses</t>
  </si>
  <si>
    <t>Other current assets</t>
  </si>
  <si>
    <t>Total current assets</t>
  </si>
  <si>
    <t>Non-Current assets</t>
  </si>
  <si>
    <t>Property, plant and equipment</t>
  </si>
  <si>
    <t>T_Non_Current assets</t>
  </si>
  <si>
    <t>2019 Over 2018</t>
  </si>
  <si>
    <t>2020 Over 2019</t>
  </si>
  <si>
    <t>2021 over 2020</t>
  </si>
  <si>
    <t>2022 over 2021</t>
  </si>
  <si>
    <t>`</t>
  </si>
  <si>
    <t xml:space="preserve">Current Assets / Current Liabilities </t>
  </si>
  <si>
    <t xml:space="preserve">(Cash+ Accounts Receviable) / Current Liabilities 	</t>
  </si>
  <si>
    <t>( Current Assets – Current Liabilities )/(total Assets )</t>
  </si>
  <si>
    <t xml:space="preserve">Net Working Capital Over total asset </t>
  </si>
  <si>
    <t>Formula</t>
  </si>
  <si>
    <t>total Debt / shareholder equity</t>
  </si>
  <si>
    <t>Debt to equity</t>
  </si>
  <si>
    <t>Tangable Net Worth</t>
  </si>
  <si>
    <t>total Debt / Tangable Net Worth</t>
  </si>
  <si>
    <t>(total Debt - cash) / EBITDA</t>
  </si>
  <si>
    <t>Total assets / equity</t>
  </si>
  <si>
    <t>EBITDA / Interest Expense</t>
  </si>
  <si>
    <t>Tax / EBT</t>
  </si>
  <si>
    <t>Net revunue / avarage total assets</t>
  </si>
  <si>
    <t>Net revunue / avarage fixed assets</t>
  </si>
  <si>
    <t>Cost of Goods Sold (COGS) /Avarage inventory</t>
  </si>
  <si>
    <t>(Avarage inventory/Cost of Goods Sold (COGS)) *365</t>
  </si>
  <si>
    <t xml:space="preserve">Operating profit margin </t>
  </si>
  <si>
    <t xml:space="preserve">ROE- RETURN ON EQUITY </t>
  </si>
  <si>
    <t xml:space="preserve">Net profit margin </t>
  </si>
  <si>
    <t xml:space="preserve">ROA- RETURN ON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</si>
</sst>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"/>
    <numFmt numFmtId="165" formatCode="_(* #,##0.000_);_(* \(#,##0.000\);_(* &quot;-&quot;??_);_(@_)"/>
    <numFmt numFmtId="166" formatCode="_(* #,##0.00000_);_(* \(#,##0.00000\);_(* &quot;-&quot;??_);_(@_)"/>
    <numFmt numFmtId="167" formatCode="_(* #,##0_);_(* \(#,##0\);_(* &quot;-&quot;??_);_(@_)"/>
  </numFmts>
  <fonts count="45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20"/>
      <color rgb="FF000000"/>
      <name val="Arial"/>
      <family val="2"/>
    </font>
    <font>
      <sz val="14"/>
      <color theme="1"/>
      <name val="ArialMT"/>
      <family val="2"/>
    </font>
    <font>
      <b/>
      <sz val="14"/>
      <color rgb="FF333333"/>
      <name val="Arial"/>
      <family val="2"/>
    </font>
    <font>
      <sz val="10"/>
      <color rgb="FF333333"/>
      <name val="Arial"/>
      <family val="2"/>
    </font>
    <font>
      <b/>
      <u/>
      <sz val="14"/>
      <color theme="1"/>
      <name val="ArialMT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MT"/>
      <family val="2"/>
    </font>
    <font>
      <b/>
      <sz val="14"/>
      <color theme="1"/>
      <name val="ArialMT"/>
      <family val="2"/>
    </font>
    <font>
      <sz val="14"/>
      <color rgb="FF000000"/>
      <name val="Arial"/>
      <family val="2"/>
    </font>
    <font>
      <sz val="14"/>
      <color rgb="FF45923D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MT"/>
    </font>
    <font>
      <b/>
      <sz val="18"/>
      <color theme="0"/>
      <name val="Arial Narrow"/>
      <family val="2"/>
    </font>
    <font>
      <b/>
      <sz val="12"/>
      <name val="ArialMT"/>
      <family val="2"/>
    </font>
    <font>
      <b/>
      <sz val="14"/>
      <color theme="0"/>
      <name val="ArialMT"/>
    </font>
    <font>
      <b/>
      <sz val="12"/>
      <color theme="1"/>
      <name val="ArialMT"/>
    </font>
    <font>
      <b/>
      <sz val="14"/>
      <color theme="0"/>
      <name val="ArialMT"/>
      <family val="2"/>
    </font>
    <font>
      <b/>
      <u/>
      <sz val="20"/>
      <color theme="0"/>
      <name val="ArialMT"/>
    </font>
    <font>
      <sz val="18"/>
      <color theme="1"/>
      <name val="ArialMT"/>
      <family val="2"/>
    </font>
    <font>
      <sz val="20"/>
      <color theme="1"/>
      <name val="ArialMT"/>
      <family val="2"/>
    </font>
    <font>
      <b/>
      <sz val="22"/>
      <color theme="1"/>
      <name val="ArialMT"/>
    </font>
    <font>
      <b/>
      <sz val="28"/>
      <color theme="1"/>
      <name val="ArialMT"/>
    </font>
    <font>
      <b/>
      <sz val="36"/>
      <color theme="0"/>
      <name val="ArialMT"/>
    </font>
    <font>
      <sz val="18"/>
      <color theme="0"/>
      <name val="ArialMT"/>
      <family val="2"/>
    </font>
    <font>
      <sz val="20"/>
      <color theme="0"/>
      <name val="ArialMT"/>
      <family val="2"/>
    </font>
    <font>
      <b/>
      <sz val="18"/>
      <color theme="0"/>
      <name val="ArialMT"/>
    </font>
    <font>
      <sz val="24"/>
      <color theme="0"/>
      <name val="ArialMT"/>
      <family val="2"/>
    </font>
    <font>
      <sz val="26"/>
      <color theme="0"/>
      <name val="ArialMT"/>
      <family val="2"/>
    </font>
    <font>
      <sz val="24"/>
      <color theme="1"/>
      <name val="ArialMT"/>
      <family val="2"/>
    </font>
    <font>
      <sz val="22"/>
      <color theme="1"/>
      <name val="ArialMT"/>
      <family val="2"/>
    </font>
    <font>
      <sz val="24"/>
      <name val="ArialMT"/>
      <family val="2"/>
    </font>
    <font>
      <sz val="22"/>
      <color theme="0"/>
      <name val="ArialMT"/>
      <family val="2"/>
    </font>
    <font>
      <b/>
      <sz val="16"/>
      <color theme="1"/>
      <name val="ArialMT"/>
    </font>
    <font>
      <b/>
      <sz val="20"/>
      <color theme="0"/>
      <name val="ArialMT"/>
    </font>
    <font>
      <sz val="28"/>
      <color theme="0"/>
      <name val="ArialMT"/>
      <family val="2"/>
    </font>
    <font>
      <sz val="14"/>
      <color theme="1"/>
      <name val="ArialMT"/>
    </font>
    <font>
      <b/>
      <sz val="16"/>
      <color theme="0"/>
      <name val="ArialMT"/>
    </font>
    <font>
      <sz val="12"/>
      <color theme="1"/>
      <name val="ArialMT"/>
    </font>
    <font>
      <u/>
      <sz val="36"/>
      <color theme="0"/>
      <name val="ArialMT"/>
      <family val="2"/>
    </font>
    <font>
      <u/>
      <sz val="12"/>
      <color theme="1"/>
      <name val="ArialM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2" borderId="0" xfId="0" applyFont="1" applyFill="1"/>
    <xf numFmtId="164" fontId="4" fillId="3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center" vertical="center"/>
    </xf>
    <xf numFmtId="0" fontId="8" fillId="2" borderId="0" xfId="0" applyFont="1" applyFill="1"/>
    <xf numFmtId="3" fontId="8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3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43" fontId="3" fillId="2" borderId="0" xfId="1" applyFont="1" applyFill="1"/>
    <xf numFmtId="165" fontId="3" fillId="2" borderId="0" xfId="1" applyNumberFormat="1" applyFont="1" applyFill="1" applyAlignment="1">
      <alignment horizontal="center" vertical="center"/>
    </xf>
    <xf numFmtId="0" fontId="12" fillId="2" borderId="0" xfId="0" applyFont="1" applyFill="1"/>
    <xf numFmtId="166" fontId="13" fillId="2" borderId="0" xfId="1" applyNumberFormat="1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14" fillId="2" borderId="0" xfId="0" applyFont="1" applyFill="1"/>
    <xf numFmtId="167" fontId="14" fillId="2" borderId="0" xfId="1" applyNumberFormat="1" applyFont="1" applyFill="1" applyAlignment="1">
      <alignment horizontal="center"/>
    </xf>
    <xf numFmtId="0" fontId="15" fillId="2" borderId="0" xfId="0" applyFont="1" applyFill="1"/>
    <xf numFmtId="167" fontId="15" fillId="2" borderId="0" xfId="1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8" fillId="4" borderId="0" xfId="0" applyFont="1" applyFill="1"/>
    <xf numFmtId="9" fontId="18" fillId="4" borderId="0" xfId="0" applyNumberFormat="1" applyFont="1" applyFill="1"/>
    <xf numFmtId="0" fontId="18" fillId="4" borderId="2" xfId="0" applyFont="1" applyFill="1" applyBorder="1"/>
    <xf numFmtId="9" fontId="18" fillId="4" borderId="2" xfId="0" applyNumberFormat="1" applyFont="1" applyFill="1" applyBorder="1"/>
    <xf numFmtId="164" fontId="0" fillId="0" borderId="0" xfId="0" applyNumberFormat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64" fontId="30" fillId="6" borderId="21" xfId="0" applyNumberFormat="1" applyFont="1" applyFill="1" applyBorder="1"/>
    <xf numFmtId="164" fontId="30" fillId="6" borderId="22" xfId="0" applyNumberFormat="1" applyFont="1" applyFill="1" applyBorder="1"/>
    <xf numFmtId="0" fontId="29" fillId="4" borderId="0" xfId="0" applyFont="1" applyFill="1" applyAlignment="1">
      <alignment horizontal="left"/>
    </xf>
    <xf numFmtId="0" fontId="29" fillId="4" borderId="8" xfId="0" applyFont="1" applyFill="1" applyBorder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0" fillId="0" borderId="9" xfId="0" applyBorder="1"/>
    <xf numFmtId="0" fontId="25" fillId="4" borderId="0" xfId="0" applyFont="1" applyFill="1" applyAlignment="1">
      <alignment vertical="center"/>
    </xf>
    <xf numFmtId="0" fontId="23" fillId="6" borderId="30" xfId="0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4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32" fillId="4" borderId="8" xfId="0" applyFont="1" applyFill="1" applyBorder="1" applyAlignment="1">
      <alignment horizontal="left" vertical="center"/>
    </xf>
    <xf numFmtId="164" fontId="24" fillId="0" borderId="9" xfId="0" applyNumberFormat="1" applyFont="1" applyBorder="1" applyAlignment="1">
      <alignment horizontal="center" vertical="center"/>
    </xf>
    <xf numFmtId="9" fontId="33" fillId="0" borderId="0" xfId="2" applyFont="1" applyBorder="1" applyAlignment="1">
      <alignment horizontal="center" vertical="center"/>
    </xf>
    <xf numFmtId="164" fontId="30" fillId="6" borderId="7" xfId="0" applyNumberFormat="1" applyFont="1" applyFill="1" applyBorder="1" applyAlignment="1">
      <alignment horizontal="center" vertical="center"/>
    </xf>
    <xf numFmtId="164" fontId="30" fillId="6" borderId="6" xfId="0" applyNumberFormat="1" applyFont="1" applyFill="1" applyBorder="1" applyAlignment="1">
      <alignment horizontal="center" vertical="center"/>
    </xf>
    <xf numFmtId="167" fontId="33" fillId="0" borderId="0" xfId="1" applyNumberFormat="1" applyFont="1" applyBorder="1" applyAlignment="1">
      <alignment horizontal="center" vertical="center"/>
    </xf>
    <xf numFmtId="167" fontId="33" fillId="0" borderId="9" xfId="1" applyNumberFormat="1" applyFont="1" applyBorder="1" applyAlignment="1">
      <alignment horizontal="center" vertical="center"/>
    </xf>
    <xf numFmtId="167" fontId="33" fillId="0" borderId="9" xfId="0" applyNumberFormat="1" applyFont="1" applyBorder="1" applyAlignment="1">
      <alignment horizontal="center" vertical="center"/>
    </xf>
    <xf numFmtId="167" fontId="35" fillId="6" borderId="24" xfId="0" applyNumberFormat="1" applyFont="1" applyFill="1" applyBorder="1" applyAlignment="1">
      <alignment horizontal="center" vertical="center"/>
    </xf>
    <xf numFmtId="167" fontId="35" fillId="6" borderId="25" xfId="0" applyNumberFormat="1" applyFont="1" applyFill="1" applyBorder="1" applyAlignment="1">
      <alignment horizontal="center" vertical="center"/>
    </xf>
    <xf numFmtId="1" fontId="33" fillId="0" borderId="9" xfId="0" applyNumberFormat="1" applyFont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1" fontId="33" fillId="0" borderId="24" xfId="0" applyNumberFormat="1" applyFont="1" applyBorder="1" applyAlignment="1">
      <alignment horizontal="center" vertical="center"/>
    </xf>
    <xf numFmtId="1" fontId="33" fillId="0" borderId="25" xfId="0" applyNumberFormat="1" applyFont="1" applyBorder="1" applyAlignment="1">
      <alignment horizontal="center" vertical="center"/>
    </xf>
    <xf numFmtId="167" fontId="33" fillId="4" borderId="9" xfId="0" applyNumberFormat="1" applyFont="1" applyFill="1" applyBorder="1" applyAlignment="1">
      <alignment horizontal="center" vertical="center"/>
    </xf>
    <xf numFmtId="167" fontId="33" fillId="0" borderId="13" xfId="0" applyNumberFormat="1" applyFont="1" applyBorder="1" applyAlignment="1">
      <alignment horizontal="center" vertical="center"/>
    </xf>
    <xf numFmtId="167" fontId="33" fillId="0" borderId="14" xfId="0" applyNumberFormat="1" applyFont="1" applyBorder="1" applyAlignment="1">
      <alignment horizontal="center" vertical="center"/>
    </xf>
    <xf numFmtId="164" fontId="34" fillId="0" borderId="0" xfId="0" applyNumberFormat="1" applyFont="1"/>
    <xf numFmtId="164" fontId="34" fillId="0" borderId="9" xfId="0" applyNumberFormat="1" applyFont="1" applyBorder="1"/>
    <xf numFmtId="167" fontId="34" fillId="0" borderId="0" xfId="1" applyNumberFormat="1" applyFont="1" applyBorder="1" applyAlignment="1">
      <alignment vertical="center"/>
    </xf>
    <xf numFmtId="167" fontId="34" fillId="0" borderId="9" xfId="1" applyNumberFormat="1" applyFont="1" applyBorder="1" applyAlignment="1">
      <alignment vertical="center"/>
    </xf>
    <xf numFmtId="167" fontId="34" fillId="0" borderId="24" xfId="0" applyNumberFormat="1" applyFont="1" applyBorder="1" applyAlignment="1">
      <alignment vertical="center"/>
    </xf>
    <xf numFmtId="167" fontId="34" fillId="0" borderId="25" xfId="0" applyNumberFormat="1" applyFont="1" applyBorder="1" applyAlignment="1">
      <alignment vertical="center"/>
    </xf>
    <xf numFmtId="167" fontId="34" fillId="4" borderId="0" xfId="0" applyNumberFormat="1" applyFont="1" applyFill="1" applyAlignment="1">
      <alignment vertical="center"/>
    </xf>
    <xf numFmtId="167" fontId="34" fillId="4" borderId="9" xfId="0" applyNumberFormat="1" applyFont="1" applyFill="1" applyBorder="1" applyAlignment="1">
      <alignment vertical="center"/>
    </xf>
    <xf numFmtId="167" fontId="34" fillId="0" borderId="0" xfId="0" applyNumberFormat="1" applyFont="1" applyAlignment="1">
      <alignment vertical="center"/>
    </xf>
    <xf numFmtId="167" fontId="34" fillId="0" borderId="9" xfId="0" applyNumberFormat="1" applyFont="1" applyBorder="1" applyAlignment="1">
      <alignment vertical="center"/>
    </xf>
    <xf numFmtId="0" fontId="36" fillId="0" borderId="0" xfId="0" applyFont="1" applyAlignment="1">
      <alignment vertical="center"/>
    </xf>
    <xf numFmtId="0" fontId="36" fillId="0" borderId="9" xfId="0" applyFont="1" applyBorder="1" applyAlignment="1">
      <alignment vertical="center"/>
    </xf>
    <xf numFmtId="167" fontId="34" fillId="0" borderId="27" xfId="0" applyNumberFormat="1" applyFont="1" applyBorder="1" applyAlignment="1">
      <alignment vertical="center"/>
    </xf>
    <xf numFmtId="1" fontId="34" fillId="0" borderId="24" xfId="0" applyNumberFormat="1" applyFont="1" applyBorder="1" applyAlignment="1">
      <alignment vertical="center"/>
    </xf>
    <xf numFmtId="1" fontId="34" fillId="0" borderId="25" xfId="0" applyNumberFormat="1" applyFont="1" applyBorder="1" applyAlignment="1">
      <alignment vertical="center"/>
    </xf>
    <xf numFmtId="1" fontId="34" fillId="0" borderId="0" xfId="0" applyNumberFormat="1" applyFont="1" applyAlignment="1">
      <alignment vertical="center"/>
    </xf>
    <xf numFmtId="1" fontId="34" fillId="0" borderId="9" xfId="0" applyNumberFormat="1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9" xfId="0" applyFont="1" applyBorder="1" applyAlignment="1">
      <alignment vertical="center"/>
    </xf>
    <xf numFmtId="0" fontId="34" fillId="4" borderId="0" xfId="0" applyFont="1" applyFill="1" applyAlignment="1">
      <alignment vertical="center"/>
    </xf>
    <xf numFmtId="0" fontId="34" fillId="4" borderId="9" xfId="0" applyFont="1" applyFill="1" applyBorder="1" applyAlignment="1">
      <alignment vertical="center"/>
    </xf>
    <xf numFmtId="0" fontId="34" fillId="0" borderId="24" xfId="0" applyFont="1" applyBorder="1" applyAlignment="1">
      <alignment vertical="center"/>
    </xf>
    <xf numFmtId="0" fontId="34" fillId="0" borderId="25" xfId="0" applyFont="1" applyBorder="1" applyAlignment="1">
      <alignment vertical="center"/>
    </xf>
    <xf numFmtId="167" fontId="34" fillId="0" borderId="19" xfId="0" applyNumberFormat="1" applyFont="1" applyBorder="1" applyAlignment="1">
      <alignment vertical="center"/>
    </xf>
    <xf numFmtId="167" fontId="34" fillId="0" borderId="28" xfId="0" applyNumberFormat="1" applyFont="1" applyBorder="1" applyAlignment="1">
      <alignment vertical="center"/>
    </xf>
    <xf numFmtId="0" fontId="37" fillId="2" borderId="0" xfId="0" applyFont="1" applyFill="1" applyAlignment="1">
      <alignment horizontal="center" vertical="center"/>
    </xf>
    <xf numFmtId="0" fontId="0" fillId="0" borderId="31" xfId="0" applyBorder="1"/>
    <xf numFmtId="0" fontId="0" fillId="0" borderId="26" xfId="0" applyBorder="1"/>
    <xf numFmtId="0" fontId="0" fillId="0" borderId="33" xfId="0" applyBorder="1"/>
    <xf numFmtId="0" fontId="41" fillId="7" borderId="15" xfId="0" applyFont="1" applyFill="1" applyBorder="1"/>
    <xf numFmtId="0" fontId="41" fillId="7" borderId="34" xfId="0" applyFont="1" applyFill="1" applyBorder="1"/>
    <xf numFmtId="0" fontId="41" fillId="7" borderId="16" xfId="0" applyFont="1" applyFill="1" applyBorder="1"/>
    <xf numFmtId="0" fontId="41" fillId="7" borderId="35" xfId="0" applyFont="1" applyFill="1" applyBorder="1"/>
    <xf numFmtId="9" fontId="24" fillId="0" borderId="31" xfId="2" applyFont="1" applyBorder="1"/>
    <xf numFmtId="9" fontId="24" fillId="0" borderId="36" xfId="2" applyFont="1" applyBorder="1"/>
    <xf numFmtId="9" fontId="24" fillId="0" borderId="32" xfId="2" applyFont="1" applyBorder="1"/>
    <xf numFmtId="9" fontId="24" fillId="0" borderId="37" xfId="2" applyFont="1" applyBorder="1"/>
    <xf numFmtId="1" fontId="33" fillId="0" borderId="0" xfId="0" applyNumberFormat="1" applyFont="1" applyAlignment="1">
      <alignment horizontal="center" vertical="center"/>
    </xf>
    <xf numFmtId="9" fontId="0" fillId="0" borderId="0" xfId="2" applyFont="1"/>
    <xf numFmtId="0" fontId="40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7" fontId="33" fillId="0" borderId="0" xfId="0" applyNumberFormat="1" applyFont="1" applyAlignment="1">
      <alignment horizontal="center" vertical="center"/>
    </xf>
    <xf numFmtId="0" fontId="32" fillId="4" borderId="0" xfId="0" applyFont="1" applyFill="1" applyAlignment="1">
      <alignment horizontal="left" vertical="center"/>
    </xf>
    <xf numFmtId="0" fontId="33" fillId="4" borderId="0" xfId="0" applyFont="1" applyFill="1" applyAlignment="1">
      <alignment horizontal="center" vertical="center"/>
    </xf>
    <xf numFmtId="167" fontId="33" fillId="4" borderId="0" xfId="0" applyNumberFormat="1" applyFont="1" applyFill="1" applyAlignment="1">
      <alignment horizontal="center" vertical="center"/>
    </xf>
    <xf numFmtId="164" fontId="30" fillId="6" borderId="8" xfId="0" applyNumberFormat="1" applyFont="1" applyFill="1" applyBorder="1" applyAlignment="1">
      <alignment horizontal="center" vertical="center"/>
    </xf>
    <xf numFmtId="164" fontId="30" fillId="6" borderId="0" xfId="0" applyNumberFormat="1" applyFont="1" applyFill="1" applyAlignment="1">
      <alignment horizontal="center" vertical="center"/>
    </xf>
    <xf numFmtId="0" fontId="30" fillId="6" borderId="2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9" fontId="33" fillId="0" borderId="8" xfId="2" applyFont="1" applyBorder="1" applyAlignment="1">
      <alignment horizontal="center" vertical="center"/>
    </xf>
    <xf numFmtId="9" fontId="33" fillId="0" borderId="12" xfId="2" applyFont="1" applyBorder="1" applyAlignment="1">
      <alignment horizontal="center" vertical="center"/>
    </xf>
    <xf numFmtId="9" fontId="33" fillId="0" borderId="13" xfId="2" applyFont="1" applyBorder="1" applyAlignment="1">
      <alignment horizontal="center" vertical="center"/>
    </xf>
    <xf numFmtId="1" fontId="0" fillId="0" borderId="0" xfId="0" applyNumberFormat="1"/>
    <xf numFmtId="9" fontId="20" fillId="0" borderId="0" xfId="2" applyFont="1"/>
    <xf numFmtId="0" fontId="17" fillId="8" borderId="0" xfId="0" applyFont="1" applyFill="1" applyAlignment="1">
      <alignment horizontal="center" vertical="center" wrapText="1" readingOrder="1"/>
    </xf>
    <xf numFmtId="0" fontId="17" fillId="8" borderId="0" xfId="0" applyFont="1" applyFill="1" applyAlignment="1">
      <alignment horizontal="left" vertical="center" wrapText="1" readingOrder="1"/>
    </xf>
    <xf numFmtId="0" fontId="19" fillId="7" borderId="0" xfId="0" applyFont="1" applyFill="1" applyAlignment="1">
      <alignment horizontal="left" vertical="center"/>
    </xf>
    <xf numFmtId="164" fontId="21" fillId="5" borderId="4" xfId="0" applyNumberFormat="1" applyFont="1" applyFill="1" applyBorder="1" applyAlignment="1">
      <alignment horizontal="center" vertical="center"/>
    </xf>
    <xf numFmtId="164" fontId="21" fillId="5" borderId="2" xfId="0" applyNumberFormat="1" applyFont="1" applyFill="1" applyBorder="1" applyAlignment="1">
      <alignment horizontal="center" vertical="center"/>
    </xf>
    <xf numFmtId="164" fontId="21" fillId="5" borderId="3" xfId="0" applyNumberFormat="1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 wrapText="1" readingOrder="1"/>
    </xf>
    <xf numFmtId="0" fontId="17" fillId="9" borderId="0" xfId="0" applyFont="1" applyFill="1" applyAlignment="1">
      <alignment horizontal="left" vertical="center" wrapText="1" readingOrder="1"/>
    </xf>
    <xf numFmtId="0" fontId="19" fillId="10" borderId="0" xfId="0" applyFont="1" applyFill="1" applyAlignment="1">
      <alignment horizontal="left" vertical="center"/>
    </xf>
    <xf numFmtId="9" fontId="18" fillId="4" borderId="0" xfId="2" applyFont="1" applyFill="1"/>
    <xf numFmtId="0" fontId="42" fillId="0" borderId="0" xfId="0" applyFont="1"/>
    <xf numFmtId="0" fontId="5" fillId="2" borderId="0" xfId="0" applyFont="1" applyFill="1"/>
    <xf numFmtId="0" fontId="29" fillId="6" borderId="8" xfId="0" applyFont="1" applyFill="1" applyBorder="1" applyAlignment="1">
      <alignment horizontal="left"/>
    </xf>
    <xf numFmtId="0" fontId="29" fillId="6" borderId="0" xfId="0" applyFont="1" applyFill="1" applyAlignment="1">
      <alignment horizontal="left"/>
    </xf>
    <xf numFmtId="0" fontId="29" fillId="6" borderId="23" xfId="0" applyFont="1" applyFill="1" applyBorder="1" applyAlignment="1">
      <alignment horizontal="left"/>
    </xf>
    <xf numFmtId="0" fontId="29" fillId="6" borderId="24" xfId="0" applyFont="1" applyFill="1" applyBorder="1" applyAlignment="1">
      <alignment horizontal="left"/>
    </xf>
    <xf numFmtId="0" fontId="29" fillId="6" borderId="18" xfId="0" applyFont="1" applyFill="1" applyBorder="1" applyAlignment="1">
      <alignment horizontal="left"/>
    </xf>
    <xf numFmtId="0" fontId="29" fillId="6" borderId="19" xfId="0" applyFont="1" applyFill="1" applyBorder="1" applyAlignment="1">
      <alignment horizontal="left"/>
    </xf>
    <xf numFmtId="0" fontId="30" fillId="5" borderId="0" xfId="0" applyFont="1" applyFill="1" applyAlignment="1">
      <alignment horizontal="center" vertical="center"/>
    </xf>
    <xf numFmtId="0" fontId="29" fillId="6" borderId="10" xfId="0" applyFont="1" applyFill="1" applyBorder="1" applyAlignment="1">
      <alignment horizontal="left"/>
    </xf>
    <xf numFmtId="0" fontId="29" fillId="6" borderId="2" xfId="0" applyFont="1" applyFill="1" applyBorder="1" applyAlignment="1">
      <alignment horizontal="left"/>
    </xf>
    <xf numFmtId="0" fontId="27" fillId="5" borderId="15" xfId="0" applyFont="1" applyFill="1" applyBorder="1" applyAlignment="1">
      <alignment horizontal="center" vertical="center"/>
    </xf>
    <xf numFmtId="0" fontId="27" fillId="5" borderId="16" xfId="0" applyFont="1" applyFill="1" applyBorder="1" applyAlignment="1">
      <alignment horizontal="center" vertical="center"/>
    </xf>
    <xf numFmtId="0" fontId="27" fillId="5" borderId="17" xfId="0" applyFont="1" applyFill="1" applyBorder="1" applyAlignment="1">
      <alignment horizontal="center" vertical="center"/>
    </xf>
    <xf numFmtId="0" fontId="29" fillId="6" borderId="20" xfId="0" applyFont="1" applyFill="1" applyBorder="1" applyAlignment="1">
      <alignment horizontal="left"/>
    </xf>
    <xf numFmtId="0" fontId="29" fillId="6" borderId="21" xfId="0" applyFont="1" applyFill="1" applyBorder="1" applyAlignment="1">
      <alignment horizontal="left"/>
    </xf>
    <xf numFmtId="0" fontId="25" fillId="4" borderId="10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0" fontId="32" fillId="6" borderId="12" xfId="0" applyFont="1" applyFill="1" applyBorder="1" applyAlignment="1">
      <alignment horizontal="left" vertical="center"/>
    </xf>
    <xf numFmtId="0" fontId="32" fillId="6" borderId="13" xfId="0" applyFont="1" applyFill="1" applyBorder="1" applyAlignment="1">
      <alignment horizontal="left" vertical="center"/>
    </xf>
    <xf numFmtId="0" fontId="30" fillId="4" borderId="0" xfId="0" applyFont="1" applyFill="1" applyAlignment="1">
      <alignment horizontal="center" vertical="center"/>
    </xf>
    <xf numFmtId="0" fontId="32" fillId="6" borderId="8" xfId="0" applyFont="1" applyFill="1" applyBorder="1" applyAlignment="1">
      <alignment horizontal="left" vertical="center"/>
    </xf>
    <xf numFmtId="0" fontId="32" fillId="6" borderId="0" xfId="0" applyFont="1" applyFill="1" applyAlignment="1">
      <alignment horizontal="left" vertical="center"/>
    </xf>
    <xf numFmtId="0" fontId="32" fillId="6" borderId="10" xfId="0" applyFont="1" applyFill="1" applyBorder="1" applyAlignment="1">
      <alignment horizontal="left" vertical="center"/>
    </xf>
    <xf numFmtId="0" fontId="32" fillId="6" borderId="2" xfId="0" applyFont="1" applyFill="1" applyBorder="1" applyAlignment="1">
      <alignment horizontal="left" vertical="center"/>
    </xf>
    <xf numFmtId="0" fontId="32" fillId="6" borderId="23" xfId="0" applyFont="1" applyFill="1" applyBorder="1" applyAlignment="1">
      <alignment horizontal="left" vertical="center"/>
    </xf>
    <xf numFmtId="0" fontId="32" fillId="6" borderId="24" xfId="0" applyFont="1" applyFill="1" applyBorder="1" applyAlignment="1">
      <alignment horizontal="left" vertical="center"/>
    </xf>
    <xf numFmtId="0" fontId="39" fillId="6" borderId="8" xfId="0" applyFont="1" applyFill="1" applyBorder="1" applyAlignment="1">
      <alignment horizontal="left" vertical="center"/>
    </xf>
    <xf numFmtId="0" fontId="39" fillId="6" borderId="0" xfId="0" applyFont="1" applyFill="1" applyAlignment="1">
      <alignment horizontal="left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31" fillId="6" borderId="5" xfId="0" applyFont="1" applyFill="1" applyBorder="1" applyAlignment="1">
      <alignment horizontal="left" vertical="center"/>
    </xf>
    <xf numFmtId="0" fontId="31" fillId="6" borderId="6" xfId="0" applyFont="1" applyFill="1" applyBorder="1" applyAlignment="1">
      <alignment horizontal="left" vertical="center"/>
    </xf>
    <xf numFmtId="0" fontId="27" fillId="6" borderId="8" xfId="0" applyFont="1" applyFill="1" applyBorder="1" applyAlignment="1">
      <alignment horizontal="left" vertical="center"/>
    </xf>
    <xf numFmtId="0" fontId="27" fillId="6" borderId="0" xfId="0" applyFont="1" applyFill="1" applyAlignment="1">
      <alignment horizontal="left" vertical="center"/>
    </xf>
    <xf numFmtId="0" fontId="38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4" fillId="0" borderId="0" xfId="0" applyFont="1" applyFill="1" applyBorder="1"/>
    <xf numFmtId="0" fontId="0" fillId="0" borderId="0" xfId="0" applyBorder="1"/>
    <xf numFmtId="0" fontId="44" fillId="10" borderId="41" xfId="0" applyFont="1" applyFill="1" applyBorder="1"/>
    <xf numFmtId="0" fontId="44" fillId="10" borderId="0" xfId="0" applyFont="1" applyFill="1"/>
    <xf numFmtId="0" fontId="44" fillId="10" borderId="42" xfId="0" applyFont="1" applyFill="1" applyBorder="1"/>
    <xf numFmtId="0" fontId="30" fillId="10" borderId="0" xfId="0" applyFont="1" applyFill="1" applyAlignment="1">
      <alignment horizontal="center" vertical="center"/>
    </xf>
    <xf numFmtId="0" fontId="43" fillId="11" borderId="38" xfId="0" applyFont="1" applyFill="1" applyBorder="1" applyAlignment="1">
      <alignment horizontal="center" vertical="center"/>
    </xf>
    <xf numFmtId="0" fontId="43" fillId="11" borderId="39" xfId="0" applyFont="1" applyFill="1" applyBorder="1" applyAlignment="1">
      <alignment horizontal="center" vertical="center"/>
    </xf>
    <xf numFmtId="0" fontId="43" fillId="11" borderId="40" xfId="0" applyFont="1" applyFill="1" applyBorder="1" applyAlignment="1">
      <alignment horizontal="center" vertical="center"/>
    </xf>
    <xf numFmtId="0" fontId="43" fillId="11" borderId="41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43" fillId="11" borderId="4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7"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sq">
              <a:solidFill>
                <a:srgbClr val="FF0000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RATIO!$E$6:$I$6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RATIO!$E$8:$I$8</c:f>
              <c:numCache>
                <c:formatCode>0%</c:formatCode>
                <c:ptCount val="5"/>
                <c:pt idx="0">
                  <c:v>0.35728571428571426</c:v>
                </c:pt>
                <c:pt idx="1">
                  <c:v>0.3276639169997449</c:v>
                </c:pt>
                <c:pt idx="2">
                  <c:v>0.27692092633148502</c:v>
                </c:pt>
                <c:pt idx="3">
                  <c:v>0.25319391325575719</c:v>
                </c:pt>
                <c:pt idx="4">
                  <c:v>0.28386605783866059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9E-429E-BCF0-2619C27EE7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7395071"/>
        <c:axId val="577458255"/>
      </c:lineChart>
      <c:catAx>
        <c:axId val="5773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58255"/>
        <c:crosses val="autoZero"/>
        <c:auto val="1"/>
        <c:lblAlgn val="ctr"/>
        <c:lblOffset val="100"/>
        <c:noMultiLvlLbl val="0"/>
      </c:catAx>
      <c:valAx>
        <c:axId val="577458255"/>
        <c:scaling>
          <c:orientation val="minMax"/>
          <c:min val="0.2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9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298650910725105E-2"/>
          <c:y val="8.7575034776033983E-2"/>
          <c:w val="0.86914128033980864"/>
          <c:h val="0.88328619944943165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62A4-4EDC-B073-F79BC398FCC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A4-4EDC-B073-F79BC398FCC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8100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A4-4EDC-B073-F79BC398FCC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810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4-4EDC-B073-F79BC398FCC6}"/>
              </c:ext>
            </c:extLst>
          </c:dPt>
          <c:cat>
            <c:strRef>
              <c:f>RATIO!$E$6:$I$6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RATIO!$E$9:$I$9</c:f>
              <c:numCache>
                <c:formatCode>0%</c:formatCode>
                <c:ptCount val="5"/>
                <c:pt idx="0">
                  <c:v>-7.8142857142857139E-2</c:v>
                </c:pt>
                <c:pt idx="1">
                  <c:v>-0.14780168381665107</c:v>
                </c:pt>
                <c:pt idx="2">
                  <c:v>-1.5935883696006709E-2</c:v>
                </c:pt>
                <c:pt idx="3">
                  <c:v>8.1373586133940919E-4</c:v>
                </c:pt>
                <c:pt idx="4">
                  <c:v>6.031202435312024E-2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3-404B-87B5-CDE1ABBBFFE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157871"/>
        <c:axId val="791332191"/>
      </c:lineChart>
      <c:catAx>
        <c:axId val="67515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32191"/>
        <c:crosses val="autoZero"/>
        <c:auto val="1"/>
        <c:lblAlgn val="ctr"/>
        <c:lblOffset val="100"/>
        <c:noMultiLvlLbl val="0"/>
      </c:catAx>
      <c:valAx>
        <c:axId val="79133219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5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spPr>
            <a:solidFill>
              <a:srgbClr val="FF0000"/>
            </a:solidFill>
            <a:ln w="15875" cap="flat" cmpd="sng">
              <a:solidFill>
                <a:schemeClr val="accent1">
                  <a:alpha val="88000"/>
                </a:schemeClr>
              </a:solidFill>
              <a:prstDash val="dash"/>
            </a:ln>
            <a:effectLst/>
          </c:spPr>
          <c:cat>
            <c:strRef>
              <c:f>RATIO!$E$6:$I$6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RATIO!$E$11:$I$11</c:f>
              <c:numCache>
                <c:formatCode>0%</c:formatCode>
                <c:ptCount val="5"/>
                <c:pt idx="0">
                  <c:v>-7.7860596293311851E-2</c:v>
                </c:pt>
                <c:pt idx="1">
                  <c:v>-0.2049617011546816</c:v>
                </c:pt>
                <c:pt idx="2">
                  <c:v>-8.3694197307298643E-2</c:v>
                </c:pt>
                <c:pt idx="3">
                  <c:v>-4.8759004687155931E-2</c:v>
                </c:pt>
                <c:pt idx="4">
                  <c:v>3.6403564339710294E-2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C-404B-A1F7-731A5A4B1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424607"/>
        <c:axId val="791343103"/>
      </c:areaChart>
      <c:catAx>
        <c:axId val="804424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43103"/>
        <c:crosses val="autoZero"/>
        <c:auto val="1"/>
        <c:lblAlgn val="ctr"/>
        <c:lblOffset val="100"/>
        <c:noMultiLvlLbl val="0"/>
      </c:catAx>
      <c:valAx>
        <c:axId val="791343103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2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31750" cap="rnd">
                <a:solidFill>
                  <a:schemeClr val="bg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RATIO!$E$6:$I$6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RATIO!$E$12:$I$12</c:f>
              <c:numCache>
                <c:formatCode>0%</c:formatCode>
                <c:ptCount val="5"/>
                <c:pt idx="0">
                  <c:v>-2.3072560666208997E-2</c:v>
                </c:pt>
                <c:pt idx="1">
                  <c:v>-6.1884281088843016E-2</c:v>
                </c:pt>
                <c:pt idx="2">
                  <c:v>-3.6592712439112551E-2</c:v>
                </c:pt>
                <c:pt idx="3">
                  <c:v>-3.5855145213338116E-2</c:v>
                </c:pt>
                <c:pt idx="4">
                  <c:v>6.6115702479338845E-2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C-477E-A325-5D580206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71343"/>
        <c:axId val="791590031"/>
      </c:barChart>
      <c:catAx>
        <c:axId val="7974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90031"/>
        <c:crosses val="autoZero"/>
        <c:auto val="1"/>
        <c:lblAlgn val="ctr"/>
        <c:lblOffset val="100"/>
        <c:noMultiLvlLbl val="0"/>
      </c:catAx>
      <c:valAx>
        <c:axId val="79159003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7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_xlchart.v1.0</cx:f>
      </cx:numDim>
    </cx:data>
  </cx:chartData>
  <cx:chart>
    <cx:plotArea>
      <cx:plotAreaRegion>
        <cx:series layoutId="waterfall" uniqueId="{FBDC8CEC-BBE9-4896-BFFE-B2715CBB81EA}">
          <cx:spPr>
            <a:solidFill>
              <a:srgbClr val="FF0000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GB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GB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GB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695739</xdr:colOff>
      <xdr:row>4</xdr:row>
      <xdr:rowOff>149087</xdr:rowOff>
    </xdr:from>
    <xdr:to>
      <xdr:col>24</xdr:col>
      <xdr:colOff>679173</xdr:colOff>
      <xdr:row>8</xdr:row>
      <xdr:rowOff>414130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7C03A0-0C7A-3D56-5C76-61B9FF39A939}"/>
            </a:ext>
          </a:extLst>
        </xdr:cNvPr>
        <xdr:cNvSpPr txBox="1"/>
      </xdr:nvSpPr>
      <xdr:spPr>
        <a:xfrm>
          <a:off x="24284609" y="1573696"/>
          <a:ext cx="5085521" cy="2170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3600"/>
        </a:p>
        <a:p>
          <a:r>
            <a:rPr lang="en-GB" sz="3600"/>
            <a:t>According to total assets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7</xdr:row>
      <xdr:rowOff>30703</xdr:rowOff>
    </xdr:from>
    <xdr:to>
      <xdr:col>7</xdr:col>
      <xdr:colOff>412067</xdr:colOff>
      <xdr:row>19</xdr:row>
      <xdr:rowOff>155452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5C70E-D8F0-4A3E-840B-9B17D1119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60477</xdr:colOff>
      <xdr:row>7</xdr:row>
      <xdr:rowOff>24190</xdr:rowOff>
    </xdr:from>
    <xdr:to>
      <xdr:col>13</xdr:col>
      <xdr:colOff>592667</xdr:colOff>
      <xdr:row>20</xdr:row>
      <xdr:rowOff>48381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3B5EC-07B5-411D-BC03-FCD5A41F8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593934</xdr:colOff>
      <xdr:row>24</xdr:row>
      <xdr:rowOff>108515</xdr:rowOff>
    </xdr:from>
    <xdr:to>
      <xdr:col>14</xdr:col>
      <xdr:colOff>242742</xdr:colOff>
      <xdr:row>40</xdr:row>
      <xdr:rowOff>78035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C5F2141-060F-42CA-BDA0-9180D8D174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3934" y="4753086"/>
              <a:ext cx="4728808" cy="3065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296241</xdr:colOff>
      <xdr:row>24</xdr:row>
      <xdr:rowOff>91071</xdr:rowOff>
    </xdr:from>
    <xdr:to>
      <xdr:col>7</xdr:col>
      <xdr:colOff>435428</xdr:colOff>
      <xdr:row>40</xdr:row>
      <xdr:rowOff>36286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31935-8BBB-4D94-A880-470DB3177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278190</xdr:colOff>
      <xdr:row>7</xdr:row>
      <xdr:rowOff>111201</xdr:rowOff>
    </xdr:from>
    <xdr:to>
      <xdr:col>20</xdr:col>
      <xdr:colOff>604762</xdr:colOff>
      <xdr:row>40</xdr:row>
      <xdr:rowOff>12095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17FCF2-6BB2-4444-8BE5-B25E7FC36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E805-57DD-4732-A441-E5A279C995F5}">
  <dimension ref="B2:O76"/>
  <sheetViews>
    <sheetView showGridLines="0" topLeftCell="A57" zoomScale="76" workbookViewId="0">
      <selection activeCell="B58" sqref="B58"/>
    </sheetView>
  </sheetViews>
  <sheetFormatPr defaultColWidth="11.54296875" defaultRowHeight="17.399999999999999"/>
  <cols>
    <col min="1" max="1" width="3.453125" style="4" customWidth="1"/>
    <col min="2" max="2" width="61.1796875" style="14" bestFit="1" customWidth="1"/>
    <col min="3" max="3" width="9.453125" style="2" bestFit="1" customWidth="1"/>
    <col min="4" max="4" width="13.81640625" style="2" customWidth="1"/>
    <col min="5" max="6" width="13.08984375" style="2" customWidth="1"/>
    <col min="7" max="7" width="13.54296875" style="2" customWidth="1"/>
    <col min="8" max="8" width="11.54296875" style="3"/>
    <col min="9" max="16384" width="11.54296875" style="4"/>
  </cols>
  <sheetData>
    <row r="2" spans="2:15" ht="24.6">
      <c r="B2" s="1" t="s">
        <v>86</v>
      </c>
    </row>
    <row r="4" spans="2:15">
      <c r="B4" s="5" t="s">
        <v>0</v>
      </c>
      <c r="C4" s="6">
        <v>43101</v>
      </c>
      <c r="D4" s="7">
        <v>43466</v>
      </c>
      <c r="E4" s="7">
        <v>43831</v>
      </c>
      <c r="F4" s="7">
        <v>44197</v>
      </c>
      <c r="G4" s="7">
        <v>44562</v>
      </c>
      <c r="L4" s="145"/>
      <c r="M4" s="145"/>
      <c r="N4" s="145"/>
      <c r="O4" s="145"/>
    </row>
    <row r="6" spans="2:15">
      <c r="B6" s="9" t="s">
        <v>1</v>
      </c>
    </row>
    <row r="8" spans="2:15">
      <c r="B8" s="10" t="s">
        <v>2</v>
      </c>
    </row>
    <row r="9" spans="2:15">
      <c r="B9" s="5"/>
      <c r="C9" s="11"/>
      <c r="D9" s="11"/>
      <c r="E9" s="11"/>
      <c r="F9" s="11"/>
      <c r="G9" s="11"/>
      <c r="L9" s="8"/>
      <c r="M9" s="8"/>
      <c r="N9" s="8"/>
      <c r="O9" s="8"/>
    </row>
    <row r="10" spans="2:15">
      <c r="B10" s="5" t="s">
        <v>3</v>
      </c>
      <c r="C10" s="11"/>
      <c r="D10" s="11"/>
      <c r="E10" s="11"/>
      <c r="F10" s="11"/>
      <c r="G10" s="11"/>
      <c r="L10" s="8"/>
      <c r="M10" s="8"/>
      <c r="N10" s="8"/>
      <c r="O10" s="8"/>
    </row>
    <row r="11" spans="2:15">
      <c r="B11" s="5"/>
      <c r="C11" s="11"/>
      <c r="D11" s="11"/>
      <c r="E11" s="11"/>
      <c r="F11" s="11"/>
      <c r="G11" s="11"/>
      <c r="L11" s="8"/>
      <c r="M11" s="8"/>
      <c r="N11" s="8"/>
      <c r="O11" s="8"/>
    </row>
    <row r="12" spans="2:15">
      <c r="B12" s="12" t="s">
        <v>4</v>
      </c>
      <c r="C12" s="13">
        <v>3499</v>
      </c>
      <c r="D12" s="13">
        <v>3523</v>
      </c>
      <c r="E12" s="13">
        <v>3878</v>
      </c>
      <c r="F12" s="13">
        <v>6514</v>
      </c>
      <c r="G12" s="13">
        <v>19622</v>
      </c>
      <c r="L12" s="14"/>
      <c r="M12" s="14"/>
      <c r="N12" s="14"/>
      <c r="O12" s="14"/>
    </row>
    <row r="13" spans="2:15">
      <c r="B13" s="12" t="s">
        <v>5</v>
      </c>
      <c r="C13" s="15">
        <v>499</v>
      </c>
      <c r="D13" s="15">
        <v>515</v>
      </c>
      <c r="E13" s="15">
        <v>949</v>
      </c>
      <c r="F13" s="13">
        <v>1324</v>
      </c>
      <c r="G13" s="13">
        <v>1886</v>
      </c>
      <c r="L13" s="14"/>
      <c r="M13" s="14"/>
      <c r="N13" s="14"/>
      <c r="O13" s="14"/>
    </row>
    <row r="14" spans="2:15">
      <c r="B14" s="12" t="s">
        <v>6</v>
      </c>
      <c r="C14" s="13">
        <v>2067</v>
      </c>
      <c r="D14" s="13">
        <v>2264</v>
      </c>
      <c r="E14" s="13">
        <v>3113</v>
      </c>
      <c r="F14" s="13">
        <v>3552</v>
      </c>
      <c r="G14" s="13">
        <v>4101</v>
      </c>
      <c r="L14" s="14"/>
      <c r="M14" s="14"/>
      <c r="N14" s="14"/>
      <c r="O14" s="14"/>
    </row>
    <row r="15" spans="2:15">
      <c r="B15" s="12" t="s">
        <v>7</v>
      </c>
      <c r="C15" s="15">
        <v>194</v>
      </c>
      <c r="D15" s="15">
        <v>268</v>
      </c>
      <c r="E15" s="15">
        <v>366</v>
      </c>
      <c r="F15" s="15">
        <v>713</v>
      </c>
      <c r="G15" s="13">
        <v>1108</v>
      </c>
      <c r="L15" s="14"/>
      <c r="M15" s="14"/>
      <c r="N15" s="14"/>
      <c r="O15" s="14"/>
    </row>
    <row r="16" spans="2:15">
      <c r="B16" s="12"/>
      <c r="C16" s="15"/>
      <c r="D16" s="15"/>
      <c r="E16" s="15"/>
      <c r="F16" s="15"/>
      <c r="G16" s="13"/>
      <c r="L16" s="14"/>
      <c r="M16" s="14"/>
      <c r="N16" s="14"/>
      <c r="O16" s="14"/>
    </row>
    <row r="17" spans="2:15" s="19" customFormat="1">
      <c r="B17" s="16" t="s">
        <v>8</v>
      </c>
      <c r="C17" s="17">
        <v>6259</v>
      </c>
      <c r="D17" s="17">
        <v>6571</v>
      </c>
      <c r="E17" s="17">
        <v>8306</v>
      </c>
      <c r="F17" s="17">
        <v>12103</v>
      </c>
      <c r="G17" s="17">
        <v>26717</v>
      </c>
      <c r="H17" s="18"/>
      <c r="L17" s="20"/>
      <c r="M17" s="20"/>
      <c r="N17" s="20"/>
      <c r="O17" s="20"/>
    </row>
    <row r="18" spans="2:15">
      <c r="B18" s="16"/>
      <c r="C18" s="13"/>
      <c r="D18" s="13"/>
      <c r="E18" s="13"/>
      <c r="F18" s="13"/>
      <c r="G18" s="13"/>
      <c r="L18" s="14"/>
      <c r="M18" s="14"/>
      <c r="N18" s="14"/>
      <c r="O18" s="14"/>
    </row>
    <row r="19" spans="2:15">
      <c r="B19" s="16" t="s">
        <v>9</v>
      </c>
      <c r="C19" s="13"/>
      <c r="D19" s="13"/>
      <c r="E19" s="13"/>
      <c r="F19" s="13"/>
      <c r="G19" s="13"/>
      <c r="L19" s="14"/>
      <c r="M19" s="14"/>
      <c r="N19" s="14"/>
      <c r="O19" s="14"/>
    </row>
    <row r="20" spans="2:15">
      <c r="B20" s="16"/>
      <c r="C20" s="13"/>
      <c r="D20" s="13"/>
      <c r="E20" s="13"/>
      <c r="F20" s="13"/>
      <c r="G20" s="13"/>
      <c r="L20" s="14"/>
      <c r="M20" s="14"/>
      <c r="N20" s="14"/>
      <c r="O20" s="14"/>
    </row>
    <row r="21" spans="2:15">
      <c r="B21" s="12" t="s">
        <v>10</v>
      </c>
      <c r="C21" s="13">
        <v>15037</v>
      </c>
      <c r="D21" s="13">
        <v>20492</v>
      </c>
      <c r="E21" s="13">
        <v>19691</v>
      </c>
      <c r="F21" s="13">
        <v>20199</v>
      </c>
      <c r="G21" s="13">
        <v>23375</v>
      </c>
      <c r="L21" s="14"/>
      <c r="M21" s="14"/>
      <c r="N21" s="14"/>
      <c r="O21" s="14"/>
    </row>
    <row r="22" spans="2:15">
      <c r="B22" s="12" t="s">
        <v>11</v>
      </c>
      <c r="C22" s="15">
        <v>268</v>
      </c>
      <c r="D22" s="15">
        <v>442</v>
      </c>
      <c r="E22" s="15">
        <v>398</v>
      </c>
      <c r="F22" s="15">
        <v>270</v>
      </c>
      <c r="G22" s="15">
        <v>279</v>
      </c>
      <c r="L22" s="14"/>
      <c r="M22" s="14"/>
      <c r="N22" s="14"/>
      <c r="O22" s="14"/>
    </row>
    <row r="23" spans="2:15">
      <c r="B23" s="12" t="s">
        <v>12</v>
      </c>
      <c r="C23" s="15">
        <v>506</v>
      </c>
      <c r="D23" s="15">
        <v>457</v>
      </c>
      <c r="E23" s="15">
        <v>422</v>
      </c>
      <c r="F23" s="15">
        <v>402</v>
      </c>
      <c r="G23" s="15">
        <v>334</v>
      </c>
      <c r="L23" s="14"/>
      <c r="M23" s="14"/>
      <c r="N23" s="14"/>
      <c r="O23" s="14"/>
    </row>
    <row r="24" spans="2:15">
      <c r="B24" s="12" t="s">
        <v>13</v>
      </c>
      <c r="C24" s="15">
        <v>376</v>
      </c>
      <c r="D24" s="15">
        <v>422</v>
      </c>
      <c r="E24" s="15">
        <v>351</v>
      </c>
      <c r="F24" s="15">
        <v>537</v>
      </c>
      <c r="G24" s="15">
        <v>520</v>
      </c>
      <c r="L24" s="14"/>
      <c r="M24" s="14"/>
      <c r="N24" s="14"/>
      <c r="O24" s="14"/>
    </row>
    <row r="25" spans="2:15">
      <c r="B25" s="12" t="s">
        <v>14</v>
      </c>
      <c r="C25" s="15">
        <v>218</v>
      </c>
      <c r="D25" s="15">
        <v>271</v>
      </c>
      <c r="E25" s="15">
        <v>572</v>
      </c>
      <c r="F25" s="15">
        <v>798</v>
      </c>
      <c r="G25" s="15">
        <v>923</v>
      </c>
      <c r="L25" s="21"/>
      <c r="M25" s="14"/>
      <c r="N25" s="14"/>
      <c r="O25" s="14"/>
    </row>
    <row r="26" spans="2:15">
      <c r="B26" s="12"/>
      <c r="C26" s="13"/>
      <c r="D26" s="13"/>
      <c r="E26" s="13"/>
      <c r="F26" s="13"/>
      <c r="G26" s="13"/>
      <c r="L26" s="21"/>
      <c r="M26" s="14"/>
      <c r="N26" s="14"/>
      <c r="O26" s="14"/>
    </row>
    <row r="27" spans="2:15">
      <c r="B27" s="16" t="s">
        <v>15</v>
      </c>
      <c r="C27" s="17">
        <f>SUM(C21:C25)</f>
        <v>16405</v>
      </c>
      <c r="D27" s="17">
        <f>SUM(D21:D25)</f>
        <v>22084</v>
      </c>
      <c r="E27" s="17">
        <f>SUM(E21:E25)</f>
        <v>21434</v>
      </c>
      <c r="F27" s="17">
        <f t="shared" ref="F27" si="0">SUM(F21:F25)</f>
        <v>22206</v>
      </c>
      <c r="G27" s="17">
        <f>SUM(G21:G25)</f>
        <v>25431</v>
      </c>
      <c r="L27" s="14"/>
      <c r="M27" s="14"/>
      <c r="N27" s="14"/>
      <c r="O27" s="14"/>
    </row>
    <row r="28" spans="2:15">
      <c r="B28" s="16"/>
      <c r="C28" s="13"/>
      <c r="D28" s="13"/>
      <c r="E28" s="13"/>
      <c r="F28" s="13"/>
      <c r="G28" s="13"/>
      <c r="L28" s="21"/>
      <c r="M28" s="14"/>
      <c r="N28" s="14"/>
      <c r="O28" s="14"/>
    </row>
    <row r="29" spans="2:15">
      <c r="B29" s="16" t="s">
        <v>16</v>
      </c>
      <c r="C29" s="17">
        <f>C27+C17</f>
        <v>22664</v>
      </c>
      <c r="D29" s="17">
        <f>D27+D17</f>
        <v>28655</v>
      </c>
      <c r="E29" s="17">
        <f>E27+E17</f>
        <v>29740</v>
      </c>
      <c r="F29" s="17">
        <f t="shared" ref="F29" si="1">F27+F17</f>
        <v>34309</v>
      </c>
      <c r="G29" s="17">
        <f>G27+G17</f>
        <v>52148</v>
      </c>
      <c r="L29" s="14"/>
      <c r="M29" s="14"/>
      <c r="N29" s="14"/>
      <c r="O29" s="14"/>
    </row>
    <row r="30" spans="2:15">
      <c r="B30" s="16"/>
      <c r="C30" s="17"/>
      <c r="D30" s="17"/>
      <c r="E30" s="17"/>
      <c r="F30" s="17"/>
      <c r="G30" s="17"/>
      <c r="L30" s="14"/>
      <c r="M30" s="14"/>
      <c r="N30" s="14"/>
      <c r="O30" s="14"/>
    </row>
    <row r="31" spans="2:15">
      <c r="B31" s="10" t="s">
        <v>17</v>
      </c>
      <c r="C31" s="22"/>
      <c r="D31" s="22"/>
      <c r="E31" s="22"/>
      <c r="F31" s="22"/>
      <c r="G31" s="22"/>
    </row>
    <row r="32" spans="2:15">
      <c r="B32" s="23"/>
      <c r="C32" s="22"/>
      <c r="D32" s="22"/>
      <c r="E32" s="22"/>
      <c r="F32" s="22"/>
      <c r="G32" s="22"/>
    </row>
    <row r="33" spans="2:15">
      <c r="B33" s="12" t="s">
        <v>18</v>
      </c>
      <c r="C33" s="13">
        <v>1206</v>
      </c>
      <c r="D33" s="15">
        <v>979</v>
      </c>
      <c r="E33" s="13">
        <v>2711</v>
      </c>
      <c r="F33" s="13">
        <v>2070</v>
      </c>
      <c r="G33" s="13">
        <v>2459</v>
      </c>
      <c r="L33" s="14"/>
      <c r="M33" s="14"/>
      <c r="N33" s="14"/>
      <c r="O33" s="14"/>
    </row>
    <row r="34" spans="2:15">
      <c r="B34" s="12" t="s">
        <v>19</v>
      </c>
      <c r="C34" s="13">
        <v>1860</v>
      </c>
      <c r="D34" s="13">
        <v>2390</v>
      </c>
      <c r="E34" s="13">
        <v>3404</v>
      </c>
      <c r="F34" s="13">
        <v>3771</v>
      </c>
      <c r="G34" s="13">
        <v>6051</v>
      </c>
      <c r="L34" s="14"/>
      <c r="M34" s="14"/>
      <c r="N34" s="14"/>
      <c r="O34" s="14"/>
    </row>
    <row r="35" spans="2:15">
      <c r="B35" s="12" t="s">
        <v>20</v>
      </c>
      <c r="C35" s="15">
        <v>153</v>
      </c>
      <c r="D35" s="15">
        <v>186</v>
      </c>
      <c r="E35" s="15">
        <v>349</v>
      </c>
      <c r="F35" s="15">
        <v>611</v>
      </c>
      <c r="G35" s="15">
        <v>777</v>
      </c>
      <c r="L35" s="14"/>
      <c r="M35" s="14"/>
      <c r="N35" s="14"/>
      <c r="O35" s="14"/>
    </row>
    <row r="36" spans="2:15">
      <c r="B36" s="12" t="s">
        <v>21</v>
      </c>
      <c r="C36" s="13">
        <v>2608</v>
      </c>
      <c r="D36" s="13">
        <v>4120</v>
      </c>
      <c r="E36" s="13">
        <v>3528</v>
      </c>
      <c r="F36" s="13">
        <v>4215</v>
      </c>
      <c r="G36" s="13">
        <v>4961</v>
      </c>
      <c r="L36" s="14"/>
      <c r="M36" s="14"/>
      <c r="N36" s="14"/>
      <c r="O36" s="14"/>
    </row>
    <row r="37" spans="2:15">
      <c r="B37" s="12"/>
      <c r="C37" s="13"/>
      <c r="D37" s="13"/>
      <c r="E37" s="13"/>
      <c r="F37" s="13"/>
      <c r="G37" s="13"/>
      <c r="L37" s="14"/>
      <c r="M37" s="14"/>
      <c r="N37" s="14"/>
      <c r="O37" s="14"/>
    </row>
    <row r="38" spans="2:15">
      <c r="B38" s="16" t="s">
        <v>22</v>
      </c>
      <c r="C38" s="17">
        <f>SUM(C33:C36)</f>
        <v>5827</v>
      </c>
      <c r="D38" s="17">
        <f>SUM(D33:D36)</f>
        <v>7675</v>
      </c>
      <c r="E38" s="17">
        <f t="shared" ref="E38" si="2">SUM(E33:E36)</f>
        <v>9992</v>
      </c>
      <c r="F38" s="17">
        <f>SUM(F33:F36)</f>
        <v>10667</v>
      </c>
      <c r="G38" s="17">
        <f>SUM(G33:G36)</f>
        <v>14248</v>
      </c>
      <c r="L38" s="14"/>
      <c r="M38" s="14"/>
      <c r="N38" s="14"/>
      <c r="O38" s="14"/>
    </row>
    <row r="39" spans="2:15">
      <c r="B39" s="12"/>
      <c r="C39" s="13"/>
      <c r="D39" s="13"/>
      <c r="E39" s="13"/>
      <c r="F39" s="13"/>
      <c r="G39" s="13"/>
      <c r="L39" s="14"/>
      <c r="M39" s="14"/>
      <c r="N39" s="14"/>
      <c r="O39" s="14"/>
    </row>
    <row r="40" spans="2:15">
      <c r="B40" s="12" t="s">
        <v>23</v>
      </c>
      <c r="C40" s="13">
        <v>7386</v>
      </c>
      <c r="D40" s="13">
        <v>11152</v>
      </c>
      <c r="E40" s="13">
        <v>11116</v>
      </c>
      <c r="F40" s="13">
        <v>12627</v>
      </c>
      <c r="G40" s="13">
        <v>10888</v>
      </c>
      <c r="L40" s="14"/>
      <c r="M40" s="14"/>
      <c r="N40" s="14"/>
      <c r="O40" s="14"/>
    </row>
    <row r="41" spans="2:15">
      <c r="B41" s="12" t="s">
        <v>24</v>
      </c>
      <c r="C41" s="13">
        <v>2210</v>
      </c>
      <c r="D41" s="13">
        <v>2309</v>
      </c>
      <c r="E41" s="15">
        <v>413</v>
      </c>
      <c r="F41" s="15">
        <v>581</v>
      </c>
      <c r="G41" s="15">
        <v>519</v>
      </c>
      <c r="L41" s="14"/>
      <c r="M41" s="14"/>
      <c r="N41" s="14"/>
      <c r="O41" s="14"/>
    </row>
    <row r="42" spans="2:15">
      <c r="B42" s="12" t="s">
        <v>25</v>
      </c>
      <c r="C42" s="15" t="s">
        <v>26</v>
      </c>
      <c r="D42" s="15" t="s">
        <v>26</v>
      </c>
      <c r="E42" s="15" t="s">
        <v>26</v>
      </c>
      <c r="F42" s="15">
        <v>66</v>
      </c>
      <c r="G42" s="15">
        <v>151</v>
      </c>
      <c r="L42" s="14"/>
      <c r="M42" s="14"/>
      <c r="N42" s="14"/>
      <c r="O42" s="14"/>
    </row>
    <row r="43" spans="2:15">
      <c r="B43" s="12" t="s">
        <v>27</v>
      </c>
      <c r="C43" s="13">
        <v>1336</v>
      </c>
      <c r="D43" s="13">
        <v>1887</v>
      </c>
      <c r="E43" s="13">
        <v>1905</v>
      </c>
      <c r="F43" s="13">
        <v>2258</v>
      </c>
      <c r="G43" s="13">
        <v>2663</v>
      </c>
      <c r="L43" s="14"/>
      <c r="M43" s="14"/>
      <c r="N43" s="14"/>
      <c r="O43" s="14"/>
    </row>
    <row r="44" spans="2:15">
      <c r="B44" s="12"/>
      <c r="C44" s="13"/>
      <c r="D44" s="13"/>
      <c r="E44" s="13"/>
      <c r="F44" s="13"/>
      <c r="G44" s="13"/>
      <c r="L44" s="14"/>
      <c r="M44" s="14"/>
      <c r="N44" s="14"/>
      <c r="O44" s="14"/>
    </row>
    <row r="45" spans="2:15" s="19" customFormat="1">
      <c r="B45" s="16" t="s">
        <v>28</v>
      </c>
      <c r="C45" s="17">
        <f>SUM(C40:C43)</f>
        <v>10932</v>
      </c>
      <c r="D45" s="17">
        <f>SUM(D40:D43)</f>
        <v>15348</v>
      </c>
      <c r="E45" s="17">
        <f>SUM(E40:E43)</f>
        <v>13434</v>
      </c>
      <c r="F45" s="17">
        <f>SUM(F40:F43)</f>
        <v>15532</v>
      </c>
      <c r="G45" s="17">
        <f>SUM(G40:G43)</f>
        <v>14221</v>
      </c>
      <c r="H45" s="18"/>
      <c r="L45" s="20"/>
      <c r="M45" s="20"/>
      <c r="N45" s="20"/>
      <c r="O45" s="20"/>
    </row>
    <row r="46" spans="2:15">
      <c r="B46" s="12"/>
      <c r="C46" s="13"/>
      <c r="D46" s="13"/>
      <c r="E46" s="13"/>
      <c r="F46" s="13"/>
      <c r="G46" s="13"/>
      <c r="L46" s="14"/>
      <c r="M46" s="14"/>
      <c r="N46" s="14"/>
      <c r="O46" s="14"/>
    </row>
    <row r="47" spans="2:15" s="19" customFormat="1">
      <c r="B47" s="16" t="s">
        <v>29</v>
      </c>
      <c r="C47" s="17">
        <f t="shared" ref="C47" si="3">C45+C38</f>
        <v>16759</v>
      </c>
      <c r="D47" s="17">
        <f>D45+D38</f>
        <v>23023</v>
      </c>
      <c r="E47" s="17">
        <f>E45+E38</f>
        <v>23426</v>
      </c>
      <c r="F47" s="17">
        <f>F45+F38</f>
        <v>26199</v>
      </c>
      <c r="G47" s="17">
        <f>G45+G38</f>
        <v>28469</v>
      </c>
      <c r="H47" s="18"/>
      <c r="L47" s="20"/>
      <c r="M47" s="20"/>
      <c r="N47" s="20"/>
      <c r="O47" s="20"/>
    </row>
    <row r="48" spans="2:15">
      <c r="B48" s="12"/>
      <c r="C48" s="24"/>
      <c r="D48" s="24"/>
      <c r="E48" s="24"/>
      <c r="F48" s="24"/>
      <c r="G48" s="24"/>
      <c r="L48" s="14"/>
      <c r="M48" s="14"/>
      <c r="N48" s="14"/>
      <c r="O48" s="14"/>
    </row>
    <row r="49" spans="2:15" s="19" customFormat="1">
      <c r="B49" s="16" t="s">
        <v>30</v>
      </c>
      <c r="C49" s="17">
        <v>5905</v>
      </c>
      <c r="D49" s="17">
        <v>5632</v>
      </c>
      <c r="E49" s="17">
        <v>6314</v>
      </c>
      <c r="F49" s="17">
        <v>8110</v>
      </c>
      <c r="G49" s="17">
        <v>23679</v>
      </c>
      <c r="H49" s="18"/>
      <c r="L49" s="20"/>
      <c r="M49" s="20"/>
      <c r="N49" s="20"/>
      <c r="O49" s="20"/>
    </row>
    <row r="52" spans="2:15" s="19" customFormat="1">
      <c r="B52" s="16" t="s">
        <v>31</v>
      </c>
      <c r="C52" s="17">
        <f>C47+C49</f>
        <v>22664</v>
      </c>
      <c r="D52" s="17">
        <f>D47+D49</f>
        <v>28655</v>
      </c>
      <c r="E52" s="17">
        <f>E47+E49</f>
        <v>29740</v>
      </c>
      <c r="F52" s="17">
        <f t="shared" ref="F52" si="4">F47+F49</f>
        <v>34309</v>
      </c>
      <c r="G52" s="17">
        <f>G47+G49</f>
        <v>52148</v>
      </c>
      <c r="H52" s="18"/>
      <c r="L52" s="20"/>
      <c r="M52" s="20"/>
      <c r="N52" s="20"/>
      <c r="O52" s="20"/>
    </row>
    <row r="53" spans="2:15">
      <c r="B53" s="25"/>
      <c r="C53" s="26"/>
      <c r="D53" s="26"/>
      <c r="E53" s="26"/>
      <c r="F53" s="26"/>
      <c r="G53" s="26"/>
    </row>
    <row r="54" spans="2:15">
      <c r="C54" s="27"/>
      <c r="D54" s="27"/>
      <c r="E54" s="27"/>
      <c r="F54" s="27"/>
      <c r="G54" s="27"/>
    </row>
    <row r="55" spans="2:15">
      <c r="B55" s="9" t="s">
        <v>32</v>
      </c>
    </row>
    <row r="57" spans="2:15" ht="20.399999999999999">
      <c r="B57" s="28" t="s">
        <v>33</v>
      </c>
      <c r="C57" s="29">
        <v>7000</v>
      </c>
      <c r="D57" s="29">
        <v>11759</v>
      </c>
      <c r="E57" s="29">
        <v>21461</v>
      </c>
      <c r="F57" s="29">
        <v>24578</v>
      </c>
      <c r="G57" s="29">
        <v>31536</v>
      </c>
    </row>
    <row r="58" spans="2:15" ht="20.399999999999999">
      <c r="B58" s="28" t="s">
        <v>34</v>
      </c>
      <c r="C58" s="29">
        <v>-4499</v>
      </c>
      <c r="D58" s="29">
        <v>-7906</v>
      </c>
      <c r="E58" s="29">
        <v>-15518</v>
      </c>
      <c r="F58" s="29">
        <v>-18355</v>
      </c>
      <c r="G58" s="29">
        <v>-22584</v>
      </c>
    </row>
    <row r="59" spans="2:15" ht="20.399999999999999">
      <c r="B59" s="28"/>
      <c r="C59" s="29"/>
      <c r="D59" s="29"/>
      <c r="E59" s="29"/>
      <c r="F59" s="29"/>
      <c r="G59" s="29"/>
    </row>
    <row r="60" spans="2:15" ht="21">
      <c r="B60" s="30" t="s">
        <v>35</v>
      </c>
      <c r="C60" s="31">
        <f>C57+C58</f>
        <v>2501</v>
      </c>
      <c r="D60" s="31">
        <f>D57+D58</f>
        <v>3853</v>
      </c>
      <c r="E60" s="31">
        <f>E57+E58</f>
        <v>5943</v>
      </c>
      <c r="F60" s="31">
        <f t="shared" ref="F60" si="5">F57+F58</f>
        <v>6223</v>
      </c>
      <c r="G60" s="31">
        <f>G57+G58</f>
        <v>8952</v>
      </c>
    </row>
    <row r="61" spans="2:15" ht="20.399999999999999">
      <c r="B61" s="28"/>
      <c r="C61" s="29"/>
      <c r="D61" s="29"/>
      <c r="E61" s="29"/>
      <c r="F61" s="29"/>
      <c r="G61" s="29"/>
    </row>
    <row r="62" spans="2:15" ht="20.399999999999999">
      <c r="B62" s="28" t="s">
        <v>36</v>
      </c>
      <c r="C62" s="29">
        <v>-2245</v>
      </c>
      <c r="D62" s="29">
        <v>-3855</v>
      </c>
      <c r="E62" s="29">
        <v>-4295</v>
      </c>
      <c r="F62" s="29">
        <v>-3989</v>
      </c>
      <c r="G62" s="29">
        <v>-4636</v>
      </c>
    </row>
    <row r="63" spans="2:15" ht="20.399999999999999">
      <c r="B63" s="28" t="s">
        <v>37</v>
      </c>
      <c r="C63" s="29">
        <v>-947</v>
      </c>
      <c r="D63" s="29">
        <v>-1636</v>
      </c>
      <c r="E63" s="29">
        <v>-1901</v>
      </c>
      <c r="F63" s="29">
        <v>-2154</v>
      </c>
      <c r="G63" s="29">
        <v>-2322</v>
      </c>
    </row>
    <row r="64" spans="2:15" ht="20.399999999999999">
      <c r="B64" s="28"/>
      <c r="C64" s="29"/>
      <c r="D64" s="29"/>
      <c r="E64" s="29"/>
      <c r="F64" s="29"/>
      <c r="G64" s="29"/>
    </row>
    <row r="65" spans="2:7" ht="21">
      <c r="B65" s="30" t="s">
        <v>38</v>
      </c>
      <c r="C65" s="31">
        <f>C60+SUM(C62:C63)</f>
        <v>-691</v>
      </c>
      <c r="D65" s="31">
        <f>D60+SUM(D62:D63)</f>
        <v>-1638</v>
      </c>
      <c r="E65" s="31">
        <f>E60+SUM(E62:E63)</f>
        <v>-253</v>
      </c>
      <c r="F65" s="31">
        <f t="shared" ref="F65" si="6">F60+SUM(F62:F63)</f>
        <v>80</v>
      </c>
      <c r="G65" s="31">
        <f>G60+SUM(G62:G63)</f>
        <v>1994</v>
      </c>
    </row>
    <row r="66" spans="2:7" ht="20.399999999999999">
      <c r="B66" s="28"/>
      <c r="C66" s="29"/>
      <c r="D66" s="29"/>
      <c r="E66" s="29"/>
      <c r="F66" s="29"/>
      <c r="G66" s="29"/>
    </row>
    <row r="67" spans="2:7" ht="20.399999999999999">
      <c r="B67" s="28" t="s">
        <v>39</v>
      </c>
      <c r="C67" s="29">
        <v>144</v>
      </c>
      <c r="D67" s="29">
        <v>-100</v>
      </c>
      <c r="E67" s="29">
        <v>-89</v>
      </c>
      <c r="F67" s="29">
        <v>-60</v>
      </c>
      <c r="G67" s="29">
        <v>-92</v>
      </c>
    </row>
    <row r="68" spans="2:7" ht="20.399999999999999">
      <c r="B68" s="28"/>
      <c r="C68" s="29"/>
      <c r="D68" s="29"/>
      <c r="E68" s="29"/>
      <c r="F68" s="29"/>
      <c r="G68" s="29"/>
    </row>
    <row r="69" spans="2:7" ht="21">
      <c r="B69" s="30" t="s">
        <v>40</v>
      </c>
      <c r="C69" s="31">
        <f>C65+C67</f>
        <v>-547</v>
      </c>
      <c r="D69" s="31">
        <f>D65+D67</f>
        <v>-1738</v>
      </c>
      <c r="E69" s="31">
        <f>E65+E67</f>
        <v>-342</v>
      </c>
      <c r="F69" s="31">
        <f t="shared" ref="F69" si="7">F65+F67</f>
        <v>20</v>
      </c>
      <c r="G69" s="31">
        <f>G65+G67</f>
        <v>1902</v>
      </c>
    </row>
    <row r="70" spans="2:7" ht="20.399999999999999">
      <c r="B70" s="28"/>
      <c r="C70" s="29"/>
      <c r="D70" s="29"/>
      <c r="E70" s="29"/>
      <c r="F70" s="29"/>
      <c r="G70" s="29"/>
    </row>
    <row r="71" spans="2:7" ht="20.399999999999999">
      <c r="B71" s="28" t="s">
        <v>41</v>
      </c>
      <c r="C71" s="29">
        <v>-199</v>
      </c>
      <c r="D71" s="29">
        <v>-471</v>
      </c>
      <c r="E71" s="29">
        <v>-663</v>
      </c>
      <c r="F71" s="29">
        <v>-685</v>
      </c>
      <c r="G71" s="29">
        <v>-748</v>
      </c>
    </row>
    <row r="72" spans="2:7" ht="20.399999999999999">
      <c r="B72" s="28"/>
      <c r="C72" s="29"/>
      <c r="D72" s="29"/>
      <c r="E72" s="29"/>
      <c r="F72" s="29"/>
      <c r="G72" s="29"/>
    </row>
    <row r="73" spans="2:7" ht="21">
      <c r="B73" s="30" t="s">
        <v>42</v>
      </c>
      <c r="C73" s="31">
        <f>C69+C71</f>
        <v>-746</v>
      </c>
      <c r="D73" s="31">
        <f>D69+D71</f>
        <v>-2209</v>
      </c>
      <c r="E73" s="31">
        <f>E69+E71</f>
        <v>-1005</v>
      </c>
      <c r="F73" s="31">
        <f t="shared" ref="F73" si="8">F69+F71</f>
        <v>-665</v>
      </c>
      <c r="G73" s="31">
        <f>G69+G71</f>
        <v>1154</v>
      </c>
    </row>
    <row r="74" spans="2:7" ht="20.399999999999999">
      <c r="B74" s="28"/>
      <c r="C74" s="29"/>
      <c r="D74" s="29"/>
      <c r="E74" s="29"/>
      <c r="F74" s="29"/>
      <c r="G74" s="29"/>
    </row>
    <row r="75" spans="2:7" ht="20.399999999999999">
      <c r="B75" s="28" t="s">
        <v>43</v>
      </c>
      <c r="C75" s="29">
        <v>-27</v>
      </c>
      <c r="D75" s="29">
        <v>-32</v>
      </c>
      <c r="E75" s="29">
        <v>-58</v>
      </c>
      <c r="F75" s="29">
        <v>-110</v>
      </c>
      <c r="G75" s="29">
        <v>-292</v>
      </c>
    </row>
    <row r="76" spans="2:7" ht="21">
      <c r="B76" s="30" t="s">
        <v>44</v>
      </c>
      <c r="C76" s="31">
        <f>C73+C75</f>
        <v>-773</v>
      </c>
      <c r="D76" s="31">
        <f t="shared" ref="D76:G76" si="9">D73+D75</f>
        <v>-2241</v>
      </c>
      <c r="E76" s="31">
        <f t="shared" si="9"/>
        <v>-1063</v>
      </c>
      <c r="F76" s="31">
        <f t="shared" si="9"/>
        <v>-775</v>
      </c>
      <c r="G76" s="31">
        <f t="shared" si="9"/>
        <v>862</v>
      </c>
    </row>
  </sheetData>
  <mergeCells count="1">
    <mergeCell ref="L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74C2-D762-4CF1-B6D0-4D513B8BC394}">
  <sheetPr>
    <tabColor rgb="FF002060"/>
  </sheetPr>
  <dimension ref="A1:J25"/>
  <sheetViews>
    <sheetView showGridLines="0" zoomScale="52" workbookViewId="0">
      <selection activeCell="B3" sqref="B3:I4"/>
    </sheetView>
  </sheetViews>
  <sheetFormatPr defaultRowHeight="15"/>
  <cols>
    <col min="1" max="1" width="4.453125" customWidth="1"/>
    <col min="2" max="2" width="20.90625" customWidth="1"/>
    <col min="4" max="4" width="41.1796875" customWidth="1"/>
    <col min="5" max="5" width="22.08984375" customWidth="1"/>
    <col min="6" max="6" width="18.26953125" customWidth="1"/>
    <col min="7" max="7" width="15.1796875" customWidth="1"/>
    <col min="8" max="8" width="18.7265625" customWidth="1"/>
    <col min="9" max="9" width="20.08984375" customWidth="1"/>
  </cols>
  <sheetData>
    <row r="1" spans="1:10" ht="15.6" thickBot="1">
      <c r="I1">
        <v>0</v>
      </c>
    </row>
    <row r="2" spans="1:10" ht="54.6" customHeight="1">
      <c r="B2" s="155" t="str">
        <f>'Raw Data_TESLA'!B2</f>
        <v>Tesla</v>
      </c>
      <c r="C2" s="156"/>
      <c r="D2" s="156"/>
      <c r="E2" s="156"/>
      <c r="F2" s="156"/>
      <c r="G2" s="156"/>
      <c r="H2" s="156"/>
      <c r="I2" s="157"/>
      <c r="J2" s="42"/>
    </row>
    <row r="3" spans="1:10" ht="18" customHeight="1">
      <c r="A3" s="33"/>
      <c r="B3" s="160" t="s">
        <v>32</v>
      </c>
      <c r="C3" s="161"/>
      <c r="D3" s="161"/>
      <c r="E3" s="161"/>
      <c r="F3" s="161"/>
      <c r="G3" s="161"/>
      <c r="H3" s="161"/>
      <c r="I3" s="162"/>
      <c r="J3" s="43"/>
    </row>
    <row r="4" spans="1:10" ht="24" customHeight="1" thickBot="1">
      <c r="B4" s="163"/>
      <c r="C4" s="164"/>
      <c r="D4" s="164"/>
      <c r="E4" s="164"/>
      <c r="F4" s="164"/>
      <c r="G4" s="164"/>
      <c r="H4" s="164"/>
      <c r="I4" s="165"/>
      <c r="J4" s="43"/>
    </row>
    <row r="5" spans="1:10" ht="25.2" thickBot="1">
      <c r="B5" s="158" t="s">
        <v>32</v>
      </c>
      <c r="C5" s="159"/>
      <c r="D5" s="159"/>
      <c r="E5" s="44">
        <f>'Raw Data_TESLA'!C4</f>
        <v>43101</v>
      </c>
      <c r="F5" s="44">
        <f>'Raw Data_TESLA'!D4</f>
        <v>43466</v>
      </c>
      <c r="G5" s="44">
        <f>'Raw Data_TESLA'!E4</f>
        <v>43831</v>
      </c>
      <c r="H5" s="44">
        <f>'Raw Data_TESLA'!F4</f>
        <v>44197</v>
      </c>
      <c r="I5" s="45">
        <f>'Raw Data_TESLA'!G4</f>
        <v>44562</v>
      </c>
    </row>
    <row r="6" spans="1:10" ht="27.6">
      <c r="B6" s="146" t="s">
        <v>87</v>
      </c>
      <c r="C6" s="147"/>
      <c r="D6" s="147"/>
      <c r="E6" s="75"/>
      <c r="F6" s="75"/>
      <c r="G6" s="75"/>
      <c r="H6" s="75"/>
      <c r="I6" s="76"/>
    </row>
    <row r="7" spans="1:10" ht="19.8" customHeight="1">
      <c r="B7" s="146" t="s">
        <v>88</v>
      </c>
      <c r="C7" s="147"/>
      <c r="D7" s="147"/>
      <c r="E7" s="75"/>
      <c r="F7" s="75"/>
      <c r="G7" s="75"/>
      <c r="H7" s="75"/>
      <c r="I7" s="76"/>
    </row>
    <row r="8" spans="1:10" ht="20.399999999999999" customHeight="1">
      <c r="B8" s="146" t="s">
        <v>89</v>
      </c>
      <c r="C8" s="147"/>
      <c r="D8" s="147"/>
      <c r="E8" s="77">
        <f>'Raw Data_TESLA'!C57</f>
        <v>7000</v>
      </c>
      <c r="F8" s="77">
        <f>'Raw Data_TESLA'!D57</f>
        <v>11759</v>
      </c>
      <c r="G8" s="77">
        <f>'Raw Data_TESLA'!E57</f>
        <v>21461</v>
      </c>
      <c r="H8" s="77">
        <f>'Raw Data_TESLA'!F57</f>
        <v>24578</v>
      </c>
      <c r="I8" s="78">
        <f>'Raw Data_TESLA'!G57</f>
        <v>31536</v>
      </c>
    </row>
    <row r="9" spans="1:10" ht="27.6">
      <c r="B9" s="146" t="s">
        <v>53</v>
      </c>
      <c r="C9" s="147"/>
      <c r="D9" s="147"/>
      <c r="E9" s="77">
        <f>-'Raw Data_TESLA'!C58</f>
        <v>4499</v>
      </c>
      <c r="F9" s="77">
        <f>-'Raw Data_TESLA'!D58</f>
        <v>7906</v>
      </c>
      <c r="G9" s="77">
        <f>-'Raw Data_TESLA'!E58</f>
        <v>15518</v>
      </c>
      <c r="H9" s="77">
        <f>-'Raw Data_TESLA'!F58</f>
        <v>18355</v>
      </c>
      <c r="I9" s="78">
        <f>-'Raw Data_TESLA'!G58</f>
        <v>22584</v>
      </c>
    </row>
    <row r="10" spans="1:10" ht="28.2" thickBot="1">
      <c r="B10" s="148" t="s">
        <v>52</v>
      </c>
      <c r="C10" s="149"/>
      <c r="D10" s="149"/>
      <c r="E10" s="79">
        <f>E8-E9</f>
        <v>2501</v>
      </c>
      <c r="F10" s="79">
        <f>F8-F9</f>
        <v>3853</v>
      </c>
      <c r="G10" s="79">
        <f>G8-G9</f>
        <v>5943</v>
      </c>
      <c r="H10" s="79">
        <f>H8-H9</f>
        <v>6223</v>
      </c>
      <c r="I10" s="80">
        <f>I8-I9</f>
        <v>8952</v>
      </c>
    </row>
    <row r="11" spans="1:10" ht="28.2" thickTop="1">
      <c r="B11" s="47"/>
      <c r="C11" s="46"/>
      <c r="D11" s="46"/>
      <c r="E11" s="81"/>
      <c r="F11" s="81"/>
      <c r="G11" s="81"/>
      <c r="H11" s="81"/>
      <c r="I11" s="82"/>
    </row>
    <row r="12" spans="1:10" ht="27.6">
      <c r="B12" s="146" t="s">
        <v>51</v>
      </c>
      <c r="C12" s="147"/>
      <c r="D12" s="147"/>
      <c r="E12" s="83">
        <f>-'Raw Data_TESLA'!C62</f>
        <v>2245</v>
      </c>
      <c r="F12" s="83">
        <f>-'Raw Data_TESLA'!D62</f>
        <v>3855</v>
      </c>
      <c r="G12" s="83">
        <f>-'Raw Data_TESLA'!E62</f>
        <v>4295</v>
      </c>
      <c r="H12" s="83">
        <f>-'Raw Data_TESLA'!F62</f>
        <v>3989</v>
      </c>
      <c r="I12" s="84">
        <f>-'Raw Data_TESLA'!G62</f>
        <v>4636</v>
      </c>
    </row>
    <row r="13" spans="1:10" ht="27.6">
      <c r="B13" s="146" t="s">
        <v>50</v>
      </c>
      <c r="C13" s="147"/>
      <c r="D13" s="147"/>
      <c r="E13" s="85">
        <v>0</v>
      </c>
      <c r="F13" s="85">
        <v>0</v>
      </c>
      <c r="G13" s="85">
        <v>0</v>
      </c>
      <c r="H13" s="85">
        <v>0</v>
      </c>
      <c r="I13" s="86">
        <v>0</v>
      </c>
    </row>
    <row r="14" spans="1:10" ht="27.6">
      <c r="B14" s="146" t="s">
        <v>49</v>
      </c>
      <c r="C14" s="147"/>
      <c r="D14" s="147"/>
      <c r="E14" s="83">
        <f>-'Raw Data_TESLA'!C63</f>
        <v>947</v>
      </c>
      <c r="F14" s="83">
        <f>-'Raw Data_TESLA'!D63</f>
        <v>1636</v>
      </c>
      <c r="G14" s="83">
        <f>-'Raw Data_TESLA'!E63</f>
        <v>1901</v>
      </c>
      <c r="H14" s="83">
        <f>-'Raw Data_TESLA'!F63</f>
        <v>2154</v>
      </c>
      <c r="I14" s="87">
        <f>-'Raw Data_TESLA'!G63</f>
        <v>2322</v>
      </c>
    </row>
    <row r="15" spans="1:10" ht="28.2" thickBot="1">
      <c r="B15" s="148" t="s">
        <v>48</v>
      </c>
      <c r="C15" s="149"/>
      <c r="D15" s="149"/>
      <c r="E15" s="88">
        <f>E10-SUM(E12:E14)</f>
        <v>-691</v>
      </c>
      <c r="F15" s="88">
        <f>F10-SUM(F12:F14)</f>
        <v>-1638</v>
      </c>
      <c r="G15" s="88">
        <f>G10-SUM(G12:G14)</f>
        <v>-253</v>
      </c>
      <c r="H15" s="88">
        <f>H10-SUM(H12:H14)</f>
        <v>80</v>
      </c>
      <c r="I15" s="89">
        <f>I10-SUM(I12:I14)</f>
        <v>1994</v>
      </c>
    </row>
    <row r="16" spans="1:10" ht="28.2" thickTop="1">
      <c r="B16" s="47"/>
      <c r="C16" s="46"/>
      <c r="D16" s="46"/>
      <c r="E16" s="90"/>
      <c r="F16" s="90"/>
      <c r="G16" s="90"/>
      <c r="H16" s="90"/>
      <c r="I16" s="91"/>
    </row>
    <row r="17" spans="2:9" ht="27.6">
      <c r="B17" s="153" t="s">
        <v>47</v>
      </c>
      <c r="C17" s="154"/>
      <c r="D17" s="154"/>
      <c r="E17" s="83">
        <f>'Raw Data_TESLA'!C67</f>
        <v>144</v>
      </c>
      <c r="F17" s="83">
        <f>'Raw Data_TESLA'!D67</f>
        <v>-100</v>
      </c>
      <c r="G17" s="83">
        <f>'Raw Data_TESLA'!E67</f>
        <v>-89</v>
      </c>
      <c r="H17" s="83">
        <f>'Raw Data_TESLA'!F67</f>
        <v>-60</v>
      </c>
      <c r="I17" s="84">
        <f>'Raw Data_TESLA'!G67</f>
        <v>-92</v>
      </c>
    </row>
    <row r="18" spans="2:9" ht="27.6">
      <c r="B18" s="153" t="s">
        <v>40</v>
      </c>
      <c r="C18" s="154"/>
      <c r="D18" s="154"/>
      <c r="E18" s="92">
        <f>IF(OR(E15&lt;0,E17&lt;0), E15+E17, E15-E17)</f>
        <v>-547</v>
      </c>
      <c r="F18" s="92">
        <f t="shared" ref="F18:I18" si="0">IF(OR(F15&lt;0,F17&lt;0), F15+F17, F15-F17)</f>
        <v>-1738</v>
      </c>
      <c r="G18" s="92">
        <f t="shared" si="0"/>
        <v>-342</v>
      </c>
      <c r="H18" s="92">
        <f t="shared" si="0"/>
        <v>20</v>
      </c>
      <c r="I18" s="93">
        <f t="shared" si="0"/>
        <v>1902</v>
      </c>
    </row>
    <row r="19" spans="2:9" ht="27.6">
      <c r="B19" s="146" t="s">
        <v>41</v>
      </c>
      <c r="C19" s="147"/>
      <c r="D19" s="147"/>
      <c r="E19" s="94">
        <f>-'Raw Data_TESLA'!C71</f>
        <v>199</v>
      </c>
      <c r="F19" s="94">
        <f>-'Raw Data_TESLA'!D71</f>
        <v>471</v>
      </c>
      <c r="G19" s="94">
        <f>-'Raw Data_TESLA'!E71</f>
        <v>663</v>
      </c>
      <c r="H19" s="94">
        <f>-'Raw Data_TESLA'!F71</f>
        <v>685</v>
      </c>
      <c r="I19" s="95">
        <f>-'Raw Data_TESLA'!G71</f>
        <v>748</v>
      </c>
    </row>
    <row r="20" spans="2:9" ht="27.6">
      <c r="B20" s="47"/>
      <c r="C20" s="46"/>
      <c r="D20" s="46"/>
      <c r="E20" s="96"/>
      <c r="F20" s="96"/>
      <c r="G20" s="96"/>
      <c r="H20" s="96"/>
      <c r="I20" s="97"/>
    </row>
    <row r="21" spans="2:9" ht="28.2" thickBot="1">
      <c r="B21" s="148" t="s">
        <v>90</v>
      </c>
      <c r="C21" s="149"/>
      <c r="D21" s="149"/>
      <c r="E21" s="98">
        <f>E18-E19</f>
        <v>-746</v>
      </c>
      <c r="F21" s="98">
        <f t="shared" ref="F21:I21" si="1">F18-F19</f>
        <v>-2209</v>
      </c>
      <c r="G21" s="98">
        <f t="shared" si="1"/>
        <v>-1005</v>
      </c>
      <c r="H21" s="98">
        <f t="shared" si="1"/>
        <v>-665</v>
      </c>
      <c r="I21" s="99">
        <f t="shared" si="1"/>
        <v>1154</v>
      </c>
    </row>
    <row r="22" spans="2:9" ht="28.2" thickTop="1">
      <c r="B22" s="146" t="s">
        <v>46</v>
      </c>
      <c r="C22" s="147"/>
      <c r="D22" s="147"/>
      <c r="E22" s="83">
        <f>-'Raw Data_TESLA'!C75</f>
        <v>27</v>
      </c>
      <c r="F22" s="83">
        <f>-'Raw Data_TESLA'!D75</f>
        <v>32</v>
      </c>
      <c r="G22" s="83">
        <f>-'Raw Data_TESLA'!E75</f>
        <v>58</v>
      </c>
      <c r="H22" s="83">
        <f>-'Raw Data_TESLA'!F75</f>
        <v>110</v>
      </c>
      <c r="I22" s="84">
        <f>-'Raw Data_TESLA'!G75</f>
        <v>292</v>
      </c>
    </row>
    <row r="23" spans="2:9" ht="27.6">
      <c r="B23" s="47"/>
      <c r="C23" s="46"/>
      <c r="D23" s="46"/>
      <c r="E23" s="81"/>
      <c r="F23" s="81"/>
      <c r="G23" s="81"/>
      <c r="H23" s="81"/>
      <c r="I23" s="82"/>
    </row>
    <row r="24" spans="2:9" ht="28.2" thickBot="1">
      <c r="B24" s="150" t="s">
        <v>45</v>
      </c>
      <c r="C24" s="151"/>
      <c r="D24" s="151"/>
      <c r="E24" s="100">
        <f>E21-E22</f>
        <v>-773</v>
      </c>
      <c r="F24" s="100">
        <f t="shared" ref="F24:I24" si="2">F21-F22</f>
        <v>-2241</v>
      </c>
      <c r="G24" s="100">
        <f t="shared" si="2"/>
        <v>-1063</v>
      </c>
      <c r="H24" s="100">
        <f t="shared" si="2"/>
        <v>-775</v>
      </c>
      <c r="I24" s="101">
        <f t="shared" si="2"/>
        <v>862</v>
      </c>
    </row>
    <row r="25" spans="2:9" ht="35.4" customHeight="1">
      <c r="B25" s="152" t="s">
        <v>91</v>
      </c>
      <c r="C25" s="152"/>
      <c r="D25" s="152"/>
      <c r="E25" s="48" t="b">
        <f>E24='Raw Data_TESLA'!C76</f>
        <v>1</v>
      </c>
      <c r="F25" s="48" t="b">
        <f>F24='Raw Data_TESLA'!D76</f>
        <v>1</v>
      </c>
      <c r="G25" s="48" t="b">
        <f>G24='Raw Data_TESLA'!E76</f>
        <v>1</v>
      </c>
      <c r="H25" s="48" t="b">
        <f>H24='Raw Data_TESLA'!F76</f>
        <v>1</v>
      </c>
      <c r="I25" s="48" t="b">
        <f>I24='Raw Data_TESLA'!G76</f>
        <v>1</v>
      </c>
    </row>
  </sheetData>
  <mergeCells count="19">
    <mergeCell ref="B15:D15"/>
    <mergeCell ref="B17:D17"/>
    <mergeCell ref="B18:D18"/>
    <mergeCell ref="B2:I2"/>
    <mergeCell ref="B5:D5"/>
    <mergeCell ref="B7:D7"/>
    <mergeCell ref="B8:D8"/>
    <mergeCell ref="B6:D6"/>
    <mergeCell ref="B9:D9"/>
    <mergeCell ref="B10:D10"/>
    <mergeCell ref="B12:D12"/>
    <mergeCell ref="B13:D13"/>
    <mergeCell ref="B14:D14"/>
    <mergeCell ref="B3:I4"/>
    <mergeCell ref="B19:D19"/>
    <mergeCell ref="B21:D21"/>
    <mergeCell ref="B22:D22"/>
    <mergeCell ref="B24:D24"/>
    <mergeCell ref="B25:D25"/>
  </mergeCells>
  <conditionalFormatting sqref="E6:I24">
    <cfRule type="cellIs" dxfId="6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5960-87FD-44CD-A068-593223D4D0A0}">
  <sheetPr>
    <tabColor rgb="FF002060"/>
  </sheetPr>
  <dimension ref="A1:Z30"/>
  <sheetViews>
    <sheetView showGridLines="0" topLeftCell="A6" zoomScale="48" workbookViewId="0">
      <selection activeCell="B2" sqref="B2:I2"/>
    </sheetView>
  </sheetViews>
  <sheetFormatPr defaultRowHeight="15"/>
  <cols>
    <col min="1" max="1" width="4.453125" customWidth="1"/>
    <col min="2" max="2" width="20.90625" customWidth="1"/>
    <col min="4" max="4" width="24.81640625" customWidth="1"/>
    <col min="5" max="5" width="22.08984375" customWidth="1"/>
    <col min="6" max="6" width="16.7265625" customWidth="1"/>
    <col min="7" max="7" width="25.36328125" customWidth="1"/>
    <col min="8" max="8" width="18.7265625" customWidth="1"/>
    <col min="9" max="9" width="17.6328125" customWidth="1"/>
    <col min="11" max="11" width="15.54296875" customWidth="1"/>
    <col min="12" max="12" width="15.26953125" customWidth="1"/>
    <col min="13" max="13" width="13.90625" customWidth="1"/>
    <col min="14" max="14" width="19" customWidth="1"/>
    <col min="15" max="15" width="32.08984375" customWidth="1"/>
  </cols>
  <sheetData>
    <row r="1" spans="1:26" ht="15.6" thickBot="1"/>
    <row r="2" spans="1:26" ht="54.6" customHeight="1" thickBot="1">
      <c r="B2" s="155" t="str">
        <f>'Raw Data_TESLA'!B2</f>
        <v>Tesla</v>
      </c>
      <c r="C2" s="156"/>
      <c r="D2" s="156"/>
      <c r="E2" s="156"/>
      <c r="F2" s="156"/>
      <c r="G2" s="156"/>
      <c r="H2" s="156"/>
      <c r="I2" s="157"/>
      <c r="J2" s="42"/>
    </row>
    <row r="3" spans="1:26" ht="18" customHeight="1">
      <c r="A3" s="33"/>
      <c r="B3" s="160" t="s">
        <v>92</v>
      </c>
      <c r="C3" s="161"/>
      <c r="D3" s="161"/>
      <c r="E3" s="161"/>
      <c r="F3" s="161"/>
      <c r="G3" s="161"/>
      <c r="H3" s="161"/>
      <c r="I3" s="162"/>
      <c r="J3" s="43"/>
      <c r="K3" s="177" t="s">
        <v>93</v>
      </c>
      <c r="L3" s="178"/>
      <c r="M3" s="178"/>
      <c r="N3" s="178"/>
      <c r="O3" s="179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24" customHeight="1" thickBot="1">
      <c r="B4" s="163"/>
      <c r="C4" s="164"/>
      <c r="D4" s="164"/>
      <c r="E4" s="164"/>
      <c r="F4" s="164"/>
      <c r="G4" s="164"/>
      <c r="H4" s="164"/>
      <c r="I4" s="165"/>
      <c r="J4" s="43"/>
      <c r="K4" s="180"/>
      <c r="L4" s="181"/>
      <c r="M4" s="181"/>
      <c r="N4" s="181"/>
      <c r="O4" s="182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s="54" customFormat="1" ht="39" customHeight="1">
      <c r="B5" s="183" t="s">
        <v>95</v>
      </c>
      <c r="C5" s="184"/>
      <c r="D5" s="184"/>
      <c r="E5" s="62">
        <f>'Raw Data_TESLA'!C4</f>
        <v>43101</v>
      </c>
      <c r="F5" s="62">
        <f>'Raw Data_TESLA'!D4</f>
        <v>43466</v>
      </c>
      <c r="G5" s="62">
        <f>'Raw Data_TESLA'!E4</f>
        <v>43831</v>
      </c>
      <c r="H5" s="62">
        <f>'Raw Data_TESLA'!F4</f>
        <v>44197</v>
      </c>
      <c r="I5" s="61">
        <f>'Raw Data_TESLA'!G4</f>
        <v>44562</v>
      </c>
      <c r="K5" s="123">
        <f>E5</f>
        <v>43101</v>
      </c>
      <c r="L5" s="124">
        <f>F5</f>
        <v>43466</v>
      </c>
      <c r="M5" s="124">
        <f>G5</f>
        <v>43831</v>
      </c>
      <c r="N5" s="124">
        <f>I5</f>
        <v>44562</v>
      </c>
      <c r="O5" s="125" t="s">
        <v>94</v>
      </c>
    </row>
    <row r="6" spans="1:26" s="32" customFormat="1" ht="37.200000000000003" customHeight="1">
      <c r="B6" s="185" t="s">
        <v>96</v>
      </c>
      <c r="C6" s="186"/>
      <c r="D6" s="186"/>
      <c r="E6" s="117"/>
      <c r="F6" s="117"/>
      <c r="G6" s="117"/>
      <c r="H6" s="117"/>
      <c r="I6" s="56"/>
      <c r="K6" s="126"/>
      <c r="O6" s="127"/>
    </row>
    <row r="7" spans="1:26" s="32" customFormat="1" ht="33.6" customHeight="1">
      <c r="B7" s="175" t="s">
        <v>3</v>
      </c>
      <c r="C7" s="176"/>
      <c r="D7" s="176"/>
      <c r="E7" s="118"/>
      <c r="F7" s="118"/>
      <c r="G7" s="118"/>
      <c r="H7" s="118"/>
      <c r="I7" s="59"/>
      <c r="K7" s="128"/>
      <c r="L7" s="57"/>
      <c r="M7" s="57"/>
      <c r="N7" s="57"/>
      <c r="O7" s="127"/>
    </row>
    <row r="8" spans="1:26" s="32" customFormat="1" ht="39" customHeight="1">
      <c r="B8" s="169" t="s">
        <v>97</v>
      </c>
      <c r="C8" s="170"/>
      <c r="D8" s="170"/>
      <c r="E8" s="63">
        <f>'Raw Data_TESLA'!C12</f>
        <v>3499</v>
      </c>
      <c r="F8" s="63">
        <f>'Raw Data_TESLA'!D12</f>
        <v>3523</v>
      </c>
      <c r="G8" s="63">
        <f>'Raw Data_TESLA'!E12</f>
        <v>3878</v>
      </c>
      <c r="H8" s="63">
        <f>'Raw Data_TESLA'!F12</f>
        <v>6514</v>
      </c>
      <c r="I8" s="64">
        <f>'Raw Data_TESLA'!G12</f>
        <v>19622</v>
      </c>
      <c r="K8" s="129">
        <f t="shared" ref="K8:N11" si="0">IFERROR(E8/E$26,0)</f>
        <v>0.15438581009530533</v>
      </c>
      <c r="L8" s="60">
        <f t="shared" si="0"/>
        <v>0.12294967543798423</v>
      </c>
      <c r="M8" s="60">
        <f t="shared" si="0"/>
        <v>0.13039677202420982</v>
      </c>
      <c r="N8" s="60">
        <f t="shared" si="0"/>
        <v>0.18986271823719725</v>
      </c>
      <c r="O8" s="51"/>
    </row>
    <row r="9" spans="1:26" s="32" customFormat="1" ht="50.4" customHeight="1">
      <c r="B9" s="169" t="s">
        <v>98</v>
      </c>
      <c r="C9" s="170"/>
      <c r="D9" s="170"/>
      <c r="E9" s="63">
        <f>'Raw Data_TESLA'!C13</f>
        <v>499</v>
      </c>
      <c r="F9" s="63">
        <f>'Raw Data_TESLA'!D13</f>
        <v>515</v>
      </c>
      <c r="G9" s="63">
        <f>'Raw Data_TESLA'!E13</f>
        <v>949</v>
      </c>
      <c r="H9" s="63">
        <f>'Raw Data_TESLA'!F13</f>
        <v>1324</v>
      </c>
      <c r="I9" s="64">
        <f>'Raw Data_TESLA'!G13</f>
        <v>1886</v>
      </c>
      <c r="K9" s="129">
        <f t="shared" si="0"/>
        <v>2.2017296152488527E-2</v>
      </c>
      <c r="L9" s="60">
        <f t="shared" si="0"/>
        <v>1.7973057862776576E-2</v>
      </c>
      <c r="M9" s="60">
        <f t="shared" si="0"/>
        <v>3.1909885675857431E-2</v>
      </c>
      <c r="N9" s="60">
        <f t="shared" si="0"/>
        <v>3.85904573144073E-2</v>
      </c>
      <c r="O9" s="52"/>
    </row>
    <row r="10" spans="1:26" s="32" customFormat="1" ht="43.2" customHeight="1">
      <c r="B10" s="169" t="s">
        <v>99</v>
      </c>
      <c r="C10" s="170"/>
      <c r="D10" s="170"/>
      <c r="E10" s="63">
        <f>'Raw Data_TESLA'!C14</f>
        <v>2067</v>
      </c>
      <c r="F10" s="63">
        <f>'Raw Data_TESLA'!D14</f>
        <v>2264</v>
      </c>
      <c r="G10" s="63">
        <f>'Raw Data_TESLA'!E14</f>
        <v>3113</v>
      </c>
      <c r="H10" s="63">
        <f>'Raw Data_TESLA'!F14</f>
        <v>3552</v>
      </c>
      <c r="I10" s="64">
        <f>'Raw Data_TESLA'!G14</f>
        <v>4101</v>
      </c>
      <c r="K10" s="129">
        <f t="shared" si="0"/>
        <v>9.1201906106600783E-2</v>
      </c>
      <c r="L10" s="60">
        <f t="shared" si="0"/>
        <v>7.90116563132547E-2</v>
      </c>
      <c r="M10" s="60">
        <f t="shared" si="0"/>
        <v>0.1046738399462004</v>
      </c>
      <c r="N10" s="60">
        <f t="shared" si="0"/>
        <v>0.10352968608819843</v>
      </c>
      <c r="O10" s="51"/>
    </row>
    <row r="11" spans="1:26" s="32" customFormat="1" ht="40.799999999999997" customHeight="1">
      <c r="B11" s="169" t="s">
        <v>100</v>
      </c>
      <c r="C11" s="170"/>
      <c r="D11" s="170"/>
      <c r="E11" s="63">
        <f>'Raw Data_TESLA'!C15</f>
        <v>194</v>
      </c>
      <c r="F11" s="63">
        <f>'Raw Data_TESLA'!D15</f>
        <v>268</v>
      </c>
      <c r="G11" s="63">
        <f>'Raw Data_TESLA'!E15</f>
        <v>366</v>
      </c>
      <c r="H11" s="63">
        <f>'Raw Data_TESLA'!F15</f>
        <v>713</v>
      </c>
      <c r="I11" s="64">
        <f>'Raw Data_TESLA'!G15</f>
        <v>1108</v>
      </c>
      <c r="K11" s="129">
        <f t="shared" si="0"/>
        <v>8.5598305683021528E-3</v>
      </c>
      <c r="L11" s="60">
        <f t="shared" si="0"/>
        <v>9.3529699169400439E-3</v>
      </c>
      <c r="M11" s="60">
        <f t="shared" si="0"/>
        <v>1.2306657700067249E-2</v>
      </c>
      <c r="N11" s="60">
        <f t="shared" si="0"/>
        <v>2.0781719082456497E-2</v>
      </c>
      <c r="O11" s="51"/>
    </row>
    <row r="12" spans="1:26" s="32" customFormat="1" ht="38.4" customHeight="1">
      <c r="B12" s="169" t="s">
        <v>101</v>
      </c>
      <c r="C12" s="170"/>
      <c r="D12" s="170"/>
      <c r="E12" s="119"/>
      <c r="F12" s="119"/>
      <c r="G12" s="119"/>
      <c r="H12" s="119"/>
      <c r="I12" s="65"/>
      <c r="K12" s="129"/>
      <c r="L12" s="60"/>
      <c r="M12" s="60"/>
      <c r="N12" s="60"/>
      <c r="O12" s="51"/>
    </row>
    <row r="13" spans="1:26" s="32" customFormat="1" ht="28.2" customHeight="1" thickBot="1">
      <c r="B13" s="173" t="s">
        <v>102</v>
      </c>
      <c r="C13" s="174"/>
      <c r="D13" s="174"/>
      <c r="E13" s="66">
        <f>SUM(E8:E11)</f>
        <v>6259</v>
      </c>
      <c r="F13" s="66">
        <f t="shared" ref="F13:I13" si="1">SUM(F8:F11)</f>
        <v>6570</v>
      </c>
      <c r="G13" s="66">
        <f t="shared" si="1"/>
        <v>8306</v>
      </c>
      <c r="H13" s="66">
        <f t="shared" si="1"/>
        <v>12103</v>
      </c>
      <c r="I13" s="67">
        <f t="shared" si="1"/>
        <v>26717</v>
      </c>
      <c r="K13" s="129">
        <f>IFERROR(E13/E$26,0)</f>
        <v>0.27616484292269677</v>
      </c>
      <c r="L13" s="60">
        <f>IFERROR(F13/F$26,0)</f>
        <v>0.22928735953095553</v>
      </c>
      <c r="M13" s="60">
        <f>IFERROR(G13/G$26,0)</f>
        <v>0.27928715534633491</v>
      </c>
      <c r="N13" s="60">
        <f>IFERROR(H13/H$26,0)</f>
        <v>0.35276458072225947</v>
      </c>
      <c r="O13" s="51"/>
    </row>
    <row r="14" spans="1:26" s="32" customFormat="1" ht="33.6" customHeight="1" thickTop="1">
      <c r="B14" s="169" t="s">
        <v>103</v>
      </c>
      <c r="C14" s="170"/>
      <c r="D14" s="170"/>
      <c r="E14" s="119"/>
      <c r="F14" s="119"/>
      <c r="G14" s="119"/>
      <c r="H14" s="119"/>
      <c r="I14" s="65"/>
      <c r="K14" s="129"/>
      <c r="L14" s="60"/>
      <c r="M14" s="60"/>
      <c r="N14" s="60"/>
      <c r="O14" s="51"/>
    </row>
    <row r="15" spans="1:26" s="32" customFormat="1" ht="35.4" customHeight="1">
      <c r="B15" s="169" t="s">
        <v>104</v>
      </c>
      <c r="C15" s="170"/>
      <c r="D15" s="170"/>
      <c r="E15" s="114">
        <f>'Raw Data_TESLA'!C21</f>
        <v>15037</v>
      </c>
      <c r="F15" s="114">
        <f>'Raw Data_TESLA'!D21</f>
        <v>20492</v>
      </c>
      <c r="G15" s="114">
        <f>'Raw Data_TESLA'!E21</f>
        <v>19691</v>
      </c>
      <c r="H15" s="114">
        <f>'Raw Data_TESLA'!F21</f>
        <v>20199</v>
      </c>
      <c r="I15" s="68">
        <f>'Raw Data_TESLA'!G21</f>
        <v>23375</v>
      </c>
      <c r="K15" s="129">
        <f t="shared" ref="K15:N19" si="2">IFERROR(E15/E$26,0)</f>
        <v>0.6634751147193787</v>
      </c>
      <c r="L15" s="60">
        <f t="shared" si="2"/>
        <v>0.71515320723110209</v>
      </c>
      <c r="M15" s="60">
        <f t="shared" si="2"/>
        <v>0.66210490921318088</v>
      </c>
      <c r="N15" s="60">
        <f t="shared" si="2"/>
        <v>0.58873764901337844</v>
      </c>
      <c r="O15" s="51"/>
    </row>
    <row r="16" spans="1:26" s="32" customFormat="1" ht="39" customHeight="1">
      <c r="B16" s="169" t="s">
        <v>11</v>
      </c>
      <c r="C16" s="170"/>
      <c r="D16" s="170"/>
      <c r="E16" s="114">
        <f>'Raw Data_TESLA'!C22</f>
        <v>268</v>
      </c>
      <c r="F16" s="114">
        <f>'Raw Data_TESLA'!D22</f>
        <v>442</v>
      </c>
      <c r="G16" s="114">
        <f>'Raw Data_TESLA'!E22</f>
        <v>398</v>
      </c>
      <c r="H16" s="114">
        <f>'Raw Data_TESLA'!F22</f>
        <v>270</v>
      </c>
      <c r="I16" s="68">
        <f>'Raw Data_TESLA'!G22</f>
        <v>279</v>
      </c>
      <c r="K16" s="129">
        <f t="shared" si="2"/>
        <v>1.1824920578891633E-2</v>
      </c>
      <c r="L16" s="60">
        <f t="shared" si="2"/>
        <v>1.5425420534654847E-2</v>
      </c>
      <c r="M16" s="60">
        <f t="shared" si="2"/>
        <v>1.3382649630127775E-2</v>
      </c>
      <c r="N16" s="60">
        <f t="shared" si="2"/>
        <v>7.8696551925150834E-3</v>
      </c>
      <c r="O16" s="51"/>
    </row>
    <row r="17" spans="2:15" s="32" customFormat="1" ht="42.6" customHeight="1">
      <c r="B17" s="169" t="s">
        <v>12</v>
      </c>
      <c r="C17" s="170"/>
      <c r="D17" s="170"/>
      <c r="E17" s="114">
        <f>'Raw Data_TESLA'!C23</f>
        <v>506</v>
      </c>
      <c r="F17" s="114">
        <f>'Raw Data_TESLA'!D23</f>
        <v>457</v>
      </c>
      <c r="G17" s="114">
        <f>'Raw Data_TESLA'!E23</f>
        <v>422</v>
      </c>
      <c r="H17" s="114">
        <f>'Raw Data_TESLA'!F23</f>
        <v>402</v>
      </c>
      <c r="I17" s="68">
        <f>'Raw Data_TESLA'!G23</f>
        <v>334</v>
      </c>
      <c r="K17" s="129">
        <f t="shared" si="2"/>
        <v>2.2326156018355102E-2</v>
      </c>
      <c r="L17" s="60">
        <f t="shared" si="2"/>
        <v>1.5948907656871642E-2</v>
      </c>
      <c r="M17" s="60">
        <f t="shared" si="2"/>
        <v>1.4189643577673168E-2</v>
      </c>
      <c r="N17" s="60">
        <f t="shared" si="2"/>
        <v>1.1717042175522458E-2</v>
      </c>
      <c r="O17" s="51"/>
    </row>
    <row r="18" spans="2:15" s="32" customFormat="1" ht="36.6" customHeight="1">
      <c r="B18" s="169" t="s">
        <v>13</v>
      </c>
      <c r="C18" s="170"/>
      <c r="D18" s="170"/>
      <c r="E18" s="114">
        <f>'Raw Data_TESLA'!C24</f>
        <v>376</v>
      </c>
      <c r="F18" s="114">
        <f>'Raw Data_TESLA'!D24</f>
        <v>422</v>
      </c>
      <c r="G18" s="114">
        <f>'Raw Data_TESLA'!E24</f>
        <v>351</v>
      </c>
      <c r="H18" s="114">
        <f>'Raw Data_TESLA'!F24</f>
        <v>537</v>
      </c>
      <c r="I18" s="68">
        <f>'Raw Data_TESLA'!G24</f>
        <v>520</v>
      </c>
      <c r="K18" s="129">
        <f t="shared" si="2"/>
        <v>1.6590187080833037E-2</v>
      </c>
      <c r="L18" s="60">
        <f t="shared" si="2"/>
        <v>1.4727437705032456E-2</v>
      </c>
      <c r="M18" s="60">
        <f t="shared" si="2"/>
        <v>1.1802286482851379E-2</v>
      </c>
      <c r="N18" s="60">
        <f t="shared" si="2"/>
        <v>1.565186977178E-2</v>
      </c>
      <c r="O18" s="51"/>
    </row>
    <row r="19" spans="2:15" s="32" customFormat="1" ht="45" customHeight="1">
      <c r="B19" s="169" t="s">
        <v>14</v>
      </c>
      <c r="C19" s="170"/>
      <c r="D19" s="170"/>
      <c r="E19" s="114">
        <f>'Raw Data_TESLA'!C25</f>
        <v>218</v>
      </c>
      <c r="F19" s="114">
        <f>'Raw Data_TESLA'!D25</f>
        <v>271</v>
      </c>
      <c r="G19" s="114">
        <f>'Raw Data_TESLA'!E25</f>
        <v>572</v>
      </c>
      <c r="H19" s="114">
        <f>'Raw Data_TESLA'!F25</f>
        <v>798</v>
      </c>
      <c r="I19" s="68">
        <f>'Raw Data_TESLA'!G25</f>
        <v>923</v>
      </c>
      <c r="K19" s="129">
        <f t="shared" si="2"/>
        <v>9.6187786798446872E-3</v>
      </c>
      <c r="L19" s="60">
        <f t="shared" si="2"/>
        <v>9.4576673413834019E-3</v>
      </c>
      <c r="M19" s="60">
        <f t="shared" si="2"/>
        <v>1.9233355749831878E-2</v>
      </c>
      <c r="N19" s="60">
        <f t="shared" si="2"/>
        <v>2.3259203124544579E-2</v>
      </c>
      <c r="O19" s="51"/>
    </row>
    <row r="20" spans="2:15" s="32" customFormat="1" ht="32.4">
      <c r="B20" s="58"/>
      <c r="C20" s="120"/>
      <c r="D20" s="120"/>
      <c r="E20" s="121"/>
      <c r="F20" s="121"/>
      <c r="G20" s="121"/>
      <c r="H20" s="121"/>
      <c r="I20" s="69"/>
      <c r="K20" s="129"/>
      <c r="L20" s="60"/>
      <c r="M20" s="60"/>
      <c r="N20" s="60"/>
      <c r="O20" s="51"/>
    </row>
    <row r="21" spans="2:15" s="32" customFormat="1" ht="31.8" customHeight="1" thickBot="1">
      <c r="B21" s="171" t="s">
        <v>105</v>
      </c>
      <c r="C21" s="172"/>
      <c r="D21" s="172"/>
      <c r="E21" s="70">
        <f>SUM(E15:E19)</f>
        <v>16405</v>
      </c>
      <c r="F21" s="70">
        <f t="shared" ref="F21:I21" si="3">SUM(F15:F19)</f>
        <v>22084</v>
      </c>
      <c r="G21" s="70">
        <f t="shared" si="3"/>
        <v>21434</v>
      </c>
      <c r="H21" s="70">
        <f t="shared" si="3"/>
        <v>22206</v>
      </c>
      <c r="I21" s="71">
        <f t="shared" si="3"/>
        <v>25431</v>
      </c>
      <c r="K21" s="129">
        <f t="shared" ref="K21:N24" si="4">IFERROR(E21/E$26,0)</f>
        <v>0.72383515707730317</v>
      </c>
      <c r="L21" s="60">
        <f t="shared" si="4"/>
        <v>0.77071264046904442</v>
      </c>
      <c r="M21" s="60">
        <f t="shared" si="4"/>
        <v>0.72071284465366514</v>
      </c>
      <c r="N21" s="60">
        <f t="shared" si="4"/>
        <v>0.64723541927774053</v>
      </c>
      <c r="O21" s="51"/>
    </row>
    <row r="22" spans="2:15" s="32" customFormat="1" ht="31.8" customHeight="1" thickTop="1">
      <c r="B22" s="169" t="s">
        <v>30</v>
      </c>
      <c r="C22" s="170"/>
      <c r="D22" s="170"/>
      <c r="E22" s="114">
        <f>'Raw Data_TESLA'!C49</f>
        <v>5905</v>
      </c>
      <c r="F22" s="114">
        <f>'Raw Data_TESLA'!D49</f>
        <v>5632</v>
      </c>
      <c r="G22" s="114">
        <f>'Raw Data_TESLA'!E49</f>
        <v>6314</v>
      </c>
      <c r="H22" s="114">
        <f>'Raw Data_TESLA'!F49</f>
        <v>8110</v>
      </c>
      <c r="I22" s="68">
        <f>'Raw Data_TESLA'!G49</f>
        <v>23679</v>
      </c>
      <c r="K22" s="129">
        <f t="shared" si="4"/>
        <v>0.26054535827744441</v>
      </c>
      <c r="L22" s="60">
        <f t="shared" si="4"/>
        <v>0.1965519648216654</v>
      </c>
      <c r="M22" s="60">
        <f t="shared" si="4"/>
        <v>0.21230665770006724</v>
      </c>
      <c r="N22" s="60">
        <f t="shared" si="4"/>
        <v>0.2363811244862864</v>
      </c>
      <c r="O22" s="51"/>
    </row>
    <row r="23" spans="2:15" s="32" customFormat="1" ht="31.8" customHeight="1">
      <c r="B23" s="169" t="s">
        <v>22</v>
      </c>
      <c r="C23" s="170"/>
      <c r="D23" s="170"/>
      <c r="E23" s="114">
        <f>'Raw Data_TESLA'!C45</f>
        <v>10932</v>
      </c>
      <c r="F23" s="114">
        <f>'Raw Data_TESLA'!D45</f>
        <v>15348</v>
      </c>
      <c r="G23" s="114">
        <f>'Raw Data_TESLA'!E45</f>
        <v>13434</v>
      </c>
      <c r="H23" s="114">
        <f>'Raw Data_TESLA'!F45</f>
        <v>15532</v>
      </c>
      <c r="I23" s="68">
        <f>'Raw Data_TESLA'!G45</f>
        <v>14221</v>
      </c>
      <c r="K23" s="129">
        <f t="shared" si="4"/>
        <v>0.4823508648076244</v>
      </c>
      <c r="L23" s="60">
        <f t="shared" si="4"/>
        <v>0.53563202345222305</v>
      </c>
      <c r="M23" s="60">
        <f t="shared" si="4"/>
        <v>0.45171486213853396</v>
      </c>
      <c r="N23" s="60">
        <f t="shared" si="4"/>
        <v>0.45270920166720102</v>
      </c>
      <c r="O23" s="51"/>
    </row>
    <row r="24" spans="2:15" s="32" customFormat="1" ht="31.8" customHeight="1">
      <c r="B24" s="169" t="s">
        <v>118</v>
      </c>
      <c r="C24" s="170"/>
      <c r="D24" s="170"/>
      <c r="E24" s="114">
        <f>E26-E23-E18</f>
        <v>11356</v>
      </c>
      <c r="F24" s="114">
        <f t="shared" ref="F24:I24" si="5">F26-F23-F18</f>
        <v>12884</v>
      </c>
      <c r="G24" s="114">
        <f t="shared" si="5"/>
        <v>15955</v>
      </c>
      <c r="H24" s="114">
        <f t="shared" si="5"/>
        <v>18240</v>
      </c>
      <c r="I24" s="68">
        <f t="shared" si="5"/>
        <v>37407</v>
      </c>
      <c r="K24" s="129">
        <f t="shared" si="4"/>
        <v>0.5010589481115425</v>
      </c>
      <c r="L24" s="60">
        <f t="shared" si="4"/>
        <v>0.44964053884274446</v>
      </c>
      <c r="M24" s="60">
        <f t="shared" si="4"/>
        <v>0.53648285137861462</v>
      </c>
      <c r="N24" s="60">
        <f t="shared" si="4"/>
        <v>0.53163892856101902</v>
      </c>
      <c r="O24" s="51"/>
    </row>
    <row r="25" spans="2:15" s="32" customFormat="1" ht="32.4">
      <c r="B25" s="58"/>
      <c r="C25" s="120"/>
      <c r="D25" s="120"/>
      <c r="E25" s="122"/>
      <c r="F25" s="122"/>
      <c r="G25" s="122"/>
      <c r="H25" s="122"/>
      <c r="I25" s="72"/>
      <c r="K25" s="129"/>
      <c r="L25" s="60"/>
      <c r="M25" s="60"/>
      <c r="N25" s="60"/>
      <c r="O25" s="51"/>
    </row>
    <row r="26" spans="2:15" s="32" customFormat="1" ht="35.4" customHeight="1" thickBot="1">
      <c r="B26" s="166" t="s">
        <v>16</v>
      </c>
      <c r="C26" s="167"/>
      <c r="D26" s="167"/>
      <c r="E26" s="73">
        <f>SUM(E13,E21)</f>
        <v>22664</v>
      </c>
      <c r="F26" s="73">
        <f>SUM(F13,F21)</f>
        <v>28654</v>
      </c>
      <c r="G26" s="73">
        <f t="shared" ref="G26:I26" si="6">SUM(G13,G21)</f>
        <v>29740</v>
      </c>
      <c r="H26" s="73">
        <f t="shared" si="6"/>
        <v>34309</v>
      </c>
      <c r="I26" s="74">
        <f t="shared" si="6"/>
        <v>52148</v>
      </c>
      <c r="K26" s="130">
        <f>IFERROR(E26/E$26,0)</f>
        <v>1</v>
      </c>
      <c r="L26" s="131">
        <f>IFERROR(F26/F$26,0)</f>
        <v>1</v>
      </c>
      <c r="M26" s="131">
        <f>IFERROR(G26/G$26,0)</f>
        <v>1</v>
      </c>
      <c r="N26" s="131">
        <f>IFERROR(H26/H$26,0)</f>
        <v>1</v>
      </c>
      <c r="O26" s="53"/>
    </row>
    <row r="27" spans="2:15" ht="35.4" customHeight="1">
      <c r="B27" s="168"/>
      <c r="C27" s="168"/>
      <c r="D27" s="168"/>
      <c r="E27" s="55"/>
      <c r="F27" s="55"/>
      <c r="G27" s="55"/>
      <c r="H27" s="55"/>
      <c r="I27" s="55"/>
    </row>
    <row r="30" spans="2:15" ht="17.399999999999999">
      <c r="H30" s="34"/>
    </row>
  </sheetData>
  <mergeCells count="24">
    <mergeCell ref="B7:D7"/>
    <mergeCell ref="B2:I2"/>
    <mergeCell ref="B3:I4"/>
    <mergeCell ref="K3:O4"/>
    <mergeCell ref="B5:D5"/>
    <mergeCell ref="B6:D6"/>
    <mergeCell ref="B8:D8"/>
    <mergeCell ref="B9:D9"/>
    <mergeCell ref="B10:D10"/>
    <mergeCell ref="B12:D12"/>
    <mergeCell ref="B13:D13"/>
    <mergeCell ref="B26:D26"/>
    <mergeCell ref="B27:D27"/>
    <mergeCell ref="B11:D11"/>
    <mergeCell ref="B16:D16"/>
    <mergeCell ref="B15:D15"/>
    <mergeCell ref="B17:D17"/>
    <mergeCell ref="B18:D18"/>
    <mergeCell ref="B19:D19"/>
    <mergeCell ref="B21:D21"/>
    <mergeCell ref="B14:D14"/>
    <mergeCell ref="B23:D23"/>
    <mergeCell ref="B22:D22"/>
    <mergeCell ref="B24:D24"/>
  </mergeCells>
  <conditionalFormatting sqref="E6:I26">
    <cfRule type="cellIs" dxfId="5" priority="5" operator="notEqual">
      <formula>0</formula>
    </cfRule>
  </conditionalFormatting>
  <conditionalFormatting sqref="K8:N26">
    <cfRule type="cellIs" dxfId="4" priority="1" operator="lessThan">
      <formula>0</formula>
    </cfRule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greater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3" displayEmptyCellsAs="gap" markers="1" high="1" low="1" first="1" last="1" negative="1" xr2:uid="{8C11C164-6D8E-470B-9270-12D2966E1EEE}">
          <x14:colorSeries theme="0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'Virtical Analysis '!K8:N8</xm:f>
              <xm:sqref>O8</xm:sqref>
            </x14:sparkline>
            <x14:sparkline>
              <xm:f>'Virtical Analysis '!K9:N9</xm:f>
              <xm:sqref>O9</xm:sqref>
            </x14:sparkline>
            <x14:sparkline>
              <xm:f>'Virtical Analysis '!K10:N10</xm:f>
              <xm:sqref>O10</xm:sqref>
            </x14:sparkline>
            <x14:sparkline>
              <xm:f>'Virtical Analysis '!K11:N11</xm:f>
              <xm:sqref>O11</xm:sqref>
            </x14:sparkline>
            <x14:sparkline>
              <xm:f>'Virtical Analysis '!K12:N12</xm:f>
              <xm:sqref>O12</xm:sqref>
            </x14:sparkline>
            <x14:sparkline>
              <xm:f>'Virtical Analysis '!K13:N13</xm:f>
              <xm:sqref>O13</xm:sqref>
            </x14:sparkline>
            <x14:sparkline>
              <xm:f>'Virtical Analysis '!K14:N14</xm:f>
              <xm:sqref>O14</xm:sqref>
            </x14:sparkline>
            <x14:sparkline>
              <xm:f>'Virtical Analysis '!K15:N15</xm:f>
              <xm:sqref>O15</xm:sqref>
            </x14:sparkline>
            <x14:sparkline>
              <xm:f>'Virtical Analysis '!K16:N16</xm:f>
              <xm:sqref>O16</xm:sqref>
            </x14:sparkline>
            <x14:sparkline>
              <xm:f>'Virtical Analysis '!K17:N17</xm:f>
              <xm:sqref>O17</xm:sqref>
            </x14:sparkline>
            <x14:sparkline>
              <xm:f>'Virtical Analysis '!K18:N18</xm:f>
              <xm:sqref>O18</xm:sqref>
            </x14:sparkline>
            <x14:sparkline>
              <xm:f>'Virtical Analysis '!K19:N19</xm:f>
              <xm:sqref>O19</xm:sqref>
            </x14:sparkline>
            <x14:sparkline>
              <xm:f>'Virtical Analysis '!K20:N20</xm:f>
              <xm:sqref>O20</xm:sqref>
            </x14:sparkline>
            <x14:sparkline>
              <xm:f>'Virtical Analysis '!K21:N21</xm:f>
              <xm:sqref>O21</xm:sqref>
            </x14:sparkline>
            <x14:sparkline>
              <xm:f>'Virtical Analysis '!K22:N22</xm:f>
              <xm:sqref>O22</xm:sqref>
            </x14:sparkline>
            <x14:sparkline>
              <xm:f>'Virtical Analysis '!K23:N23</xm:f>
              <xm:sqref>O23</xm:sqref>
            </x14:sparkline>
            <x14:sparkline>
              <xm:f>'Virtical Analysis '!K25:N25</xm:f>
              <xm:sqref>O25</xm:sqref>
            </x14:sparkline>
            <x14:sparkline>
              <xm:f>'Virtical Analysis '!K26:N26</xm:f>
              <xm:sqref>O26</xm:sqref>
            </x14:sparkline>
          </x14:sparklines>
        </x14:sparklineGroup>
        <x14:sparklineGroup lineWeight="3" displayEmptyCellsAs="gap" markers="1" high="1" low="1" first="1" last="1" negative="1" xr2:uid="{B2338D2F-CDF1-485C-9981-E384C5BDB953}">
          <x14:colorSeries theme="0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'Virtical Analysis '!K24:N24</xm:f>
              <xm:sqref>O24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14A0-863E-449A-A266-3DF5CB78EFFE}">
  <sheetPr>
    <tabColor rgb="FF002060"/>
  </sheetPr>
  <dimension ref="A1:N25"/>
  <sheetViews>
    <sheetView showGridLines="0" zoomScale="53" workbookViewId="0">
      <selection activeCell="B2" sqref="B2:I2"/>
    </sheetView>
  </sheetViews>
  <sheetFormatPr defaultRowHeight="15"/>
  <cols>
    <col min="1" max="1" width="4.453125" customWidth="1"/>
    <col min="2" max="2" width="20.90625" customWidth="1"/>
    <col min="4" max="4" width="41.1796875" customWidth="1"/>
    <col min="5" max="5" width="22.08984375" customWidth="1"/>
    <col min="6" max="6" width="16.81640625" customWidth="1"/>
    <col min="7" max="7" width="19.7265625" customWidth="1"/>
    <col min="8" max="8" width="18.54296875" customWidth="1"/>
    <col min="9" max="9" width="20.36328125" customWidth="1"/>
    <col min="11" max="11" width="22.453125" customWidth="1"/>
    <col min="12" max="12" width="19.7265625" customWidth="1"/>
    <col min="13" max="13" width="18.26953125" customWidth="1"/>
    <col min="14" max="14" width="17.81640625" customWidth="1"/>
  </cols>
  <sheetData>
    <row r="1" spans="1:14" ht="15.6" thickBot="1"/>
    <row r="2" spans="1:14" ht="54.6" customHeight="1">
      <c r="B2" s="155" t="str">
        <f>'Raw Data_TESLA'!B2</f>
        <v>Tesla</v>
      </c>
      <c r="C2" s="156"/>
      <c r="D2" s="156"/>
      <c r="E2" s="156"/>
      <c r="F2" s="156"/>
      <c r="G2" s="156"/>
      <c r="H2" s="156"/>
      <c r="I2" s="157"/>
      <c r="J2" s="42"/>
    </row>
    <row r="3" spans="1:14" ht="18" customHeight="1">
      <c r="A3" s="33"/>
      <c r="B3" s="160" t="s">
        <v>32</v>
      </c>
      <c r="C3" s="161"/>
      <c r="D3" s="161"/>
      <c r="E3" s="161"/>
      <c r="F3" s="161"/>
      <c r="G3" s="161"/>
      <c r="H3" s="161"/>
      <c r="I3" s="162"/>
      <c r="J3" s="43"/>
    </row>
    <row r="4" spans="1:14" ht="24" customHeight="1" thickBot="1">
      <c r="B4" s="163"/>
      <c r="C4" s="164"/>
      <c r="D4" s="164"/>
      <c r="E4" s="164"/>
      <c r="F4" s="164"/>
      <c r="G4" s="164"/>
      <c r="H4" s="164"/>
      <c r="I4" s="165"/>
      <c r="J4" s="43"/>
    </row>
    <row r="5" spans="1:14" ht="25.2" thickBot="1">
      <c r="B5" s="158" t="s">
        <v>32</v>
      </c>
      <c r="C5" s="159"/>
      <c r="D5" s="159"/>
      <c r="E5" s="44">
        <f>'Raw Data_TESLA'!C4</f>
        <v>43101</v>
      </c>
      <c r="F5" s="44">
        <f>'Raw Data_TESLA'!D4</f>
        <v>43466</v>
      </c>
      <c r="G5" s="44">
        <f>'Raw Data_TESLA'!E4</f>
        <v>43831</v>
      </c>
      <c r="H5" s="44">
        <f>'Raw Data_TESLA'!F4</f>
        <v>44197</v>
      </c>
      <c r="I5" s="45">
        <f>'Raw Data_TESLA'!G4</f>
        <v>44562</v>
      </c>
      <c r="K5" s="106" t="s">
        <v>106</v>
      </c>
      <c r="L5" s="107" t="s">
        <v>107</v>
      </c>
      <c r="M5" s="108" t="s">
        <v>108</v>
      </c>
      <c r="N5" s="109" t="s">
        <v>109</v>
      </c>
    </row>
    <row r="6" spans="1:14" ht="27.6">
      <c r="B6" s="146" t="s">
        <v>87</v>
      </c>
      <c r="C6" s="147"/>
      <c r="D6" s="147"/>
      <c r="E6" s="75"/>
      <c r="F6" s="75"/>
      <c r="G6" s="75"/>
      <c r="H6" s="75"/>
      <c r="I6" s="76"/>
      <c r="K6" s="103"/>
      <c r="L6" s="104"/>
      <c r="M6" s="105"/>
      <c r="N6" s="49"/>
    </row>
    <row r="7" spans="1:14" ht="19.8" customHeight="1">
      <c r="B7" s="146" t="s">
        <v>88</v>
      </c>
      <c r="C7" s="147"/>
      <c r="D7" s="147"/>
      <c r="E7" s="75"/>
      <c r="F7" s="75"/>
      <c r="G7" s="75"/>
      <c r="H7" s="75"/>
      <c r="I7" s="76"/>
      <c r="K7" s="103"/>
      <c r="L7" s="104"/>
      <c r="M7" s="105"/>
      <c r="N7" s="49"/>
    </row>
    <row r="8" spans="1:14" ht="20.399999999999999" customHeight="1">
      <c r="B8" s="146" t="s">
        <v>89</v>
      </c>
      <c r="C8" s="147"/>
      <c r="D8" s="147"/>
      <c r="E8" s="77">
        <f>'Raw Data_TESLA'!C57</f>
        <v>7000</v>
      </c>
      <c r="F8" s="77">
        <f>'Raw Data_TESLA'!D57</f>
        <v>11759</v>
      </c>
      <c r="G8" s="77">
        <f>'Raw Data_TESLA'!E57</f>
        <v>21461</v>
      </c>
      <c r="H8" s="77">
        <f>'Raw Data_TESLA'!F57</f>
        <v>24578</v>
      </c>
      <c r="I8" s="78">
        <f>'Raw Data_TESLA'!G57</f>
        <v>31536</v>
      </c>
      <c r="K8" s="110">
        <f>IFERROR((F8-E8)/E8,0)</f>
        <v>0.67985714285714283</v>
      </c>
      <c r="L8" s="110">
        <f>IFERROR((G8-F8)/F8,0)</f>
        <v>0.8250701590271281</v>
      </c>
      <c r="M8" s="110">
        <f>IFERROR((H8-G8)/G8,0)</f>
        <v>0.14524020315921904</v>
      </c>
      <c r="N8" s="111">
        <f>IFERROR((I8-H8)/H8,0)</f>
        <v>0.28309870615998045</v>
      </c>
    </row>
    <row r="9" spans="1:14" ht="27.6">
      <c r="B9" s="146" t="s">
        <v>53</v>
      </c>
      <c r="C9" s="147"/>
      <c r="D9" s="147"/>
      <c r="E9" s="77">
        <f>-'Raw Data_TESLA'!C58</f>
        <v>4499</v>
      </c>
      <c r="F9" s="77">
        <f>-'Raw Data_TESLA'!D58</f>
        <v>7906</v>
      </c>
      <c r="G9" s="77">
        <f>-'Raw Data_TESLA'!E58</f>
        <v>15518</v>
      </c>
      <c r="H9" s="77">
        <f>-'Raw Data_TESLA'!F58</f>
        <v>18355</v>
      </c>
      <c r="I9" s="78">
        <f>-'Raw Data_TESLA'!G58</f>
        <v>22584</v>
      </c>
      <c r="K9" s="110">
        <f t="shared" ref="K9:K24" si="0">IFERROR((F9-E9)/E9,0)</f>
        <v>0.7572793954212047</v>
      </c>
      <c r="L9" s="110">
        <f t="shared" ref="L9:L24" si="1">IFERROR((G9-F9)/F9,0)</f>
        <v>0.96281305337718193</v>
      </c>
      <c r="M9" s="110">
        <f t="shared" ref="M9:M24" si="2">IFERROR((H9-G9)/G9,0)</f>
        <v>0.18281995102461657</v>
      </c>
      <c r="N9" s="111">
        <f t="shared" ref="N9:N24" si="3">IFERROR((I9-H9)/H9,0)</f>
        <v>0.23040043584854264</v>
      </c>
    </row>
    <row r="10" spans="1:14" ht="28.2" thickBot="1">
      <c r="B10" s="148" t="s">
        <v>52</v>
      </c>
      <c r="C10" s="149"/>
      <c r="D10" s="149"/>
      <c r="E10" s="79">
        <f>E8-E9</f>
        <v>2501</v>
      </c>
      <c r="F10" s="79">
        <f>F8-F9</f>
        <v>3853</v>
      </c>
      <c r="G10" s="79">
        <f>G8-G9</f>
        <v>5943</v>
      </c>
      <c r="H10" s="79">
        <f>H8-H9</f>
        <v>6223</v>
      </c>
      <c r="I10" s="80">
        <f>I8-I9</f>
        <v>8952</v>
      </c>
      <c r="K10" s="110">
        <f t="shared" si="0"/>
        <v>0.54058376649340267</v>
      </c>
      <c r="L10" s="110">
        <f t="shared" si="1"/>
        <v>0.54243446664936412</v>
      </c>
      <c r="M10" s="110">
        <f t="shared" si="2"/>
        <v>4.7114252061248529E-2</v>
      </c>
      <c r="N10" s="111">
        <f t="shared" si="3"/>
        <v>0.43853446890567249</v>
      </c>
    </row>
    <row r="11" spans="1:14" ht="28.2" thickTop="1">
      <c r="B11" s="47"/>
      <c r="C11" s="46"/>
      <c r="D11" s="46"/>
      <c r="E11" s="81"/>
      <c r="F11" s="81"/>
      <c r="G11" s="81"/>
      <c r="H11" s="81"/>
      <c r="I11" s="82"/>
      <c r="K11" s="110">
        <f t="shared" si="0"/>
        <v>0</v>
      </c>
      <c r="L11" s="110">
        <f t="shared" si="1"/>
        <v>0</v>
      </c>
      <c r="M11" s="110">
        <f t="shared" si="2"/>
        <v>0</v>
      </c>
      <c r="N11" s="111">
        <f t="shared" si="3"/>
        <v>0</v>
      </c>
    </row>
    <row r="12" spans="1:14" ht="27.6">
      <c r="B12" s="146" t="s">
        <v>51</v>
      </c>
      <c r="C12" s="147"/>
      <c r="D12" s="147"/>
      <c r="E12" s="83">
        <f>-'Raw Data_TESLA'!C62</f>
        <v>2245</v>
      </c>
      <c r="F12" s="83">
        <f>-'Raw Data_TESLA'!D62</f>
        <v>3855</v>
      </c>
      <c r="G12" s="83">
        <f>-'Raw Data_TESLA'!E62</f>
        <v>4295</v>
      </c>
      <c r="H12" s="83">
        <f>-'Raw Data_TESLA'!F62</f>
        <v>3989</v>
      </c>
      <c r="I12" s="84">
        <f>-'Raw Data_TESLA'!G62</f>
        <v>4636</v>
      </c>
      <c r="K12" s="110">
        <f t="shared" si="0"/>
        <v>0.71714922048997776</v>
      </c>
      <c r="L12" s="110">
        <f t="shared" si="1"/>
        <v>0.11413748378728923</v>
      </c>
      <c r="M12" s="110">
        <f t="shared" si="2"/>
        <v>-7.124563445867288E-2</v>
      </c>
      <c r="N12" s="111">
        <f t="shared" si="3"/>
        <v>0.16219603910754576</v>
      </c>
    </row>
    <row r="13" spans="1:14" ht="27.6">
      <c r="B13" s="146" t="s">
        <v>50</v>
      </c>
      <c r="C13" s="147"/>
      <c r="D13" s="147"/>
      <c r="E13" s="85">
        <v>0</v>
      </c>
      <c r="F13" s="85">
        <v>0</v>
      </c>
      <c r="G13" s="85">
        <v>0</v>
      </c>
      <c r="H13" s="85">
        <v>0</v>
      </c>
      <c r="I13" s="86">
        <v>0</v>
      </c>
      <c r="K13" s="110">
        <f t="shared" si="0"/>
        <v>0</v>
      </c>
      <c r="L13" s="110">
        <f t="shared" si="1"/>
        <v>0</v>
      </c>
      <c r="M13" s="110">
        <f t="shared" si="2"/>
        <v>0</v>
      </c>
      <c r="N13" s="111">
        <f t="shared" si="3"/>
        <v>0</v>
      </c>
    </row>
    <row r="14" spans="1:14" ht="27.6">
      <c r="B14" s="146" t="s">
        <v>49</v>
      </c>
      <c r="C14" s="147"/>
      <c r="D14" s="147"/>
      <c r="E14" s="83">
        <f>-'Raw Data_TESLA'!C63</f>
        <v>947</v>
      </c>
      <c r="F14" s="83">
        <f>-'Raw Data_TESLA'!D63</f>
        <v>1636</v>
      </c>
      <c r="G14" s="83">
        <f>-'Raw Data_TESLA'!E63</f>
        <v>1901</v>
      </c>
      <c r="H14" s="83">
        <f>-'Raw Data_TESLA'!F63</f>
        <v>2154</v>
      </c>
      <c r="I14" s="87">
        <f>-'Raw Data_TESLA'!G63</f>
        <v>2322</v>
      </c>
      <c r="K14" s="110">
        <f t="shared" si="0"/>
        <v>0.72756071805702216</v>
      </c>
      <c r="L14" s="110">
        <f t="shared" si="1"/>
        <v>0.16198044009779952</v>
      </c>
      <c r="M14" s="110">
        <f t="shared" si="2"/>
        <v>0.13308784850078906</v>
      </c>
      <c r="N14" s="111">
        <f t="shared" si="3"/>
        <v>7.7994428969359333E-2</v>
      </c>
    </row>
    <row r="15" spans="1:14" ht="28.2" thickBot="1">
      <c r="B15" s="148" t="s">
        <v>48</v>
      </c>
      <c r="C15" s="149"/>
      <c r="D15" s="149"/>
      <c r="E15" s="88">
        <f>E10-SUM(E12:E14)</f>
        <v>-691</v>
      </c>
      <c r="F15" s="88">
        <f>F10-SUM(F12:F14)</f>
        <v>-1638</v>
      </c>
      <c r="G15" s="88">
        <f>G10-SUM(G12:G14)</f>
        <v>-253</v>
      </c>
      <c r="H15" s="88">
        <f>H10-SUM(H12:H14)</f>
        <v>80</v>
      </c>
      <c r="I15" s="89">
        <f>I10-SUM(I12:I14)</f>
        <v>1994</v>
      </c>
      <c r="K15" s="110">
        <f t="shared" si="0"/>
        <v>1.3704775687409552</v>
      </c>
      <c r="L15" s="110">
        <f t="shared" si="1"/>
        <v>-0.84554334554334554</v>
      </c>
      <c r="M15" s="110">
        <f t="shared" si="2"/>
        <v>-1.3162055335968379</v>
      </c>
      <c r="N15" s="111">
        <f t="shared" si="3"/>
        <v>23.925000000000001</v>
      </c>
    </row>
    <row r="16" spans="1:14" ht="28.2" thickTop="1">
      <c r="B16" s="47"/>
      <c r="C16" s="46"/>
      <c r="D16" s="46"/>
      <c r="E16" s="90"/>
      <c r="F16" s="90"/>
      <c r="G16" s="90"/>
      <c r="H16" s="90"/>
      <c r="I16" s="91"/>
      <c r="K16" s="110">
        <f t="shared" si="0"/>
        <v>0</v>
      </c>
      <c r="L16" s="110">
        <f t="shared" si="1"/>
        <v>0</v>
      </c>
      <c r="M16" s="110">
        <f t="shared" si="2"/>
        <v>0</v>
      </c>
      <c r="N16" s="111">
        <f t="shared" si="3"/>
        <v>0</v>
      </c>
    </row>
    <row r="17" spans="2:14" ht="27.6">
      <c r="B17" s="153" t="s">
        <v>47</v>
      </c>
      <c r="C17" s="154"/>
      <c r="D17" s="154"/>
      <c r="E17" s="83">
        <f>'Raw Data_TESLA'!C67</f>
        <v>144</v>
      </c>
      <c r="F17" s="83">
        <f>'Raw Data_TESLA'!D67</f>
        <v>-100</v>
      </c>
      <c r="G17" s="83">
        <f>'Raw Data_TESLA'!E67</f>
        <v>-89</v>
      </c>
      <c r="H17" s="83">
        <f>'Raw Data_TESLA'!F67</f>
        <v>-60</v>
      </c>
      <c r="I17" s="84">
        <f>'Raw Data_TESLA'!G67</f>
        <v>-92</v>
      </c>
      <c r="K17" s="110">
        <f t="shared" si="0"/>
        <v>-1.6944444444444444</v>
      </c>
      <c r="L17" s="110">
        <f t="shared" si="1"/>
        <v>-0.11</v>
      </c>
      <c r="M17" s="110">
        <f t="shared" si="2"/>
        <v>-0.3258426966292135</v>
      </c>
      <c r="N17" s="111">
        <f t="shared" si="3"/>
        <v>0.53333333333333333</v>
      </c>
    </row>
    <row r="18" spans="2:14" ht="27.6">
      <c r="B18" s="153" t="s">
        <v>40</v>
      </c>
      <c r="C18" s="154"/>
      <c r="D18" s="154"/>
      <c r="E18" s="92">
        <f>IF(OR(E15&lt;0,E17&lt;0), E15+E17, E15-E17)</f>
        <v>-547</v>
      </c>
      <c r="F18" s="92">
        <f t="shared" ref="F18:I18" si="4">IF(OR(F15&lt;0,F17&lt;0), F15+F17, F15-F17)</f>
        <v>-1738</v>
      </c>
      <c r="G18" s="92">
        <f t="shared" si="4"/>
        <v>-342</v>
      </c>
      <c r="H18" s="92">
        <f t="shared" si="4"/>
        <v>20</v>
      </c>
      <c r="I18" s="93">
        <f t="shared" si="4"/>
        <v>1902</v>
      </c>
      <c r="K18" s="110">
        <f t="shared" si="0"/>
        <v>2.1773308957952469</v>
      </c>
      <c r="L18" s="110">
        <f t="shared" si="1"/>
        <v>-0.80322209436133485</v>
      </c>
      <c r="M18" s="110">
        <f t="shared" si="2"/>
        <v>-1.0584795321637428</v>
      </c>
      <c r="N18" s="111">
        <f t="shared" si="3"/>
        <v>94.1</v>
      </c>
    </row>
    <row r="19" spans="2:14" ht="27.6">
      <c r="B19" s="146" t="s">
        <v>41</v>
      </c>
      <c r="C19" s="147"/>
      <c r="D19" s="147"/>
      <c r="E19" s="94">
        <f>-'Raw Data_TESLA'!C71</f>
        <v>199</v>
      </c>
      <c r="F19" s="94">
        <f>-'Raw Data_TESLA'!D71</f>
        <v>471</v>
      </c>
      <c r="G19" s="94">
        <f>-'Raw Data_TESLA'!E71</f>
        <v>663</v>
      </c>
      <c r="H19" s="94">
        <f>-'Raw Data_TESLA'!F71</f>
        <v>685</v>
      </c>
      <c r="I19" s="95">
        <f>-'Raw Data_TESLA'!G71</f>
        <v>748</v>
      </c>
      <c r="K19" s="110">
        <f t="shared" si="0"/>
        <v>1.3668341708542713</v>
      </c>
      <c r="L19" s="110">
        <f t="shared" si="1"/>
        <v>0.40764331210191085</v>
      </c>
      <c r="M19" s="110">
        <f t="shared" si="2"/>
        <v>3.3182503770739065E-2</v>
      </c>
      <c r="N19" s="111">
        <f t="shared" si="3"/>
        <v>9.1970802919708022E-2</v>
      </c>
    </row>
    <row r="20" spans="2:14" ht="27.6">
      <c r="B20" s="47"/>
      <c r="C20" s="46"/>
      <c r="D20" s="46"/>
      <c r="E20" s="96"/>
      <c r="F20" s="96"/>
      <c r="G20" s="96"/>
      <c r="H20" s="96"/>
      <c r="I20" s="97"/>
      <c r="K20" s="110">
        <f t="shared" si="0"/>
        <v>0</v>
      </c>
      <c r="L20" s="110">
        <f t="shared" si="1"/>
        <v>0</v>
      </c>
      <c r="M20" s="110">
        <f t="shared" si="2"/>
        <v>0</v>
      </c>
      <c r="N20" s="111">
        <f t="shared" si="3"/>
        <v>0</v>
      </c>
    </row>
    <row r="21" spans="2:14" ht="28.2" thickBot="1">
      <c r="B21" s="148" t="s">
        <v>90</v>
      </c>
      <c r="C21" s="149"/>
      <c r="D21" s="149"/>
      <c r="E21" s="98">
        <f>E18-E19</f>
        <v>-746</v>
      </c>
      <c r="F21" s="98">
        <f t="shared" ref="F21:I21" si="5">F18-F19</f>
        <v>-2209</v>
      </c>
      <c r="G21" s="98">
        <f t="shared" si="5"/>
        <v>-1005</v>
      </c>
      <c r="H21" s="98">
        <f t="shared" si="5"/>
        <v>-665</v>
      </c>
      <c r="I21" s="99">
        <f t="shared" si="5"/>
        <v>1154</v>
      </c>
      <c r="K21" s="110">
        <f>IFERROR((F21-E21)/E21,0)</f>
        <v>1.9611260053619304</v>
      </c>
      <c r="L21" s="110">
        <f t="shared" si="1"/>
        <v>-0.54504300588501586</v>
      </c>
      <c r="M21" s="110">
        <f t="shared" si="2"/>
        <v>-0.3383084577114428</v>
      </c>
      <c r="N21" s="111">
        <f t="shared" si="3"/>
        <v>-2.7353383458646618</v>
      </c>
    </row>
    <row r="22" spans="2:14" ht="28.2" thickTop="1">
      <c r="B22" s="146" t="s">
        <v>46</v>
      </c>
      <c r="C22" s="147"/>
      <c r="D22" s="147"/>
      <c r="E22" s="83">
        <f>-'Raw Data_TESLA'!C75</f>
        <v>27</v>
      </c>
      <c r="F22" s="83">
        <f>-'Raw Data_TESLA'!D75</f>
        <v>32</v>
      </c>
      <c r="G22" s="83">
        <f>-'Raw Data_TESLA'!E75</f>
        <v>58</v>
      </c>
      <c r="H22" s="83">
        <f>-'Raw Data_TESLA'!F75</f>
        <v>110</v>
      </c>
      <c r="I22" s="84">
        <f>-'Raw Data_TESLA'!G75</f>
        <v>292</v>
      </c>
      <c r="K22" s="110">
        <f t="shared" si="0"/>
        <v>0.18518518518518517</v>
      </c>
      <c r="L22" s="110">
        <f t="shared" si="1"/>
        <v>0.8125</v>
      </c>
      <c r="M22" s="110">
        <f t="shared" si="2"/>
        <v>0.89655172413793105</v>
      </c>
      <c r="N22" s="111">
        <f t="shared" si="3"/>
        <v>1.6545454545454545</v>
      </c>
    </row>
    <row r="23" spans="2:14" ht="27.6">
      <c r="B23" s="47"/>
      <c r="C23" s="46"/>
      <c r="D23" s="46"/>
      <c r="E23" s="81"/>
      <c r="F23" s="81"/>
      <c r="G23" s="81"/>
      <c r="H23" s="81"/>
      <c r="I23" s="82"/>
      <c r="K23" s="110">
        <f t="shared" si="0"/>
        <v>0</v>
      </c>
      <c r="L23" s="110">
        <f t="shared" si="1"/>
        <v>0</v>
      </c>
      <c r="M23" s="110">
        <f t="shared" si="2"/>
        <v>0</v>
      </c>
      <c r="N23" s="111">
        <f t="shared" si="3"/>
        <v>0</v>
      </c>
    </row>
    <row r="24" spans="2:14" ht="28.2" thickBot="1">
      <c r="B24" s="150" t="s">
        <v>45</v>
      </c>
      <c r="C24" s="151"/>
      <c r="D24" s="151"/>
      <c r="E24" s="100">
        <f>E21-E22</f>
        <v>-773</v>
      </c>
      <c r="F24" s="100">
        <f t="shared" ref="F24:I24" si="6">F21-F22</f>
        <v>-2241</v>
      </c>
      <c r="G24" s="100">
        <f t="shared" si="6"/>
        <v>-1063</v>
      </c>
      <c r="H24" s="100">
        <f t="shared" si="6"/>
        <v>-775</v>
      </c>
      <c r="I24" s="101">
        <f t="shared" si="6"/>
        <v>862</v>
      </c>
      <c r="K24" s="112">
        <f t="shared" si="0"/>
        <v>1.8990944372574385</v>
      </c>
      <c r="L24" s="112">
        <f t="shared" si="1"/>
        <v>-0.52565818830879074</v>
      </c>
      <c r="M24" s="112">
        <f t="shared" si="2"/>
        <v>-0.27093132643461898</v>
      </c>
      <c r="N24" s="113">
        <f t="shared" si="3"/>
        <v>-2.1122580645161291</v>
      </c>
    </row>
    <row r="25" spans="2:14" ht="35.4" customHeight="1">
      <c r="B25" s="187" t="s">
        <v>91</v>
      </c>
      <c r="C25" s="187"/>
      <c r="D25" s="187"/>
      <c r="E25" s="102" t="b">
        <f>E24='Raw Data_TESLA'!C76</f>
        <v>1</v>
      </c>
      <c r="F25" s="102" t="b">
        <f>F24='Raw Data_TESLA'!D76</f>
        <v>1</v>
      </c>
      <c r="G25" s="102" t="b">
        <f>G24='Raw Data_TESLA'!E76</f>
        <v>1</v>
      </c>
      <c r="H25" s="102" t="b">
        <f>H24='Raw Data_TESLA'!F76</f>
        <v>1</v>
      </c>
      <c r="I25" s="102" t="b">
        <f>I24='Raw Data_TESLA'!G76</f>
        <v>1</v>
      </c>
    </row>
  </sheetData>
  <mergeCells count="19">
    <mergeCell ref="B15:D15"/>
    <mergeCell ref="B2:I2"/>
    <mergeCell ref="B3:I4"/>
    <mergeCell ref="B5:D5"/>
    <mergeCell ref="B6:D6"/>
    <mergeCell ref="B7:D7"/>
    <mergeCell ref="B8:D8"/>
    <mergeCell ref="B9:D9"/>
    <mergeCell ref="B10:D10"/>
    <mergeCell ref="B12:D12"/>
    <mergeCell ref="B13:D13"/>
    <mergeCell ref="B14:D14"/>
    <mergeCell ref="B25:D25"/>
    <mergeCell ref="B17:D17"/>
    <mergeCell ref="B18:D18"/>
    <mergeCell ref="B19:D19"/>
    <mergeCell ref="B21:D21"/>
    <mergeCell ref="B22:D22"/>
    <mergeCell ref="B24:D24"/>
  </mergeCells>
  <conditionalFormatting sqref="E6:I24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BC28-B632-42B5-B9C6-13ABEFF0ED44}">
  <dimension ref="C3:L39"/>
  <sheetViews>
    <sheetView showGridLines="0" topLeftCell="A4" zoomScale="87" zoomScaleNormal="81" workbookViewId="0">
      <selection activeCell="R21" sqref="R21"/>
    </sheetView>
  </sheetViews>
  <sheetFormatPr defaultRowHeight="15"/>
  <cols>
    <col min="3" max="3" width="35.54296875" bestFit="1" customWidth="1"/>
    <col min="4" max="4" width="50.6328125" customWidth="1"/>
    <col min="5" max="5" width="11.453125" customWidth="1"/>
    <col min="6" max="6" width="10.1796875" customWidth="1"/>
    <col min="7" max="7" width="9.90625" customWidth="1"/>
    <col min="8" max="9" width="10.36328125" bestFit="1" customWidth="1"/>
  </cols>
  <sheetData>
    <row r="3" spans="3:11" ht="24.6">
      <c r="C3" s="188" t="s">
        <v>85</v>
      </c>
      <c r="D3" s="188"/>
      <c r="E3" s="188"/>
      <c r="F3" s="188"/>
      <c r="G3" s="188"/>
      <c r="H3" s="188"/>
      <c r="I3" s="188"/>
      <c r="J3" s="188"/>
    </row>
    <row r="6" spans="3:11" ht="23.4">
      <c r="C6" s="140" t="s">
        <v>84</v>
      </c>
      <c r="D6" s="134" t="s">
        <v>115</v>
      </c>
      <c r="E6" s="137" t="s">
        <v>83</v>
      </c>
      <c r="F6" s="138" t="s">
        <v>82</v>
      </c>
      <c r="G6" s="138" t="s">
        <v>81</v>
      </c>
      <c r="H6" s="138" t="s">
        <v>80</v>
      </c>
      <c r="I6" s="139" t="s">
        <v>79</v>
      </c>
      <c r="J6" s="41"/>
    </row>
    <row r="7" spans="3:11" ht="15.6">
      <c r="C7" s="36"/>
      <c r="D7" s="36"/>
      <c r="E7" s="40"/>
      <c r="F7" s="39"/>
      <c r="G7" s="39"/>
      <c r="H7" s="39"/>
      <c r="I7" s="39"/>
    </row>
    <row r="8" spans="3:11" ht="17.399999999999999">
      <c r="C8" s="34" t="s">
        <v>78</v>
      </c>
      <c r="D8" s="116" t="s">
        <v>77</v>
      </c>
      <c r="E8" s="38">
        <f>'Income Statement'!E10/'Income Statement'!E8</f>
        <v>0.35728571428571426</v>
      </c>
      <c r="F8" s="38">
        <f>'Income Statement'!F10/'Income Statement'!F8</f>
        <v>0.3276639169997449</v>
      </c>
      <c r="G8" s="38">
        <f>'Income Statement'!G10/'Income Statement'!G8</f>
        <v>0.27692092633148502</v>
      </c>
      <c r="H8" s="38">
        <f>'Income Statement'!H10/'Income Statement'!H8</f>
        <v>0.25319391325575719</v>
      </c>
      <c r="I8" s="38">
        <f>'Income Statement'!I10/'Income Statement'!I8</f>
        <v>0.28386605783866059</v>
      </c>
    </row>
    <row r="9" spans="3:11" ht="17.399999999999999">
      <c r="C9" s="34" t="s">
        <v>76</v>
      </c>
      <c r="D9" s="116" t="s">
        <v>75</v>
      </c>
      <c r="E9" s="38">
        <f>'Income Statement'!E18/'Income Statement'!E8</f>
        <v>-7.8142857142857139E-2</v>
      </c>
      <c r="F9" s="38">
        <f>'Income Statement'!F18/'Income Statement'!F8</f>
        <v>-0.14780168381665107</v>
      </c>
      <c r="G9" s="38">
        <f>'Income Statement'!G18/'Income Statement'!G8</f>
        <v>-1.5935883696006709E-2</v>
      </c>
      <c r="H9" s="38">
        <f>'Income Statement'!H18/'Income Statement'!H8</f>
        <v>8.1373586133940919E-4</v>
      </c>
      <c r="I9" s="38">
        <f>'Income Statement'!I18/'Income Statement'!I8</f>
        <v>6.031202435312024E-2</v>
      </c>
      <c r="K9" t="s">
        <v>110</v>
      </c>
    </row>
    <row r="10" spans="3:11" ht="17.399999999999999">
      <c r="C10" s="34" t="s">
        <v>74</v>
      </c>
      <c r="D10" s="144" t="s">
        <v>73</v>
      </c>
      <c r="E10" s="38">
        <f>'Income Statement'!E24/'Income Statement'!E8</f>
        <v>-0.11042857142857143</v>
      </c>
      <c r="F10" s="38">
        <f>'Income Statement'!F24/'Income Statement'!F8</f>
        <v>-0.190577430053576</v>
      </c>
      <c r="G10" s="38">
        <f>'Income Statement'!G24/'Income Statement'!G8</f>
        <v>-4.9531708680862964E-2</v>
      </c>
      <c r="H10" s="38">
        <f>'Income Statement'!H24/'Income Statement'!H8</f>
        <v>-3.1532264626902111E-2</v>
      </c>
      <c r="I10" s="38">
        <f>'Income Statement'!I24/'Income Statement'!I8</f>
        <v>2.7333840690005072E-2</v>
      </c>
    </row>
    <row r="11" spans="3:11" ht="17.399999999999999">
      <c r="C11" s="34" t="s">
        <v>72</v>
      </c>
      <c r="D11" s="116" t="s">
        <v>71</v>
      </c>
      <c r="E11" s="143">
        <f>'Income Statement'!E24/AVERAGE('Raw Data_TESLA'!C49:G49)</f>
        <v>-7.7860596293311851E-2</v>
      </c>
      <c r="F11" s="38">
        <f>'Income Statement'!F24/AVERAGE('Raw Data_TESLA'!D49:H49)</f>
        <v>-0.2049617011546816</v>
      </c>
      <c r="G11" s="38">
        <f>'Income Statement'!G24/AVERAGE('Raw Data_TESLA'!E49:I49)</f>
        <v>-8.3694197307298643E-2</v>
      </c>
      <c r="H11" s="38">
        <f>'Income Statement'!H24/AVERAGE('Raw Data_TESLA'!F49:J49)</f>
        <v>-4.8759004687155931E-2</v>
      </c>
      <c r="I11" s="38">
        <f>'Income Statement'!I24/AVERAGE('Raw Data_TESLA'!G49:K49)</f>
        <v>3.6403564339710294E-2</v>
      </c>
    </row>
    <row r="12" spans="3:11" ht="17.399999999999999">
      <c r="C12" s="34" t="s">
        <v>70</v>
      </c>
      <c r="D12" s="116" t="s">
        <v>69</v>
      </c>
      <c r="E12" s="38">
        <f>'Income Statement'!E24/AVERAGE('Virtical Analysis '!E26:I26)</f>
        <v>-2.3072560666208997E-2</v>
      </c>
      <c r="F12" s="38">
        <f>'Income Statement'!F24/AVERAGE('Virtical Analysis '!F26:J26)</f>
        <v>-6.1884281088843016E-2</v>
      </c>
      <c r="G12" s="38">
        <f>'Income Statement'!G24/AVERAGE('Virtical Analysis '!G26:K26)</f>
        <v>-3.6592712439112551E-2</v>
      </c>
      <c r="H12" s="38">
        <f>'Income Statement'!H24/AVERAGE('Virtical Analysis '!H26:L26)</f>
        <v>-3.5855145213338116E-2</v>
      </c>
      <c r="I12" s="38">
        <f>'Income Statement'!I24/AVERAGE('Virtical Analysis '!I26:M26)</f>
        <v>6.6115702479338845E-2</v>
      </c>
    </row>
    <row r="13" spans="3:11" ht="15.6">
      <c r="C13" s="36"/>
      <c r="D13" s="36"/>
      <c r="E13" s="38"/>
      <c r="F13" s="37"/>
      <c r="G13" s="37"/>
      <c r="H13" s="37"/>
      <c r="I13" s="37"/>
    </row>
    <row r="14" spans="3:11" ht="23.4">
      <c r="C14" s="141" t="s">
        <v>68</v>
      </c>
      <c r="D14" s="135"/>
      <c r="E14" s="38"/>
      <c r="F14" s="37"/>
      <c r="G14" s="37"/>
      <c r="H14" s="37"/>
      <c r="I14" s="37"/>
    </row>
    <row r="15" spans="3:11" ht="15.6">
      <c r="C15" s="36"/>
      <c r="D15" s="36"/>
      <c r="E15" s="38"/>
      <c r="F15" s="37"/>
      <c r="G15" s="37"/>
      <c r="H15" s="37"/>
      <c r="I15" s="37"/>
    </row>
    <row r="16" spans="3:11" ht="17.399999999999999">
      <c r="C16" s="34" t="s">
        <v>67</v>
      </c>
      <c r="D16" s="116" t="s">
        <v>123</v>
      </c>
      <c r="E16" s="38">
        <f>'Income Statement'!E22/'Income Statement'!E21</f>
        <v>-3.6193029490616625E-2</v>
      </c>
      <c r="F16" s="38">
        <f>'Income Statement'!F22/'Income Statement'!F21</f>
        <v>-1.4486192847442281E-2</v>
      </c>
      <c r="G16" s="38">
        <f>'Income Statement'!G22/'Income Statement'!G21</f>
        <v>-5.7711442786069649E-2</v>
      </c>
      <c r="H16" s="38">
        <f>'Income Statement'!H22/'Income Statement'!H21</f>
        <v>-0.16541353383458646</v>
      </c>
      <c r="I16" s="38">
        <f>'Income Statement'!I22/'Income Statement'!I21</f>
        <v>0.2530329289428076</v>
      </c>
    </row>
    <row r="17" spans="3:9" ht="17.399999999999999">
      <c r="C17" s="34" t="s">
        <v>66</v>
      </c>
      <c r="D17" s="116" t="s">
        <v>124</v>
      </c>
      <c r="E17" s="38">
        <f>'Income Statement'!E8/AVERAGE('Virtical Analysis '!E26:I26)</f>
        <v>0.20893651314807629</v>
      </c>
      <c r="F17" s="38">
        <f>'Income Statement'!F8/AVERAGE('Virtical Analysis '!F26:J26)</f>
        <v>0.32471988457104195</v>
      </c>
      <c r="G17" s="38">
        <f>'Income Statement'!G8/AVERAGE('Virtical Analysis '!G26:K26)</f>
        <v>0.73877347286528172</v>
      </c>
      <c r="H17" s="38">
        <f>'Income Statement'!H8/AVERAGE('Virtical Analysis '!H26:L26)</f>
        <v>1.1370938826495796</v>
      </c>
      <c r="I17" s="38">
        <f>'Income Statement'!I8/AVERAGE('Virtical Analysis '!I26:M26)</f>
        <v>2.4188222661118677</v>
      </c>
    </row>
    <row r="18" spans="3:9" ht="17.399999999999999">
      <c r="C18" s="34" t="s">
        <v>65</v>
      </c>
      <c r="D18" s="116" t="s">
        <v>125</v>
      </c>
      <c r="E18" s="38">
        <f>'Income Statement'!E8/AVERAGE('Virtical Analysis '!E13:I13)</f>
        <v>0.58377116170461174</v>
      </c>
      <c r="F18" s="38">
        <f>'Income Statement'!F8/AVERAGE('Virtical Analysis '!F13:J13)</f>
        <v>0.87596841477949938</v>
      </c>
      <c r="G18" s="38">
        <f>'Income Statement'!G8/AVERAGE('Virtical Analysis '!G13:K13)</f>
        <v>1.8215740131837792</v>
      </c>
      <c r="H18" s="38">
        <f>'Income Statement'!H8/AVERAGE('Virtical Analysis '!H13:L13)</f>
        <v>2.5324760421021861</v>
      </c>
      <c r="I18" s="38">
        <f>'Income Statement'!I8/AVERAGE('Virtical Analysis '!I13:M13)</f>
        <v>4.7213495142124584</v>
      </c>
    </row>
    <row r="19" spans="3:9" ht="17.399999999999999">
      <c r="C19" s="34"/>
      <c r="D19" s="34"/>
      <c r="E19" s="38"/>
      <c r="F19" s="37"/>
      <c r="G19" s="37"/>
      <c r="H19" s="37"/>
      <c r="I19" s="37"/>
    </row>
    <row r="20" spans="3:9" ht="17.399999999999999">
      <c r="C20" s="142" t="s">
        <v>64</v>
      </c>
      <c r="D20" s="136"/>
      <c r="E20" s="38"/>
      <c r="F20" s="37"/>
      <c r="G20" s="37"/>
      <c r="H20" s="37"/>
      <c r="I20" s="37"/>
    </row>
    <row r="21" spans="3:9" ht="17.399999999999999">
      <c r="C21" s="34" t="s">
        <v>63</v>
      </c>
      <c r="D21" s="116" t="s">
        <v>126</v>
      </c>
      <c r="E21" s="143">
        <f>'Raw Data_TESLA'!C58/AVERAGE('Virtical Analysis '!E10:I10)</f>
        <v>-1.4900311320129827</v>
      </c>
      <c r="F21" s="143">
        <f>'Raw Data_TESLA'!D58/AVERAGE('Virtical Analysis '!F10:J10)</f>
        <v>-2.4270145817344591</v>
      </c>
      <c r="G21" s="143">
        <f>'Raw Data_TESLA'!E58/AVERAGE('Virtical Analysis '!G10:K10)</f>
        <v>-5.7655093975992253</v>
      </c>
      <c r="H21" s="143">
        <f>'Raw Data_TESLA'!F58/AVERAGE('Virtical Analysis '!H10:L10)</f>
        <v>-9.593410044623095</v>
      </c>
      <c r="I21" s="143">
        <f>'Raw Data_TESLA'!G58/AVERAGE('Virtical Analysis '!I10:M10)</f>
        <v>-22.026321687795065</v>
      </c>
    </row>
    <row r="22" spans="3:9" ht="17.399999999999999">
      <c r="C22" s="34" t="s">
        <v>62</v>
      </c>
      <c r="D22" s="116" t="s">
        <v>127</v>
      </c>
      <c r="E22" s="143">
        <f>(AVEDEV('Virtical Analysis '!E10:I10)/'Raw Data_TESLA'!C58)*365</f>
        <v>-55.420937986219165</v>
      </c>
      <c r="F22" s="143">
        <f>(AVEDEV('Virtical Analysis '!F10:J10)/'Raw Data_TESLA'!D58)*365</f>
        <v>-26.269289147482922</v>
      </c>
      <c r="G22" s="143">
        <f>(AVEDEV('Virtical Analysis '!G10:K10)/'Raw Data_TESLA'!E58)*365</f>
        <v>-31.652678614454288</v>
      </c>
      <c r="H22" s="143">
        <f>(AVEDEV('Virtical Analysis '!H10:L10)/'Raw Data_TESLA'!F58)*365</f>
        <v>-38.045258404381869</v>
      </c>
      <c r="I22" s="143">
        <f>(AVEDEV('Virtical Analysis '!I10:M10)/'Raw Data_TESLA'!G58)*365</f>
        <v>-24.854402818910163</v>
      </c>
    </row>
    <row r="23" spans="3:9" ht="17.399999999999999">
      <c r="C23" s="34"/>
      <c r="D23" s="34"/>
      <c r="E23" s="143"/>
      <c r="F23" s="143"/>
      <c r="G23" s="143"/>
      <c r="H23" s="143"/>
      <c r="I23" s="143"/>
    </row>
    <row r="24" spans="3:9" ht="15.6">
      <c r="C24" s="36"/>
      <c r="D24" s="36"/>
      <c r="E24" s="143"/>
      <c r="F24" s="143"/>
      <c r="G24" s="143"/>
      <c r="H24" s="143"/>
      <c r="I24" s="143"/>
    </row>
    <row r="25" spans="3:9" ht="23.4">
      <c r="C25" s="141" t="s">
        <v>61</v>
      </c>
      <c r="D25" s="135"/>
      <c r="E25" s="143"/>
      <c r="F25" s="143"/>
      <c r="G25" s="143"/>
      <c r="H25" s="143"/>
      <c r="I25" s="143"/>
    </row>
    <row r="26" spans="3:9">
      <c r="C26" s="36"/>
      <c r="D26" s="36"/>
      <c r="E26" s="115"/>
      <c r="F26" s="115"/>
      <c r="G26" s="115"/>
      <c r="H26" s="115"/>
      <c r="I26" s="115"/>
    </row>
    <row r="27" spans="3:9" ht="17.399999999999999">
      <c r="C27" s="34" t="s">
        <v>60</v>
      </c>
      <c r="D27" s="116" t="s">
        <v>111</v>
      </c>
      <c r="E27" s="133">
        <f>'Virtical Analysis '!E13/'Virtical Analysis '!E23</f>
        <v>0.57253933406512991</v>
      </c>
      <c r="F27" s="133">
        <f>'Virtical Analysis '!F13/'Virtical Analysis '!F23</f>
        <v>0.42806880375293199</v>
      </c>
      <c r="G27" s="133">
        <f>'Virtical Analysis '!G13/'Virtical Analysis '!G23</f>
        <v>0.6182819711180586</v>
      </c>
      <c r="H27" s="133">
        <f>'Virtical Analysis '!H13/'Virtical Analysis '!H23</f>
        <v>0.77922997682204476</v>
      </c>
      <c r="I27" s="133">
        <f>'Virtical Analysis '!I13/'Virtical Analysis '!I23</f>
        <v>1.8787005133253638</v>
      </c>
    </row>
    <row r="28" spans="3:9" ht="17.399999999999999">
      <c r="C28" s="34" t="s">
        <v>59</v>
      </c>
      <c r="D28" s="116" t="s">
        <v>112</v>
      </c>
      <c r="E28" s="133">
        <f>('Virtical Analysis '!E8+'Virtical Analysis '!E9)/'Virtical Analysis '!E23</f>
        <v>0.36571533113794363</v>
      </c>
      <c r="F28" s="133">
        <f>('Virtical Analysis '!F8+'Virtical Analysis '!F9)/'Virtical Analysis '!F23</f>
        <v>0.26309616888193904</v>
      </c>
      <c r="G28" s="133">
        <f>('Virtical Analysis '!G8+'Virtical Analysis '!G9)/'Virtical Analysis '!G23</f>
        <v>0.35931219294327826</v>
      </c>
      <c r="H28" s="133">
        <f>('Virtical Analysis '!H8+'Virtical Analysis '!H9)/'Virtical Analysis '!H23</f>
        <v>0.50463559103785738</v>
      </c>
      <c r="I28" s="133">
        <f>('Virtical Analysis '!I8+'Virtical Analysis '!I9)/'Virtical Analysis '!I23</f>
        <v>1.5124112228394628</v>
      </c>
    </row>
    <row r="29" spans="3:9" ht="17.399999999999999">
      <c r="C29" s="34" t="s">
        <v>114</v>
      </c>
      <c r="D29" s="116" t="s">
        <v>113</v>
      </c>
      <c r="E29" s="133">
        <f>('Virtical Analysis '!E13-'Virtical Analysis '!E23)/'Virtical Analysis '!E26</f>
        <v>-0.20618602188492763</v>
      </c>
      <c r="F29" s="133">
        <f>('Virtical Analysis '!F13-'Virtical Analysis '!F23)/'Virtical Analysis '!F26</f>
        <v>-0.30634466392126752</v>
      </c>
      <c r="G29" s="133">
        <f>('Virtical Analysis '!G13-'Virtical Analysis '!G23)/'Virtical Analysis '!G26</f>
        <v>-0.17242770679219907</v>
      </c>
      <c r="H29" s="133">
        <f>('Virtical Analysis '!H13-'Virtical Analysis '!H23)/'Virtical Analysis '!H26</f>
        <v>-9.9944620944941567E-2</v>
      </c>
      <c r="I29" s="133">
        <f>('Virtical Analysis '!I13-'Virtical Analysis '!I23)/'Virtical Analysis '!I26</f>
        <v>0.23962568075477486</v>
      </c>
    </row>
    <row r="30" spans="3:9" ht="17.399999999999999">
      <c r="C30" s="34"/>
      <c r="D30" s="34"/>
      <c r="E30" s="133"/>
      <c r="F30" s="133"/>
      <c r="G30" s="133"/>
      <c r="H30" s="133"/>
      <c r="I30" s="133"/>
    </row>
    <row r="31" spans="3:9" ht="17.399999999999999">
      <c r="C31" s="35"/>
      <c r="D31" s="35"/>
      <c r="E31" s="115"/>
      <c r="F31" s="115"/>
      <c r="G31" s="115"/>
      <c r="H31" s="115"/>
      <c r="I31" s="115"/>
    </row>
    <row r="32" spans="3:9">
      <c r="E32" s="115"/>
      <c r="F32" s="115"/>
      <c r="G32" s="115"/>
      <c r="H32" s="115"/>
      <c r="I32" s="115"/>
    </row>
    <row r="33" spans="3:12" ht="23.4">
      <c r="C33" s="140" t="s">
        <v>58</v>
      </c>
      <c r="D33" s="134"/>
      <c r="E33" s="115"/>
      <c r="F33" s="115"/>
      <c r="G33" s="115"/>
      <c r="H33" s="115"/>
      <c r="I33" s="115"/>
    </row>
    <row r="34" spans="3:12">
      <c r="E34" s="115"/>
      <c r="F34" s="115"/>
      <c r="G34" s="115"/>
      <c r="H34" s="115"/>
      <c r="I34" s="115"/>
    </row>
    <row r="35" spans="3:12" ht="17.399999999999999">
      <c r="C35" s="34" t="s">
        <v>117</v>
      </c>
      <c r="D35" s="116" t="s">
        <v>116</v>
      </c>
      <c r="E35" s="133">
        <f>'Virtical Analysis '!E23/'Virtical Analysis '!E22</f>
        <v>1.8513124470787468</v>
      </c>
      <c r="F35" s="133">
        <f>'Virtical Analysis '!F23/'Virtical Analysis '!F22</f>
        <v>2.7251420454545454</v>
      </c>
      <c r="G35" s="133">
        <f>'Virtical Analysis '!G23/'Virtical Analysis '!G22</f>
        <v>2.1276528349699082</v>
      </c>
      <c r="H35" s="133">
        <f>'Virtical Analysis '!H23/'Virtical Analysis '!H22</f>
        <v>1.9151664611590629</v>
      </c>
      <c r="I35" s="133">
        <f>'Virtical Analysis '!I23/'Virtical Analysis '!I22</f>
        <v>0.60057434857890957</v>
      </c>
      <c r="J35" s="115"/>
    </row>
    <row r="36" spans="3:12" ht="17.399999999999999">
      <c r="C36" s="34" t="s">
        <v>57</v>
      </c>
      <c r="D36" s="116" t="s">
        <v>119</v>
      </c>
      <c r="E36" s="133">
        <f>'Virtical Analysis '!E23/'Virtical Analysis '!E24</f>
        <v>0.96266290947516731</v>
      </c>
      <c r="F36" s="133">
        <f>'Virtical Analysis '!F23/'Virtical Analysis '!F24</f>
        <v>1.1912449549829245</v>
      </c>
      <c r="G36" s="133">
        <f>'Virtical Analysis '!G23/'Virtical Analysis '!G24</f>
        <v>0.84199310560952678</v>
      </c>
      <c r="H36" s="133">
        <f>'Virtical Analysis '!H23/'Virtical Analysis '!H24</f>
        <v>0.8515350877192982</v>
      </c>
      <c r="I36" s="133">
        <f>'Virtical Analysis '!I23/'Virtical Analysis '!I24</f>
        <v>0.38016948699441283</v>
      </c>
    </row>
    <row r="37" spans="3:12" ht="23.4" customHeight="1">
      <c r="C37" s="34" t="s">
        <v>56</v>
      </c>
      <c r="D37" s="116" t="s">
        <v>120</v>
      </c>
      <c r="E37" s="133">
        <f>('Virtical Analysis '!E23-'Virtical Analysis '!E8)/'Income Statement'!E18</f>
        <v>-13.588665447897624</v>
      </c>
      <c r="F37" s="133">
        <f>('Virtical Analysis '!F23-'Virtical Analysis '!F8)/'Income Statement'!F18</f>
        <v>-6.8037974683544302</v>
      </c>
      <c r="G37" s="133">
        <f>('Virtical Analysis '!G23-'Virtical Analysis '!G8)/'Income Statement'!G18</f>
        <v>-27.941520467836256</v>
      </c>
      <c r="H37" s="133">
        <f>('Virtical Analysis '!H23-'Virtical Analysis '!H8)/'Income Statement'!H18</f>
        <v>450.9</v>
      </c>
      <c r="I37" s="133">
        <f>('Virtical Analysis '!I23-'Virtical Analysis '!I8)/'Income Statement'!I18</f>
        <v>-2.8396424815983177</v>
      </c>
      <c r="L37" s="132"/>
    </row>
    <row r="38" spans="3:12" ht="17.399999999999999">
      <c r="C38" s="34" t="s">
        <v>55</v>
      </c>
      <c r="D38" s="116" t="s">
        <v>121</v>
      </c>
      <c r="E38" s="133">
        <f>'Virtical Analysis '!E26/'Virtical Analysis '!E22</f>
        <v>3.8381033022861981</v>
      </c>
      <c r="F38" s="133">
        <f>'Virtical Analysis '!F26/'Virtical Analysis '!F22</f>
        <v>5.0877130681818183</v>
      </c>
      <c r="G38" s="133">
        <f>'Virtical Analysis '!G26/'Virtical Analysis '!G22</f>
        <v>4.7101678808995882</v>
      </c>
      <c r="H38" s="133">
        <f>'Virtical Analysis '!H26/'Virtical Analysis '!H22</f>
        <v>4.2304562268803947</v>
      </c>
      <c r="I38" s="133">
        <f>'Virtical Analysis '!I26/'Virtical Analysis '!I22</f>
        <v>2.2022889480130075</v>
      </c>
    </row>
    <row r="39" spans="3:12" ht="17.399999999999999">
      <c r="C39" s="34" t="s">
        <v>54</v>
      </c>
      <c r="D39" s="116" t="s">
        <v>122</v>
      </c>
      <c r="E39" s="133">
        <f>'Income Statement'!E18/'Income Statement'!E19</f>
        <v>-2.7487437185929648</v>
      </c>
      <c r="F39" s="133">
        <f>'Income Statement'!F18/'Income Statement'!F19</f>
        <v>-3.6900212314225054</v>
      </c>
      <c r="G39" s="133">
        <f>'Income Statement'!G18/'Income Statement'!G19</f>
        <v>-0.51583710407239824</v>
      </c>
      <c r="H39" s="133">
        <f>'Income Statement'!H18/'Income Statement'!H19</f>
        <v>2.9197080291970802E-2</v>
      </c>
      <c r="I39" s="133">
        <f>'Income Statement'!I18/'Income Statement'!I19</f>
        <v>2.5427807486631018</v>
      </c>
    </row>
  </sheetData>
  <mergeCells count="1">
    <mergeCell ref="C3:J3"/>
  </mergeCells>
  <pageMargins left="0.7" right="0.7" top="0.75" bottom="0.75" header="0.3" footer="0.3"/>
  <ignoredErrors>
    <ignoredError sqref="F11:I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E5EE-A1C0-4F11-A517-53EEDF8D8A00}">
  <dimension ref="A1:Y52"/>
  <sheetViews>
    <sheetView showGridLines="0" tabSelected="1" zoomScale="58" workbookViewId="0">
      <selection activeCell="A5" sqref="A5"/>
    </sheetView>
  </sheetViews>
  <sheetFormatPr defaultRowHeight="15"/>
  <sheetData>
    <row r="1" spans="2:21" ht="15" customHeight="1">
      <c r="B1" s="197" t="str">
        <f>'Raw Data_TESLA'!B2</f>
        <v>Tesla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9"/>
    </row>
    <row r="2" spans="2:21" ht="15" customHeight="1">
      <c r="B2" s="200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2"/>
    </row>
    <row r="3" spans="2:21" ht="15" customHeight="1">
      <c r="B3" s="200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2"/>
    </row>
    <row r="4" spans="2:21">
      <c r="B4" s="200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2"/>
    </row>
    <row r="5" spans="2:21">
      <c r="B5" s="193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5"/>
    </row>
    <row r="6" spans="2:21">
      <c r="B6" s="193"/>
      <c r="C6" s="196" t="s">
        <v>78</v>
      </c>
      <c r="D6" s="196"/>
      <c r="E6" s="196"/>
      <c r="F6" s="196"/>
      <c r="G6" s="196"/>
      <c r="H6" s="194"/>
      <c r="I6" s="196" t="s">
        <v>128</v>
      </c>
      <c r="J6" s="196"/>
      <c r="K6" s="196"/>
      <c r="L6" s="196"/>
      <c r="M6" s="196"/>
      <c r="N6" s="194"/>
      <c r="O6" s="194"/>
      <c r="P6" s="196" t="s">
        <v>131</v>
      </c>
      <c r="Q6" s="196"/>
      <c r="R6" s="196"/>
      <c r="S6" s="196"/>
      <c r="T6" s="196"/>
      <c r="U6" s="195"/>
    </row>
    <row r="7" spans="2:21">
      <c r="B7" s="193"/>
      <c r="C7" s="196"/>
      <c r="D7" s="196"/>
      <c r="E7" s="196"/>
      <c r="F7" s="196"/>
      <c r="G7" s="196"/>
      <c r="H7" s="194"/>
      <c r="I7" s="196"/>
      <c r="J7" s="196"/>
      <c r="K7" s="196"/>
      <c r="L7" s="196"/>
      <c r="M7" s="196"/>
      <c r="N7" s="194"/>
      <c r="O7" s="194"/>
      <c r="P7" s="196"/>
      <c r="Q7" s="196"/>
      <c r="R7" s="196"/>
      <c r="S7" s="196"/>
      <c r="T7" s="196"/>
      <c r="U7" s="195"/>
    </row>
    <row r="8" spans="2:21">
      <c r="B8" s="193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5"/>
    </row>
    <row r="9" spans="2:21">
      <c r="B9" s="193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5"/>
    </row>
    <row r="10" spans="2:21">
      <c r="B10" s="193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5"/>
    </row>
    <row r="11" spans="2:21">
      <c r="B11" s="193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5"/>
    </row>
    <row r="12" spans="2:21">
      <c r="B12" s="193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5"/>
    </row>
    <row r="13" spans="2:21">
      <c r="B13" s="193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5"/>
    </row>
    <row r="14" spans="2:21">
      <c r="B14" s="193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5"/>
    </row>
    <row r="15" spans="2:21">
      <c r="B15" s="193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5"/>
    </row>
    <row r="16" spans="2:21">
      <c r="B16" s="193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5"/>
    </row>
    <row r="17" spans="2:21">
      <c r="B17" s="193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5"/>
    </row>
    <row r="18" spans="2:21">
      <c r="B18" s="193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5"/>
    </row>
    <row r="19" spans="2:21">
      <c r="B19" s="193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5"/>
    </row>
    <row r="20" spans="2:21">
      <c r="B20" s="193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5"/>
    </row>
    <row r="21" spans="2:21">
      <c r="B21" s="193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5"/>
    </row>
    <row r="22" spans="2:21">
      <c r="B22" s="193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5"/>
    </row>
    <row r="23" spans="2:21">
      <c r="B23" s="193"/>
      <c r="C23" s="196" t="s">
        <v>129</v>
      </c>
      <c r="D23" s="196"/>
      <c r="E23" s="196"/>
      <c r="F23" s="196"/>
      <c r="G23" s="196"/>
      <c r="H23" s="194"/>
      <c r="I23" s="196" t="s">
        <v>130</v>
      </c>
      <c r="J23" s="196"/>
      <c r="K23" s="196"/>
      <c r="L23" s="196"/>
      <c r="M23" s="196"/>
      <c r="N23" s="194"/>
      <c r="O23" s="194"/>
      <c r="P23" s="194"/>
      <c r="Q23" s="194"/>
      <c r="R23" s="194"/>
      <c r="S23" s="194"/>
      <c r="T23" s="194"/>
      <c r="U23" s="195"/>
    </row>
    <row r="24" spans="2:21">
      <c r="B24" s="193"/>
      <c r="C24" s="196"/>
      <c r="D24" s="196"/>
      <c r="E24" s="196"/>
      <c r="F24" s="196"/>
      <c r="G24" s="196"/>
      <c r="H24" s="194"/>
      <c r="I24" s="196"/>
      <c r="J24" s="196"/>
      <c r="K24" s="196"/>
      <c r="L24" s="196"/>
      <c r="M24" s="196"/>
      <c r="N24" s="194"/>
      <c r="O24" s="194"/>
      <c r="P24" s="194"/>
      <c r="Q24" s="194"/>
      <c r="R24" s="194"/>
      <c r="S24" s="194"/>
      <c r="T24" s="194"/>
      <c r="U24" s="195"/>
    </row>
    <row r="25" spans="2:21">
      <c r="B25" s="193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5"/>
    </row>
    <row r="26" spans="2:2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5"/>
    </row>
    <row r="27" spans="2:21">
      <c r="B27" s="193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5"/>
    </row>
    <row r="28" spans="2:2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5"/>
    </row>
    <row r="29" spans="2:21">
      <c r="B29" s="193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5"/>
    </row>
    <row r="30" spans="2:21">
      <c r="B30" s="193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5"/>
    </row>
    <row r="31" spans="2:21">
      <c r="B31" s="193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5"/>
    </row>
    <row r="32" spans="2:21">
      <c r="B32" s="193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5"/>
    </row>
    <row r="33" spans="1:25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5"/>
    </row>
    <row r="34" spans="1:25">
      <c r="B34" s="193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5"/>
    </row>
    <row r="35" spans="1:25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5"/>
    </row>
    <row r="36" spans="1:25">
      <c r="B36" s="193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5"/>
    </row>
    <row r="37" spans="1:25">
      <c r="B37" s="193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5"/>
    </row>
    <row r="38" spans="1:25">
      <c r="B38" s="193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5"/>
    </row>
    <row r="39" spans="1:25">
      <c r="B39" s="193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5"/>
    </row>
    <row r="40" spans="1:25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5"/>
    </row>
    <row r="41" spans="1:25">
      <c r="B41" s="193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5"/>
    </row>
    <row r="42" spans="1:25">
      <c r="B42" s="193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5"/>
    </row>
    <row r="43" spans="1:25">
      <c r="B43" s="193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5"/>
    </row>
    <row r="44" spans="1:25">
      <c r="A44" s="190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0"/>
      <c r="W44" s="189"/>
      <c r="X44" s="189"/>
      <c r="Y44" s="189"/>
    </row>
    <row r="45" spans="1:25">
      <c r="A45" s="190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0"/>
      <c r="W45" s="189"/>
      <c r="X45" s="189"/>
      <c r="Y45" s="189"/>
    </row>
    <row r="46" spans="1:25">
      <c r="A46" s="190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0"/>
      <c r="W46" s="189"/>
      <c r="X46" s="189"/>
      <c r="Y46" s="189"/>
    </row>
    <row r="47" spans="1:25">
      <c r="A47" s="190"/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0"/>
      <c r="W47" s="189"/>
      <c r="X47" s="189"/>
      <c r="Y47" s="189"/>
    </row>
    <row r="48" spans="1:25">
      <c r="A48" s="190"/>
      <c r="B48" s="191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0"/>
      <c r="W48" s="189"/>
      <c r="X48" s="189"/>
      <c r="Y48" s="189"/>
    </row>
    <row r="49" spans="1:25">
      <c r="A49" s="190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0"/>
      <c r="W49" s="189"/>
      <c r="X49" s="189"/>
      <c r="Y49" s="189"/>
    </row>
    <row r="50" spans="1:25">
      <c r="A50" s="190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89"/>
      <c r="X50" s="189"/>
      <c r="Y50" s="189"/>
    </row>
    <row r="51" spans="1:25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</row>
    <row r="52" spans="1:25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</row>
  </sheetData>
  <mergeCells count="6">
    <mergeCell ref="B1:U4"/>
    <mergeCell ref="C6:G7"/>
    <mergeCell ref="I6:M7"/>
    <mergeCell ref="C23:G24"/>
    <mergeCell ref="I23:M24"/>
    <mergeCell ref="P6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Data_TESLA</vt:lpstr>
      <vt:lpstr>Income Statement</vt:lpstr>
      <vt:lpstr>Virtical Analysis </vt:lpstr>
      <vt:lpstr>Horizontal Analysis</vt:lpstr>
      <vt:lpstr>RATIO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انعام حميدو مصطفى على</dc:creator>
  <cp:lastModifiedBy>Dell</cp:lastModifiedBy>
  <dcterms:created xsi:type="dcterms:W3CDTF">2023-12-12T21:51:22Z</dcterms:created>
  <dcterms:modified xsi:type="dcterms:W3CDTF">2023-12-17T23:10:00Z</dcterms:modified>
</cp:coreProperties>
</file>