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01182\Desktop\Power BI\WCPGL\"/>
    </mc:Choice>
  </mc:AlternateContent>
  <bookViews>
    <workbookView xWindow="0" yWindow="0" windowWidth="19200" windowHeight="6730" activeTab="2"/>
  </bookViews>
  <sheets>
    <sheet name="Data" sheetId="1" r:id="rId1"/>
    <sheet name="Data (2)" sheetId="5" r:id="rId2"/>
    <sheet name="KPI's" sheetId="6" r:id="rId3"/>
    <sheet name="RAW" sheetId="7" r:id="rId4"/>
    <sheet name="Power Data" sheetId="4" r:id="rId5"/>
    <sheet name="Sheet2" sheetId="3" r:id="rId6"/>
    <sheet name="Sheet1" sheetId="8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2" i="5" l="1"/>
  <c r="AO3" i="5"/>
  <c r="AO4" i="5"/>
  <c r="AO5" i="5"/>
  <c r="AO6" i="5"/>
  <c r="AO7" i="5"/>
  <c r="AO8" i="5"/>
  <c r="AO9" i="5"/>
  <c r="AO10" i="5"/>
  <c r="AO11" i="5"/>
  <c r="AO12" i="5"/>
  <c r="AO13" i="5"/>
  <c r="AO14" i="5"/>
  <c r="AN2" i="5"/>
  <c r="AN3" i="5"/>
  <c r="AN4" i="5"/>
  <c r="AN5" i="5"/>
  <c r="AN6" i="5"/>
  <c r="AN7" i="5"/>
  <c r="AN8" i="5"/>
  <c r="AN9" i="5"/>
  <c r="AN10" i="5"/>
  <c r="AN11" i="5"/>
  <c r="AN12" i="5"/>
  <c r="AN13" i="5"/>
  <c r="AN14" i="5"/>
  <c r="AM2" i="5"/>
  <c r="AM3" i="5"/>
  <c r="AM4" i="5"/>
  <c r="AM5" i="5"/>
  <c r="AM6" i="5"/>
  <c r="AM7" i="5"/>
  <c r="AM8" i="5"/>
  <c r="AM9" i="5"/>
  <c r="AM10" i="5"/>
  <c r="AM11" i="5"/>
  <c r="AM12" i="5"/>
  <c r="AM13" i="5"/>
  <c r="AM14" i="5"/>
  <c r="AL2" i="5"/>
  <c r="AL3" i="5"/>
  <c r="AL4" i="5"/>
  <c r="AL5" i="5"/>
  <c r="AL6" i="5"/>
  <c r="AL7" i="5"/>
  <c r="AL8" i="5"/>
  <c r="AL9" i="5"/>
  <c r="AL10" i="5"/>
  <c r="AL11" i="5"/>
  <c r="AL12" i="5"/>
  <c r="AL13" i="5"/>
  <c r="AL14" i="5"/>
  <c r="AK2" i="5"/>
  <c r="AK3" i="5"/>
  <c r="AK4" i="5"/>
  <c r="AK5" i="5"/>
  <c r="AK6" i="5"/>
  <c r="AK7" i="5"/>
  <c r="AK8" i="5"/>
  <c r="AK9" i="5"/>
  <c r="AK10" i="5"/>
  <c r="AK11" i="5"/>
  <c r="AK12" i="5"/>
  <c r="AK13" i="5"/>
  <c r="AK14" i="5"/>
  <c r="AJ2" i="5"/>
  <c r="AJ3" i="5"/>
  <c r="AJ4" i="5"/>
  <c r="AJ5" i="5"/>
  <c r="AJ6" i="5"/>
  <c r="AJ7" i="5"/>
  <c r="AJ8" i="5"/>
  <c r="AJ9" i="5"/>
  <c r="AJ10" i="5"/>
  <c r="AJ11" i="5"/>
  <c r="AJ12" i="5"/>
  <c r="AJ13" i="5"/>
  <c r="AJ14" i="5"/>
  <c r="AI2" i="5"/>
  <c r="AI3" i="5"/>
  <c r="AI4" i="5"/>
  <c r="AI5" i="5"/>
  <c r="AI6" i="5"/>
  <c r="AI7" i="5"/>
  <c r="AI8" i="5"/>
  <c r="AI9" i="5"/>
  <c r="AI10" i="5"/>
  <c r="AI11" i="5"/>
  <c r="AI12" i="5"/>
  <c r="AI13" i="5"/>
  <c r="AI14" i="5"/>
  <c r="AH2" i="5"/>
  <c r="AH4" i="5"/>
  <c r="AH3" i="5"/>
  <c r="AH5" i="5"/>
  <c r="AH6" i="5"/>
  <c r="AH7" i="5"/>
  <c r="AH8" i="5"/>
  <c r="AH9" i="5"/>
  <c r="AH10" i="5"/>
  <c r="AH11" i="5"/>
  <c r="AH12" i="5"/>
  <c r="AH13" i="5"/>
  <c r="AH14" i="5"/>
  <c r="BA23" i="5" l="1"/>
  <c r="BM3" i="5"/>
  <c r="BM4" i="5"/>
  <c r="BM5" i="5"/>
  <c r="BM6" i="5"/>
  <c r="BM7" i="5"/>
  <c r="BM8" i="5"/>
  <c r="BM9" i="5"/>
  <c r="BM10" i="5"/>
  <c r="BM11" i="5"/>
  <c r="BM12" i="5"/>
  <c r="BM13" i="5"/>
  <c r="BM14" i="5"/>
  <c r="BM2" i="5"/>
  <c r="BL3" i="5"/>
  <c r="BL4" i="5"/>
  <c r="BL5" i="5"/>
  <c r="BL6" i="5"/>
  <c r="BL7" i="5"/>
  <c r="BL8" i="5"/>
  <c r="BL9" i="5"/>
  <c r="BL10" i="5"/>
  <c r="BL11" i="5"/>
  <c r="BL12" i="5"/>
  <c r="BL13" i="5"/>
  <c r="BL14" i="5"/>
  <c r="BL2" i="5"/>
  <c r="BL23" i="5" s="1"/>
  <c r="BK3" i="5"/>
  <c r="BK4" i="5"/>
  <c r="BK5" i="5"/>
  <c r="BK6" i="5"/>
  <c r="BK7" i="5"/>
  <c r="BK8" i="5"/>
  <c r="BK9" i="5"/>
  <c r="BK10" i="5"/>
  <c r="BK11" i="5"/>
  <c r="BK12" i="5"/>
  <c r="BK13" i="5"/>
  <c r="BK14" i="5"/>
  <c r="BK2" i="5"/>
  <c r="BJ3" i="5"/>
  <c r="BJ4" i="5"/>
  <c r="BJ5" i="5"/>
  <c r="BJ6" i="5"/>
  <c r="BJ7" i="5"/>
  <c r="BJ8" i="5"/>
  <c r="BJ9" i="5"/>
  <c r="BJ10" i="5"/>
  <c r="BJ11" i="5"/>
  <c r="BJ12" i="5"/>
  <c r="BJ13" i="5"/>
  <c r="BJ14" i="5"/>
  <c r="BJ2" i="5"/>
  <c r="BI3" i="5"/>
  <c r="BI4" i="5"/>
  <c r="BI5" i="5"/>
  <c r="BI6" i="5"/>
  <c r="BI7" i="5"/>
  <c r="BI8" i="5"/>
  <c r="BI9" i="5"/>
  <c r="BI10" i="5"/>
  <c r="BI11" i="5"/>
  <c r="BI12" i="5"/>
  <c r="BI13" i="5"/>
  <c r="BI14" i="5"/>
  <c r="BI2" i="5"/>
  <c r="BH3" i="5"/>
  <c r="BH4" i="5"/>
  <c r="BH5" i="5"/>
  <c r="BH6" i="5"/>
  <c r="BH7" i="5"/>
  <c r="BH8" i="5"/>
  <c r="BH9" i="5"/>
  <c r="BH10" i="5"/>
  <c r="BH11" i="5"/>
  <c r="BH12" i="5"/>
  <c r="BH13" i="5"/>
  <c r="BH14" i="5"/>
  <c r="BH2" i="5"/>
  <c r="BH23" i="5" s="1"/>
  <c r="BG3" i="5"/>
  <c r="BG4" i="5"/>
  <c r="BG5" i="5"/>
  <c r="BG6" i="5"/>
  <c r="BG7" i="5"/>
  <c r="BG8" i="5"/>
  <c r="BG9" i="5"/>
  <c r="BG10" i="5"/>
  <c r="BG11" i="5"/>
  <c r="BG12" i="5"/>
  <c r="BG13" i="5"/>
  <c r="BG14" i="5"/>
  <c r="BG2" i="5"/>
  <c r="BF3" i="5"/>
  <c r="BF4" i="5"/>
  <c r="BF5" i="5"/>
  <c r="BF6" i="5"/>
  <c r="BF7" i="5"/>
  <c r="BF8" i="5"/>
  <c r="BF9" i="5"/>
  <c r="BF10" i="5"/>
  <c r="BF11" i="5"/>
  <c r="BF12" i="5"/>
  <c r="BF13" i="5"/>
  <c r="BF14" i="5"/>
  <c r="BF2" i="5"/>
  <c r="BK23" i="5" l="1"/>
  <c r="BM23" i="5"/>
  <c r="BJ23" i="5"/>
  <c r="BI23" i="5"/>
  <c r="BF23" i="5"/>
  <c r="BG23" i="5"/>
  <c r="CE23" i="5"/>
  <c r="CD23" i="5"/>
  <c r="BW7" i="5"/>
  <c r="BW2" i="5"/>
  <c r="BW3" i="5"/>
  <c r="BW4" i="5"/>
  <c r="BW5" i="5"/>
  <c r="BW6" i="5"/>
  <c r="BW8" i="5"/>
  <c r="BW9" i="5"/>
  <c r="BW10" i="5"/>
  <c r="BW11" i="5"/>
  <c r="BW12" i="5"/>
  <c r="BW13" i="5"/>
  <c r="BW14" i="5"/>
  <c r="AS2" i="5"/>
  <c r="BU2" i="5"/>
  <c r="BT2" i="5"/>
  <c r="BS2" i="5"/>
  <c r="BR2" i="5"/>
  <c r="Z4" i="5"/>
  <c r="AA4" i="5" s="1"/>
  <c r="Z3" i="5"/>
  <c r="AA3" i="5" s="1"/>
  <c r="Z2" i="5"/>
  <c r="AA2" i="5" s="1"/>
  <c r="AS14" i="5"/>
  <c r="AS3" i="5"/>
  <c r="AS4" i="5"/>
  <c r="AS5" i="5"/>
  <c r="AS6" i="5"/>
  <c r="AS7" i="5"/>
  <c r="AS8" i="5"/>
  <c r="AS9" i="5"/>
  <c r="AS10" i="5"/>
  <c r="AS11" i="5"/>
  <c r="AS12" i="5"/>
  <c r="AS13" i="5"/>
  <c r="AU23" i="5"/>
  <c r="AT23" i="5"/>
  <c r="P2" i="5"/>
  <c r="N2" i="5" s="1"/>
  <c r="BV2" i="5" l="1"/>
  <c r="BW23" i="5"/>
  <c r="CD25" i="5" s="1"/>
  <c r="O2" i="5"/>
  <c r="Z5" i="5"/>
  <c r="AA5" i="5" s="1"/>
  <c r="Z6" i="5"/>
  <c r="AA6" i="5" s="1"/>
  <c r="Z7" i="5"/>
  <c r="AA7" i="5" s="1"/>
  <c r="Z8" i="5"/>
  <c r="AA8" i="5" s="1"/>
  <c r="Z9" i="5"/>
  <c r="AA9" i="5" s="1"/>
  <c r="Z10" i="5"/>
  <c r="AA10" i="5" s="1"/>
  <c r="Z11" i="5"/>
  <c r="AA11" i="5" s="1"/>
  <c r="Z12" i="5"/>
  <c r="AA12" i="5" s="1"/>
  <c r="Z13" i="5"/>
  <c r="AA13" i="5" s="1"/>
  <c r="Z14" i="5"/>
  <c r="AA14" i="5" s="1"/>
  <c r="P3" i="5"/>
  <c r="P4" i="5"/>
  <c r="P5" i="5"/>
  <c r="P6" i="5"/>
  <c r="P7" i="5"/>
  <c r="P8" i="5"/>
  <c r="N8" i="5" s="1"/>
  <c r="P9" i="5"/>
  <c r="P10" i="5"/>
  <c r="P11" i="5"/>
  <c r="P12" i="5"/>
  <c r="P13" i="5"/>
  <c r="P14" i="5"/>
  <c r="Y3" i="7"/>
  <c r="T3" i="7"/>
  <c r="CD26" i="5" l="1"/>
  <c r="AA23" i="5"/>
  <c r="O10" i="5"/>
  <c r="N10" i="5"/>
  <c r="O12" i="5"/>
  <c r="N12" i="5"/>
  <c r="O3" i="5"/>
  <c r="N3" i="5"/>
  <c r="O7" i="5"/>
  <c r="N7" i="5"/>
  <c r="O11" i="5"/>
  <c r="N11" i="5"/>
  <c r="O14" i="5"/>
  <c r="N14" i="5"/>
  <c r="O6" i="5"/>
  <c r="N6" i="5"/>
  <c r="O4" i="5"/>
  <c r="N4" i="5"/>
  <c r="O9" i="5"/>
  <c r="N9" i="5"/>
  <c r="O8" i="5"/>
  <c r="O13" i="5"/>
  <c r="N13" i="5"/>
  <c r="O5" i="5"/>
  <c r="N5" i="5"/>
  <c r="BU3" i="5"/>
  <c r="BU4" i="5"/>
  <c r="BU5" i="5"/>
  <c r="BU6" i="5"/>
  <c r="BU7" i="5"/>
  <c r="BU8" i="5"/>
  <c r="BU9" i="5"/>
  <c r="BU10" i="5"/>
  <c r="BU11" i="5"/>
  <c r="BU12" i="5"/>
  <c r="BU13" i="5"/>
  <c r="BU14" i="5"/>
  <c r="BT3" i="5"/>
  <c r="BT4" i="5"/>
  <c r="BT5" i="5"/>
  <c r="BT6" i="5"/>
  <c r="BT7" i="5"/>
  <c r="BT8" i="5"/>
  <c r="BT9" i="5"/>
  <c r="BT10" i="5"/>
  <c r="BT11" i="5"/>
  <c r="BT12" i="5"/>
  <c r="BT13" i="5"/>
  <c r="BT14" i="5"/>
  <c r="BS3" i="5"/>
  <c r="BS4" i="5"/>
  <c r="BS5" i="5"/>
  <c r="BS6" i="5"/>
  <c r="BS7" i="5"/>
  <c r="BS8" i="5"/>
  <c r="BS9" i="5"/>
  <c r="BS10" i="5"/>
  <c r="BS11" i="5"/>
  <c r="BS12" i="5"/>
  <c r="BS13" i="5"/>
  <c r="BS14" i="5"/>
  <c r="BR3" i="5"/>
  <c r="BR4" i="5"/>
  <c r="BR5" i="5"/>
  <c r="BR6" i="5"/>
  <c r="BR7" i="5"/>
  <c r="BR8" i="5"/>
  <c r="BR9" i="5"/>
  <c r="BR10" i="5"/>
  <c r="BR11" i="5"/>
  <c r="BR12" i="5"/>
  <c r="BR13" i="5"/>
  <c r="BR14" i="5"/>
  <c r="CY23" i="5"/>
  <c r="CX23" i="5"/>
  <c r="CW23" i="5"/>
  <c r="CV23" i="5"/>
  <c r="N23" i="5" l="1"/>
  <c r="BV3" i="5"/>
  <c r="AP3" i="5" s="1"/>
  <c r="BV14" i="5"/>
  <c r="BV6" i="5"/>
  <c r="BV13" i="5"/>
  <c r="AP13" i="5" s="1"/>
  <c r="BV10" i="5"/>
  <c r="AP10" i="5" s="1"/>
  <c r="AP2" i="5"/>
  <c r="BV9" i="5"/>
  <c r="AP9" i="5" s="1"/>
  <c r="BV4" i="5"/>
  <c r="AP4" i="5" s="1"/>
  <c r="BV11" i="5"/>
  <c r="AP11" i="5" s="1"/>
  <c r="BV5" i="5"/>
  <c r="AP5" i="5" s="1"/>
  <c r="BV8" i="5"/>
  <c r="AP8" i="5" s="1"/>
  <c r="BV7" i="5"/>
  <c r="AP7" i="5" s="1"/>
  <c r="BV12" i="5"/>
  <c r="AP12" i="5" s="1"/>
  <c r="AP6" i="5"/>
  <c r="AP14" i="5"/>
  <c r="B23" i="5"/>
  <c r="I30" i="4"/>
  <c r="H30" i="4"/>
  <c r="G30" i="4"/>
  <c r="D30" i="4"/>
  <c r="CC2" i="5" l="1"/>
  <c r="CC3" i="5"/>
  <c r="CC4" i="5"/>
  <c r="CC5" i="5"/>
  <c r="CC6" i="5"/>
  <c r="CC7" i="5"/>
  <c r="CC8" i="5"/>
  <c r="CC9" i="5"/>
  <c r="CC10" i="5"/>
  <c r="CC11" i="5"/>
  <c r="CC12" i="5"/>
  <c r="CC13" i="5"/>
  <c r="CC14" i="5"/>
  <c r="CB2" i="5"/>
  <c r="CB3" i="5"/>
  <c r="CB4" i="5"/>
  <c r="CB5" i="5"/>
  <c r="CB6" i="5"/>
  <c r="CB7" i="5"/>
  <c r="CB8" i="5"/>
  <c r="CB9" i="5"/>
  <c r="CB10" i="5"/>
  <c r="CB11" i="5"/>
  <c r="CB12" i="5"/>
  <c r="CB13" i="5"/>
  <c r="CB14" i="5"/>
  <c r="CB23" i="5" l="1"/>
  <c r="CC23" i="5"/>
  <c r="CH2" i="5"/>
  <c r="CH3" i="5"/>
  <c r="CH4" i="5"/>
  <c r="CH5" i="5"/>
  <c r="CH6" i="5"/>
  <c r="CH7" i="5"/>
  <c r="CH8" i="5"/>
  <c r="CH9" i="5"/>
  <c r="CH10" i="5"/>
  <c r="CH11" i="5"/>
  <c r="CH12" i="5"/>
  <c r="CH13" i="5"/>
  <c r="CH14" i="5"/>
  <c r="CG2" i="5"/>
  <c r="CG3" i="5"/>
  <c r="CG4" i="5"/>
  <c r="CG5" i="5"/>
  <c r="CG6" i="5"/>
  <c r="CG7" i="5"/>
  <c r="CG8" i="5"/>
  <c r="CG9" i="5"/>
  <c r="CG10" i="5"/>
  <c r="CG11" i="5"/>
  <c r="CG12" i="5"/>
  <c r="CG13" i="5"/>
  <c r="CG14" i="5"/>
  <c r="D55" i="4" l="1"/>
  <c r="CJ23" i="5"/>
  <c r="CI23" i="5"/>
  <c r="T23" i="5" l="1"/>
  <c r="T27" i="5" s="1"/>
  <c r="S23" i="5"/>
  <c r="R23" i="5"/>
  <c r="Q23" i="5"/>
  <c r="Y23" i="5"/>
  <c r="X23" i="5"/>
  <c r="W23" i="5"/>
  <c r="V23" i="5"/>
  <c r="CP23" i="5"/>
  <c r="CO23" i="5"/>
  <c r="CN23" i="5"/>
  <c r="CM23" i="5"/>
  <c r="CL23" i="5"/>
  <c r="CK23" i="5"/>
  <c r="BQ23" i="5"/>
  <c r="BQ25" i="5" s="1"/>
  <c r="BP23" i="5"/>
  <c r="BP25" i="5" s="1"/>
  <c r="BO23" i="5"/>
  <c r="BO25" i="5" s="1"/>
  <c r="BN23" i="5"/>
  <c r="BE2" i="5"/>
  <c r="BE3" i="5"/>
  <c r="BE4" i="5"/>
  <c r="BE5" i="5"/>
  <c r="BE6" i="5"/>
  <c r="BE7" i="5"/>
  <c r="BE8" i="5"/>
  <c r="BE9" i="5"/>
  <c r="BE10" i="5"/>
  <c r="BE11" i="5"/>
  <c r="BE12" i="5"/>
  <c r="BE13" i="5"/>
  <c r="BE14" i="5"/>
  <c r="BD2" i="5"/>
  <c r="BD3" i="5"/>
  <c r="BD4" i="5"/>
  <c r="BD5" i="5"/>
  <c r="BD6" i="5"/>
  <c r="BD7" i="5"/>
  <c r="BD8" i="5"/>
  <c r="BD9" i="5"/>
  <c r="BD10" i="5"/>
  <c r="BD11" i="5"/>
  <c r="BD12" i="5"/>
  <c r="BD13" i="5"/>
  <c r="BD14" i="5"/>
  <c r="BC2" i="5"/>
  <c r="BC3" i="5"/>
  <c r="BC4" i="5"/>
  <c r="BC5" i="5"/>
  <c r="BC6" i="5"/>
  <c r="BC7" i="5"/>
  <c r="BC8" i="5"/>
  <c r="BC9" i="5"/>
  <c r="BC10" i="5"/>
  <c r="BC11" i="5"/>
  <c r="BC12" i="5"/>
  <c r="BC13" i="5"/>
  <c r="BC14" i="5"/>
  <c r="BB2" i="5"/>
  <c r="BB3" i="5"/>
  <c r="BB4" i="5"/>
  <c r="BB5" i="5"/>
  <c r="BB6" i="5"/>
  <c r="BB7" i="5"/>
  <c r="BB8" i="5"/>
  <c r="BB9" i="5"/>
  <c r="BB10" i="5"/>
  <c r="BB11" i="5"/>
  <c r="BB12" i="5"/>
  <c r="BB13" i="5"/>
  <c r="BB14" i="5"/>
  <c r="AV23" i="5"/>
  <c r="S25" i="5" s="1"/>
  <c r="R25" i="5" l="1"/>
  <c r="Q24" i="5"/>
  <c r="Q25" i="5"/>
  <c r="V25" i="5"/>
  <c r="R26" i="5"/>
  <c r="S26" i="5" s="1"/>
  <c r="W25" i="5"/>
  <c r="W26" i="5"/>
  <c r="X25" i="5"/>
  <c r="Y27" i="5"/>
  <c r="V24" i="5"/>
  <c r="BN25" i="5"/>
  <c r="BN26" i="5" s="1"/>
  <c r="BN24" i="5"/>
  <c r="CJ25" i="5"/>
  <c r="CL25" i="5" s="1"/>
  <c r="CA23" i="5"/>
  <c r="BZ23" i="5"/>
  <c r="BY23" i="5"/>
  <c r="BX23" i="5"/>
  <c r="Q26" i="5" l="1"/>
  <c r="BY24" i="5"/>
  <c r="BX24" i="5"/>
  <c r="BO24" i="5"/>
  <c r="BN31" i="5"/>
  <c r="CK25" i="5"/>
  <c r="CN25" i="5"/>
  <c r="AW23" i="5"/>
  <c r="AZ23" i="5"/>
  <c r="AY23" i="5"/>
  <c r="AX23" i="5"/>
  <c r="Y6" i="7"/>
  <c r="Y2" i="7"/>
  <c r="Y22" i="7"/>
  <c r="T22" i="7"/>
  <c r="Y21" i="7"/>
  <c r="T21" i="7"/>
  <c r="Y20" i="7"/>
  <c r="T20" i="7"/>
  <c r="Y19" i="7"/>
  <c r="T19" i="7"/>
  <c r="Y18" i="7"/>
  <c r="T18" i="7"/>
  <c r="Y17" i="7"/>
  <c r="T17" i="7"/>
  <c r="Y16" i="7"/>
  <c r="T16" i="7"/>
  <c r="Y15" i="7"/>
  <c r="T15" i="7"/>
  <c r="Y14" i="7"/>
  <c r="T14" i="7"/>
  <c r="Y13" i="7"/>
  <c r="T13" i="7"/>
  <c r="Y12" i="7"/>
  <c r="T12" i="7"/>
  <c r="Y11" i="7"/>
  <c r="T11" i="7"/>
  <c r="Y10" i="7"/>
  <c r="T10" i="7"/>
  <c r="Y9" i="7"/>
  <c r="T9" i="7"/>
  <c r="Y8" i="7"/>
  <c r="T8" i="7"/>
  <c r="Y7" i="7"/>
  <c r="T7" i="7"/>
  <c r="T6" i="7"/>
  <c r="Y5" i="7"/>
  <c r="T5" i="7"/>
  <c r="Y4" i="7"/>
  <c r="T4" i="7"/>
  <c r="T2" i="7"/>
  <c r="T25" i="5" l="1"/>
  <c r="Y25" i="5"/>
  <c r="AT24" i="5"/>
  <c r="Q27" i="5"/>
  <c r="V27" i="5"/>
  <c r="R27" i="5"/>
  <c r="W27" i="5"/>
  <c r="X27" i="5"/>
  <c r="S27" i="5"/>
  <c r="AT26" i="5"/>
  <c r="V28" i="5" s="1"/>
  <c r="AU24" i="5"/>
  <c r="AW24" i="5"/>
  <c r="AV24" i="5"/>
  <c r="M3" i="5" l="1"/>
  <c r="M4" i="5"/>
  <c r="M5" i="5"/>
  <c r="M6" i="5"/>
  <c r="M7" i="5"/>
  <c r="M8" i="5"/>
  <c r="M9" i="5"/>
  <c r="M10" i="5"/>
  <c r="M11" i="5"/>
  <c r="M12" i="5"/>
  <c r="M13" i="5"/>
  <c r="M14" i="5"/>
  <c r="M2" i="5"/>
  <c r="L3" i="5"/>
  <c r="L4" i="5"/>
  <c r="L5" i="5"/>
  <c r="L6" i="5"/>
  <c r="L7" i="5"/>
  <c r="L8" i="5"/>
  <c r="L9" i="5"/>
  <c r="L10" i="5"/>
  <c r="L11" i="5"/>
  <c r="L12" i="5"/>
  <c r="L13" i="5"/>
  <c r="L14" i="5"/>
  <c r="L2" i="5"/>
  <c r="K3" i="5"/>
  <c r="K4" i="5"/>
  <c r="K5" i="5"/>
  <c r="K6" i="5"/>
  <c r="K7" i="5"/>
  <c r="K8" i="5"/>
  <c r="K9" i="5"/>
  <c r="K10" i="5"/>
  <c r="K11" i="5"/>
  <c r="K12" i="5"/>
  <c r="K13" i="5"/>
  <c r="K14" i="5"/>
  <c r="K2" i="5"/>
  <c r="J23" i="5"/>
  <c r="H23" i="5"/>
  <c r="E23" i="5"/>
  <c r="C23" i="5"/>
  <c r="I23" i="5"/>
  <c r="N24" i="5" s="1"/>
  <c r="G23" i="5"/>
  <c r="F23" i="5"/>
  <c r="D23" i="5"/>
  <c r="AA24" i="5" l="1"/>
  <c r="F25" i="5"/>
  <c r="B24" i="5"/>
  <c r="B25" i="5"/>
  <c r="C24" i="5"/>
  <c r="D24" i="5"/>
  <c r="D25" i="5"/>
  <c r="C26" i="5"/>
  <c r="G24" i="5"/>
  <c r="G26" i="5"/>
  <c r="F24" i="5"/>
  <c r="E24" i="5"/>
  <c r="E26" i="5"/>
  <c r="D54" i="4" l="1"/>
  <c r="D40" i="4"/>
  <c r="N30" i="4"/>
  <c r="M30" i="4"/>
  <c r="L30" i="4"/>
  <c r="K30" i="4"/>
  <c r="J30" i="4"/>
  <c r="F30" i="4"/>
  <c r="E30" i="4"/>
</calcChain>
</file>

<file path=xl/comments1.xml><?xml version="1.0" encoding="utf-8"?>
<comments xmlns="http://schemas.openxmlformats.org/spreadsheetml/2006/main">
  <authors>
    <author>Sachin Parmar</author>
    <author>Author</author>
  </authors>
  <commentList>
    <comment ref="A11" authorId="0" shapeId="0">
      <text>
        <r>
          <rPr>
            <b/>
            <sz val="9"/>
            <color indexed="81"/>
            <rFont val="Tahoma"/>
            <family val="2"/>
          </rPr>
          <t>Sachin Parmar:</t>
        </r>
        <r>
          <rPr>
            <sz val="9"/>
            <color indexed="81"/>
            <rFont val="Tahoma"/>
            <family val="2"/>
          </rPr>
          <t xml:space="preserve">
Qunatity
</t>
        </r>
      </text>
    </comment>
    <comment ref="A16" authorId="0" shapeId="0">
      <text>
        <r>
          <rPr>
            <b/>
            <sz val="9"/>
            <color indexed="81"/>
            <rFont val="Tahoma"/>
            <family val="2"/>
          </rPr>
          <t>Sachin Parmar:</t>
        </r>
        <r>
          <rPr>
            <sz val="9"/>
            <color indexed="81"/>
            <rFont val="Tahoma"/>
            <family val="2"/>
          </rPr>
          <t xml:space="preserve">
Quality measure
</t>
        </r>
      </text>
    </comment>
    <comment ref="E16" authorId="1" shapeId="0">
      <text>
        <r>
          <rPr>
            <b/>
            <sz val="11"/>
            <color indexed="81"/>
            <rFont val="Tahoma"/>
            <family val="2"/>
          </rPr>
          <t xml:space="preserve">Revised GCV report received from lab and updated the same </t>
        </r>
      </text>
    </comment>
    <comment ref="F16" authorId="1" shapeId="0">
      <text>
        <r>
          <rPr>
            <b/>
            <sz val="11"/>
            <color indexed="81"/>
            <rFont val="Tahoma"/>
            <family val="2"/>
          </rPr>
          <t>Revised GCV report received from lab and updated the same</t>
        </r>
      </text>
    </comment>
    <comment ref="A28" authorId="0" shapeId="0">
      <text>
        <r>
          <rPr>
            <b/>
            <sz val="9"/>
            <color indexed="81"/>
            <rFont val="Tahoma"/>
            <family val="2"/>
          </rPr>
          <t>Sachin Parmar:</t>
        </r>
        <r>
          <rPr>
            <sz val="9"/>
            <color indexed="81"/>
            <rFont val="Tahoma"/>
            <family val="2"/>
          </rPr>
          <t xml:space="preserve">
Specific Steam Consumption
</t>
        </r>
      </text>
    </comment>
    <comment ref="E29" authorId="1" shapeId="0">
      <text>
        <r>
          <rPr>
            <b/>
            <sz val="11"/>
            <color indexed="81"/>
            <rFont val="Tahoma"/>
            <family val="2"/>
          </rPr>
          <t>STG stopped at 07:30 AM due to PH.</t>
        </r>
      </text>
    </comment>
    <comment ref="F29" authorId="1" shapeId="0">
      <text>
        <r>
          <rPr>
            <b/>
            <sz val="11"/>
            <color indexed="81"/>
            <rFont val="Tahoma"/>
            <family val="2"/>
          </rPr>
          <t xml:space="preserve">STG started at 06:52 AM.
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Sachin Parmar:</t>
        </r>
        <r>
          <rPr>
            <sz val="9"/>
            <color indexed="81"/>
            <rFont val="Tahoma"/>
            <family val="2"/>
          </rPr>
          <t xml:space="preserve">
Sum of 20,21,22,23</t>
        </r>
      </text>
    </comment>
    <comment ref="A40" authorId="0" shapeId="0">
      <text>
        <r>
          <rPr>
            <b/>
            <sz val="9"/>
            <color indexed="81"/>
            <rFont val="Tahoma"/>
            <family val="2"/>
          </rPr>
          <t>Sachin Parmar:</t>
        </r>
        <r>
          <rPr>
            <sz val="9"/>
            <color indexed="81"/>
            <rFont val="Tahoma"/>
            <family val="2"/>
          </rPr>
          <t xml:space="preserve">
Sum of 25,26,27,28
dedicated to 12MW
</t>
        </r>
      </text>
    </comment>
    <comment ref="D57" authorId="1" shapeId="0">
      <text>
        <r>
          <rPr>
            <b/>
            <sz val="11"/>
            <color indexed="81"/>
            <rFont val="Tahoma"/>
            <family val="2"/>
          </rPr>
          <t xml:space="preserve">Efficiency decreased due to coal consumption changed because of feeding coal quantity revised with consumption coal Vs bunker levels  </t>
        </r>
      </text>
    </comment>
    <comment ref="E57" authorId="1" shapeId="0">
      <text>
        <r>
          <rPr>
            <sz val="11"/>
            <color indexed="81"/>
            <rFont val="Tahoma"/>
            <family val="2"/>
          </rPr>
          <t xml:space="preserve">Efficiency decreased due to col consumption changed because start up fuel seperated as per the yesterday meeting </t>
        </r>
      </text>
    </comment>
    <comment ref="F57" authorId="1" shapeId="0">
      <text>
        <r>
          <rPr>
            <sz val="11"/>
            <color indexed="81"/>
            <rFont val="Tahoma"/>
            <family val="2"/>
          </rPr>
          <t xml:space="preserve">Efficiency decreased due to col consumption changed because start up fuel seperated as per the yesterday meeting 
</t>
        </r>
      </text>
    </comment>
  </commentList>
</comments>
</file>

<file path=xl/sharedStrings.xml><?xml version="1.0" encoding="utf-8"?>
<sst xmlns="http://schemas.openxmlformats.org/spreadsheetml/2006/main" count="603" uniqueCount="327">
  <si>
    <t>Date</t>
  </si>
  <si>
    <t>Gross Generation 12MW (MW)</t>
  </si>
  <si>
    <t>Aux  12MW (MW)</t>
  </si>
  <si>
    <t>Gross Generation 43 MW (MW)</t>
  </si>
  <si>
    <t>Aux  43MW (MW)</t>
  </si>
  <si>
    <t>Gross Generation 80 (MW)</t>
  </si>
  <si>
    <t>Aux  80 MW (MW)</t>
  </si>
  <si>
    <t>80 MW STG Running Hours (Hours)</t>
  </si>
  <si>
    <t>43 MW STG Running Hours (Hours)</t>
  </si>
  <si>
    <t>12 MW STG Running Hours (Hours)</t>
  </si>
  <si>
    <t>Coal -  Thermax 350 TPH (MT)</t>
  </si>
  <si>
    <t>Coal - ISGEC 350 TPH (MT)</t>
  </si>
  <si>
    <t>Coal - Thermax AFBC-2 105 TPH (MT)</t>
  </si>
  <si>
    <t>Coal - Thermax AFBC-1 105 TPH (MT)</t>
  </si>
  <si>
    <t>Coal CV 80 and 43 MW (Kcal/Kg)</t>
  </si>
  <si>
    <t>Lignite -  Thermax 350 TPH (MT)</t>
  </si>
  <si>
    <t>Lignite - ISGEC 350 TPH (MT)</t>
  </si>
  <si>
    <t>Lignite - Thermax AFBC-1 105 TPH (MT)</t>
  </si>
  <si>
    <t>Lignite - Thermax AFBC-2 105 TPH (MT)</t>
  </si>
  <si>
    <t>Lignite CV 80 amd 43 MW  (Kcal/Kg)</t>
  </si>
  <si>
    <t xml:space="preserve">Tail Gas (Hrs &amp; Volume) 80 and 43 </t>
  </si>
  <si>
    <t>BFG -  Thermax 350 TPH (HRS)</t>
  </si>
  <si>
    <t>BFG -  Thermax 350 TPH  (Nm3/hr)</t>
  </si>
  <si>
    <t>BFG -  Thermax 350 TPH (Density)</t>
  </si>
  <si>
    <t>BFG -  Thermax 350 TPH (CV)</t>
  </si>
  <si>
    <t>SSC 43MW</t>
  </si>
  <si>
    <t>SSC 80MW</t>
  </si>
  <si>
    <t>Thermax 350 TPH (Running Hrs)</t>
  </si>
  <si>
    <t>ISGEC 350 TPH(Running Hrs)</t>
  </si>
  <si>
    <t>Thermax AFBC-1 105 TPH(Running Hrs)</t>
  </si>
  <si>
    <t>Thermax AFBC-2 105 TPH(Running Hrs)</t>
  </si>
  <si>
    <t>WHRB-1 (MT)</t>
  </si>
  <si>
    <t>WHRB-2 (MT)</t>
  </si>
  <si>
    <t>WHRB-3 (MT)</t>
  </si>
  <si>
    <t>WHRB-4 (MT)</t>
  </si>
  <si>
    <t>Steam 30TPH(running Hrs)</t>
  </si>
  <si>
    <t>Steam 20 TPH(running Hrs)</t>
  </si>
  <si>
    <t>Steam 30TPH (MT)</t>
  </si>
  <si>
    <t>Steam 20 TPH (MT)</t>
  </si>
  <si>
    <t>Coal 12MW (MT)</t>
  </si>
  <si>
    <t>Dolochar 12MW (MT)</t>
  </si>
  <si>
    <t>NG Consumption (SCFM)</t>
  </si>
  <si>
    <t>Steam To Dearator (43MW)</t>
  </si>
  <si>
    <t>Steam To Dearator (80MW)</t>
  </si>
  <si>
    <t>Boiler Efficiency Thermax 350 TPH (%)</t>
  </si>
  <si>
    <t>Boiler Efficiency ISGEC CFBC (%)</t>
  </si>
  <si>
    <t>Boiler Efficiency Thermax AFBC-1 (%)</t>
  </si>
  <si>
    <t>Boiler Efficiency Thermax AFBC-2 (%)</t>
  </si>
  <si>
    <t>Boiler Efficiency Steam 20TPH (%)</t>
  </si>
  <si>
    <t>Boiler Efficiency Steam 30TPH (%)</t>
  </si>
  <si>
    <t>Net Enthalpy Thermax IR-CFBC (Kcal/Kg)</t>
  </si>
  <si>
    <t>Net Enthalpy ISGEC CFBC (Kcal/Kg)</t>
  </si>
  <si>
    <t>Net Enthalpy Thermax AFBC-1 (Kcal/Kg)</t>
  </si>
  <si>
    <t>Net Enthalpy Thermax AFBC-2 (Kcal/Kg)</t>
  </si>
  <si>
    <t>Net Enthalpy 30TPH/20TPH (Kcal/Kg)</t>
  </si>
  <si>
    <t>Thermax 350 TPH (MT)</t>
  </si>
  <si>
    <t>ISGEC 350 TPH (MT)</t>
  </si>
  <si>
    <t>Thermax AFBC-1 105 TPH (MT)</t>
  </si>
  <si>
    <t>Thermax AFBC-2 105 TPH (MT)</t>
  </si>
  <si>
    <t>Plant</t>
  </si>
  <si>
    <t>12 MW</t>
  </si>
  <si>
    <t>43 MW</t>
  </si>
  <si>
    <t>80 MW</t>
  </si>
  <si>
    <t>Boilers</t>
  </si>
  <si>
    <t>Fuel</t>
  </si>
  <si>
    <t>Coal</t>
  </si>
  <si>
    <t>Lignite</t>
  </si>
  <si>
    <t>Tail Gas</t>
  </si>
  <si>
    <t>DESCRIPTION</t>
  </si>
  <si>
    <t>Remark</t>
  </si>
  <si>
    <t>UOM</t>
  </si>
  <si>
    <t>Gross Generation 12MW</t>
  </si>
  <si>
    <t>MW</t>
  </si>
  <si>
    <t>Aux  12MW</t>
  </si>
  <si>
    <t>Gross Generation 43 MW</t>
  </si>
  <si>
    <t>Aux  43MW</t>
  </si>
  <si>
    <t>Gross Generation 80</t>
  </si>
  <si>
    <t>Aux  80 MW</t>
  </si>
  <si>
    <t>80 MW STG Running Hours</t>
  </si>
  <si>
    <t>Hours</t>
  </si>
  <si>
    <t>43 MW STG Running Hours</t>
  </si>
  <si>
    <t>12 MW STG Running Hours</t>
  </si>
  <si>
    <t>Coal 80 and 43 MW</t>
  </si>
  <si>
    <t>MT</t>
  </si>
  <si>
    <t>Coal -  Thermax 350 TPH</t>
  </si>
  <si>
    <t>Fuel Consumption</t>
  </si>
  <si>
    <t>Coal - ISGEC 350 TPH</t>
  </si>
  <si>
    <t>Coal - Thermax AFBC-1 105 TPH</t>
  </si>
  <si>
    <t>Coal - Thermax AFBC-2 105 TPH</t>
  </si>
  <si>
    <t>Coal CV 80 and 43 MW</t>
  </si>
  <si>
    <t>Quality</t>
  </si>
  <si>
    <t>Kcal/Kg</t>
  </si>
  <si>
    <t>Lignite 80 and 43 MW</t>
  </si>
  <si>
    <t>Lignite -  Thermax 350 TPH</t>
  </si>
  <si>
    <t>Lignite - ISGEC 350 TPH</t>
  </si>
  <si>
    <t>Lignite - Thermax AFBC-1 105 TPH</t>
  </si>
  <si>
    <t>Lignite - Thermax AFBC-2 105 TPH</t>
  </si>
  <si>
    <t>Lignite CV 80 amd 43 MW</t>
  </si>
  <si>
    <t>BFG -  Thermax 350 TPH</t>
  </si>
  <si>
    <t>HRS</t>
  </si>
  <si>
    <t>Nm3/hr</t>
  </si>
  <si>
    <t>Density</t>
  </si>
  <si>
    <t>Calorific Value</t>
  </si>
  <si>
    <t>Kg/KWH</t>
  </si>
  <si>
    <t>SSC 12MW</t>
  </si>
  <si>
    <t>Auto Calculation</t>
  </si>
  <si>
    <t>Steam Production</t>
  </si>
  <si>
    <t xml:space="preserve">Thermax 350 TPH </t>
  </si>
  <si>
    <t>ISGEC 350 TPH</t>
  </si>
  <si>
    <t>Thermax AFBC-1 105 TPH</t>
  </si>
  <si>
    <t>Thermax AFBC-2 105 TPH</t>
  </si>
  <si>
    <t>Steam WHRB</t>
  </si>
  <si>
    <t>WHRB-1</t>
  </si>
  <si>
    <t>WHRB-2</t>
  </si>
  <si>
    <t>WHRB-3</t>
  </si>
  <si>
    <t>WHRB-4</t>
  </si>
  <si>
    <t>Steam 30TPH</t>
  </si>
  <si>
    <t>Steam 20 TPH</t>
  </si>
  <si>
    <t>Coal 12MW</t>
  </si>
  <si>
    <t>Dolochar 12MW</t>
  </si>
  <si>
    <t>NG Consumption</t>
  </si>
  <si>
    <t>Start-up Fuel</t>
  </si>
  <si>
    <t>SCFM</t>
  </si>
  <si>
    <t>Calculated Col</t>
  </si>
  <si>
    <t>MT/Hrs</t>
  </si>
  <si>
    <t>Boiler Efficiency Thermax 350 TPH</t>
  </si>
  <si>
    <t>%</t>
  </si>
  <si>
    <t>Boiler Efficiency ISGEC CFBC</t>
  </si>
  <si>
    <t>Boiler Efficiency Thermax AFBC-1</t>
  </si>
  <si>
    <t>Boiler Efficiency Thermax AFBC-2</t>
  </si>
  <si>
    <t>Boiler Efficiency Steam 20TPH</t>
  </si>
  <si>
    <t>Boiler Efficiency Steam 30TPH</t>
  </si>
  <si>
    <t>Net Enthalpy Thermax IR-CFBC</t>
  </si>
  <si>
    <t>Net Enthalpy ISGEC CFBC</t>
  </si>
  <si>
    <t>Net Enthalpy Thermax AFBC-1</t>
  </si>
  <si>
    <t>Net Enthalpy Thermax AFBC-2</t>
  </si>
  <si>
    <t>Net Enthalpy 30TPH/20TPH</t>
  </si>
  <si>
    <t>x</t>
  </si>
  <si>
    <t>y</t>
  </si>
  <si>
    <t>w</t>
  </si>
  <si>
    <t>h</t>
  </si>
  <si>
    <t>12mw</t>
  </si>
  <si>
    <t>Sum</t>
  </si>
  <si>
    <t>Rate_MW/Hr</t>
  </si>
  <si>
    <t>gross gen</t>
  </si>
  <si>
    <t>Rate gross</t>
  </si>
  <si>
    <t>Aux gross</t>
  </si>
  <si>
    <t>per</t>
  </si>
  <si>
    <t>chart</t>
  </si>
  <si>
    <t>12mw Arrow</t>
  </si>
  <si>
    <t>43mw Arrow</t>
  </si>
  <si>
    <t>80mw Arrow</t>
  </si>
  <si>
    <t>Per Aux</t>
  </si>
  <si>
    <t>80Gross Gen(MW/Hr)</t>
  </si>
  <si>
    <t>80Aux Gen(MW/Hr)</t>
  </si>
  <si>
    <t>80Per Aux</t>
  </si>
  <si>
    <t xml:space="preserve">Bullet points </t>
  </si>
  <si>
    <t>- 3 Generation Unit (12 MW, 43 MW , 80MW)
- 4 Boiler (Thermax 350 TPH || ISGEC 350 TPH || Thermax AFBC-1 105 TPH || Thermax AFBC-2 105 TPH)
- 6 boilers dedicated to 12MW generation plant( WHRB-1 || WHRB-2 || WHRB-3 || WHRB-4 || Steam 30TPH || Steam 20TPH )
- 3 Fuels ( Coal || Lignite || Tailgas )
- Tail Gas Values
- 2 Quality Measures for Coal and Lignite
- 2 SSC( Specific Steam Consumption) for 43-80MW ( Calculated for 12MW)
- Seperate fules for 12 MW plant (coal and dolochar)
- NG consumption (sometimes used- Start-Up Fuel)
- Steam to Derator for 43 and 80 MW
- Operational parameters (Efficiency and Net Enthalpy)</t>
  </si>
  <si>
    <t>Sr. No</t>
  </si>
  <si>
    <t>KPI Title</t>
  </si>
  <si>
    <t>Calculations</t>
  </si>
  <si>
    <t>Gross Generation Rate(MW/HR)</t>
  </si>
  <si>
    <t>Gross generation/ STG Running Hours</t>
  </si>
  <si>
    <t>Aux Rate (MW/HR)</t>
  </si>
  <si>
    <t>Aux / STG Running Hours</t>
  </si>
  <si>
    <t>Aux Power Percentage(%)</t>
  </si>
  <si>
    <t>Aux/Gross generation</t>
  </si>
  <si>
    <t>Usable Gross Power (%)</t>
  </si>
  <si>
    <t>100 % - Aux power pecentage(%)</t>
  </si>
  <si>
    <t>Steam Consumption (TPH)</t>
  </si>
  <si>
    <t>Thermax 350 TPH (MT) / Thermax 350 TPH (Running Hrs)</t>
  </si>
  <si>
    <t>Do it for 4 Boilers</t>
  </si>
  <si>
    <t xml:space="preserve"> Steam 30TPH Generation rate (TPH)</t>
  </si>
  <si>
    <t>Steam 30TPH (MT) / Steam 30TPH(running Hrs)</t>
  </si>
  <si>
    <t xml:space="preserve"> Steam 20TPH Generation rate (TPH)</t>
  </si>
  <si>
    <t>Steam 20TPH (MT) / Steam 20TPH(running Hrs)</t>
  </si>
  <si>
    <t xml:space="preserve"> Total WHRB Consumption (MW)</t>
  </si>
  <si>
    <t>Sum (WHRB-1 to 4)</t>
  </si>
  <si>
    <t>Fuel Consumption / Boiler</t>
  </si>
  <si>
    <t>Do it for 3 fules and 4 boilers</t>
  </si>
  <si>
    <t>Tail Gas KPIs</t>
  </si>
  <si>
    <t>as it is</t>
  </si>
  <si>
    <t xml:space="preserve">Quality Measures </t>
  </si>
  <si>
    <t>Steam to Derator Rate(MT/HR)</t>
  </si>
  <si>
    <t>Steam To Dearator (43MW)/24</t>
  </si>
  <si>
    <t>do it for other derator</t>
  </si>
  <si>
    <t>Boiler Efficiency(%)</t>
  </si>
  <si>
    <t>do it for all bolilers</t>
  </si>
  <si>
    <t>net Enthalphy</t>
  </si>
  <si>
    <t>Completed</t>
  </si>
  <si>
    <t>Coal 80 and 43 MW (MT)</t>
  </si>
  <si>
    <t>Lignite 80 and 43 MW (MT)</t>
  </si>
  <si>
    <t>Tail Gas (Hrs &amp; Volume) 80 and 43  (HRS)</t>
  </si>
  <si>
    <t>Tail Gas (Hrs &amp; Volume) 80 and 44 (Nm3/hr)</t>
  </si>
  <si>
    <t>Lignite CV 80 amd 43 MW (Kcal/Kg)</t>
  </si>
  <si>
    <t>SSC 43MW (Kg/KWH)</t>
  </si>
  <si>
    <t>SSC 80MW (Kg/KWH)</t>
  </si>
  <si>
    <t>SSC 12MW (Kg/KWH)</t>
  </si>
  <si>
    <t>Steam Production (MT)</t>
  </si>
  <si>
    <t>Thermax 350 TPH  (MT)</t>
  </si>
  <si>
    <t>Steam WHRB (MT)</t>
  </si>
  <si>
    <t>Steam To Dearator (43MW) (MT)</t>
  </si>
  <si>
    <t>Steam To Dearator (80MW) (MT)</t>
  </si>
  <si>
    <t>Sum Bolier</t>
  </si>
  <si>
    <t>Con of Boiler</t>
  </si>
  <si>
    <t>Avg Gross Gen.</t>
  </si>
  <si>
    <t xml:space="preserve">12 mw arrow </t>
  </si>
  <si>
    <t xml:space="preserve">80 mw </t>
  </si>
  <si>
    <t>panel</t>
  </si>
  <si>
    <t>Steam con Thermax 350 TPH (MT)2</t>
  </si>
  <si>
    <t>Steam con ISGEC 350 TPH (MT)2</t>
  </si>
  <si>
    <t>Steam con Thermax AFBC-1 105 TPH (MT)2</t>
  </si>
  <si>
    <t>Steam con Thermax AFBC-2 105 TPH (MT)2</t>
  </si>
  <si>
    <t>Lignite con Thermax 350 TPH (MT)222</t>
  </si>
  <si>
    <t>Lignite con ISGEC 350 TPH (MT)233</t>
  </si>
  <si>
    <t>Lignite con Thermax AFBC-1 105 TPH (MT)244</t>
  </si>
  <si>
    <t>Lignite con Thermax AFBC-2 105 TPH (MT)255</t>
  </si>
  <si>
    <t>steam Thermax</t>
  </si>
  <si>
    <t>it is used for Thermax - 350 TPH</t>
  </si>
  <si>
    <t>Specific Steam cons.(SSC)</t>
  </si>
  <si>
    <t>43 &amp; 80MW</t>
  </si>
  <si>
    <t>Auto Calculated</t>
  </si>
  <si>
    <t>12MW</t>
  </si>
  <si>
    <t>Boiler Efficiency</t>
  </si>
  <si>
    <t>Boiler Net Enthalpy</t>
  </si>
  <si>
    <t>Specific Steam cons. For 80 &amp; 43MW Plant</t>
  </si>
  <si>
    <t>Steam Con.TPH Boiler wise</t>
  </si>
  <si>
    <t>Steam to Dearetor 80 &amp; 43MW Plant</t>
  </si>
  <si>
    <t>MT/24</t>
  </si>
  <si>
    <t>Thermax-350</t>
  </si>
  <si>
    <t>Steam To Dearator (43MW)2</t>
  </si>
  <si>
    <t>Steam To Dearator (80MW)3</t>
  </si>
  <si>
    <t>Steam To Dearator (80MW)/24</t>
  </si>
  <si>
    <t>Boilers Report for 80 &amp; 43 MW plant</t>
  </si>
  <si>
    <t>Boilers Report for 12MW plant</t>
  </si>
  <si>
    <t>Total Steam Generate</t>
  </si>
  <si>
    <t>Sum of 4 Boilers</t>
  </si>
  <si>
    <t>Steam 30 &amp; 20 TPH</t>
  </si>
  <si>
    <t>Gross/Running hrs</t>
  </si>
  <si>
    <t>Steam Con 30TPH (MT)2</t>
  </si>
  <si>
    <t>Steam Con 20 TPH (MT)3</t>
  </si>
  <si>
    <t>Power-V1</t>
  </si>
  <si>
    <t>Frame-14</t>
  </si>
  <si>
    <t>Boiler.11</t>
  </si>
  <si>
    <t>First Boiler</t>
  </si>
  <si>
    <t>12mw Boiler</t>
  </si>
  <si>
    <t>Boiler12mw_3</t>
  </si>
  <si>
    <t xml:space="preserve">Coal Cons for  4 Boilers </t>
  </si>
  <si>
    <t>SSC 12MW Cons</t>
  </si>
  <si>
    <t>SSC 43MW2</t>
  </si>
  <si>
    <t>SSC for 12MW</t>
  </si>
  <si>
    <t>Boiler Eficiency</t>
  </si>
  <si>
    <t>Net Enthalpy</t>
  </si>
  <si>
    <t>Front Frame</t>
  </si>
  <si>
    <t>Gross gen</t>
  </si>
  <si>
    <t>MW/Hr</t>
  </si>
  <si>
    <t>Aux</t>
  </si>
  <si>
    <t>Per</t>
  </si>
  <si>
    <t>Day Visual</t>
  </si>
  <si>
    <t>Frame</t>
  </si>
  <si>
    <t>Front4</t>
  </si>
  <si>
    <t>Published Frame</t>
  </si>
  <si>
    <t>Power Gen</t>
  </si>
  <si>
    <t>Front frame all</t>
  </si>
  <si>
    <t>Front_Frame4</t>
  </si>
  <si>
    <t>Dearator</t>
  </si>
  <si>
    <t>Efi</t>
  </si>
  <si>
    <t>Boiler Efi</t>
  </si>
  <si>
    <t>Steam Pro</t>
  </si>
  <si>
    <t>Net</t>
  </si>
  <si>
    <t>Dea</t>
  </si>
  <si>
    <t>H</t>
  </si>
  <si>
    <t>Button</t>
  </si>
  <si>
    <t>Isgec</t>
  </si>
  <si>
    <t>thermax</t>
  </si>
  <si>
    <t>afbc-1</t>
  </si>
  <si>
    <t>afbc-2</t>
  </si>
  <si>
    <t>Boiler frame</t>
  </si>
  <si>
    <t>isgec</t>
  </si>
  <si>
    <t>steam</t>
  </si>
  <si>
    <t>WHRB-1 Running Hr</t>
  </si>
  <si>
    <t>WHRB-2 Running Hr</t>
  </si>
  <si>
    <t>WHRB-3 Running Hr</t>
  </si>
  <si>
    <t>WHRB-4 Running Hr</t>
  </si>
  <si>
    <t>Steam Pro(TPH)</t>
  </si>
  <si>
    <t>Comulitive</t>
  </si>
  <si>
    <t>Pro(TPH)WHRB-1 (MT)</t>
  </si>
  <si>
    <t>Pro(TPH)WHRB-2(MT)</t>
  </si>
  <si>
    <t>Pro(TPH)WHRB-3 (MT)</t>
  </si>
  <si>
    <t>Pro(TPH)WHRB-4 (MT)</t>
  </si>
  <si>
    <t>Sum WHRB TPH</t>
  </si>
  <si>
    <t>whrb</t>
  </si>
  <si>
    <t xml:space="preserve">Lignite Cons for  4 Boilers </t>
  </si>
  <si>
    <t xml:space="preserve">Tail Gas </t>
  </si>
  <si>
    <t>Used for Thermax-350 TPH</t>
  </si>
  <si>
    <t>Quality of both fuel</t>
  </si>
  <si>
    <t>Sum total coal</t>
  </si>
  <si>
    <t>Sum of Lignite</t>
  </si>
  <si>
    <t>Click above button to Swith 80-43MW and 12MW Plant</t>
  </si>
  <si>
    <t>Total Steam 80-43MW</t>
  </si>
  <si>
    <t>Total Fuel</t>
  </si>
  <si>
    <t>Coal Con 80-43 MW</t>
  </si>
  <si>
    <t>Lignite Cons.</t>
  </si>
  <si>
    <t>Coal Con 80-43MW</t>
  </si>
  <si>
    <t>Steam 0f 80-43MW</t>
  </si>
  <si>
    <t>Ratio of Coal 80-43MW</t>
  </si>
  <si>
    <t>Ratio of Lignite 80-43MW2</t>
  </si>
  <si>
    <t>Coal Ratio</t>
  </si>
  <si>
    <t>Ratio Lignite</t>
  </si>
  <si>
    <t>Steam Gen.12MW</t>
  </si>
  <si>
    <t>Coal Con 12MW</t>
  </si>
  <si>
    <t>Dolochar Con 12MW</t>
  </si>
  <si>
    <t>Steam/lignite pr Boiler</t>
  </si>
  <si>
    <t>Coal con ISGEC 350 TPH (MT)</t>
  </si>
  <si>
    <t>Coal con Thermax 350 TPH (MT)</t>
  </si>
  <si>
    <t>Coal con Thermax AFBC-1 105 TPH (MT)</t>
  </si>
  <si>
    <t>Coal con Thermax AFBC-2 105 TPH (MT)</t>
  </si>
  <si>
    <t>Coal Cons.</t>
  </si>
  <si>
    <t>Ratio Coal</t>
  </si>
  <si>
    <t>Ratio Coal -  Thermax 350 TPH (MT)</t>
  </si>
  <si>
    <t>Ratio Coal - ISGEC 350 TPH (MT)</t>
  </si>
  <si>
    <t>Ratio Coal - Thermax AFBC-1 105 TPH (MT)</t>
  </si>
  <si>
    <t>Ratio Coal - Thermax AFBC-2 105 TPH (MT)</t>
  </si>
  <si>
    <t>Ratio Lignite -  Thermax 350 TPH (MT)</t>
  </si>
  <si>
    <t>Ratio Lignite - ISGEC 350 TPH (MT)</t>
  </si>
  <si>
    <t>Ratio Lignite - Thermax AFBC-1 105 TPH (MT)</t>
  </si>
  <si>
    <t>Ratio Lignite - Thermax AFBC-2 105 TPH (MT)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</si>
</sst>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theme="0"/>
      <name val="Calibri"/>
      <family val="2"/>
    </font>
    <font>
      <sz val="10"/>
      <color rgb="FF000000"/>
      <name val="Calibri"/>
      <family val="2"/>
    </font>
    <font>
      <sz val="11"/>
      <name val="Calibri"/>
      <family val="2"/>
      <scheme val="minor"/>
    </font>
    <font>
      <b/>
      <sz val="10"/>
      <color theme="5" tint="-0.249977111117893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indexed="81"/>
      <name val="Tahoma"/>
      <family val="2"/>
    </font>
    <font>
      <sz val="11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0"/>
      <name val="Calibri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-0.499984740745262"/>
        <bgColor indexed="64"/>
      </patternFill>
    </fill>
  </fills>
  <borders count="13">
    <border>
      <left/>
      <right/>
      <top/>
      <bottom/>
      <diagonal/>
    </border>
    <border>
      <left/>
      <right style="thin">
        <color theme="8"/>
      </right>
      <top/>
      <bottom style="medium">
        <color theme="8"/>
      </bottom>
      <diagonal/>
    </border>
    <border>
      <left style="thin">
        <color theme="8"/>
      </left>
      <right style="thin">
        <color theme="8"/>
      </right>
      <top/>
      <bottom style="medium">
        <color theme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8"/>
      </left>
      <right style="thin">
        <color theme="8"/>
      </right>
      <top/>
      <bottom style="medium">
        <color rgb="FF4472C4"/>
      </bottom>
      <diagonal/>
    </border>
  </borders>
  <cellStyleXfs count="2">
    <xf numFmtId="0" fontId="0" fillId="0" borderId="0"/>
    <xf numFmtId="9" fontId="16" fillId="0" borderId="0" applyFont="0" applyFill="0" applyBorder="0" applyAlignment="0" applyProtection="0"/>
  </cellStyleXfs>
  <cellXfs count="111">
    <xf numFmtId="0" fontId="0" fillId="0" borderId="0" xfId="0"/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0" fontId="4" fillId="0" borderId="0" xfId="0" applyFont="1"/>
    <xf numFmtId="0" fontId="5" fillId="11" borderId="3" xfId="0" applyFont="1" applyFill="1" applyBorder="1" applyAlignment="1">
      <alignment horizontal="center" vertical="center" wrapText="1"/>
    </xf>
    <xf numFmtId="14" fontId="5" fillId="11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12" borderId="4" xfId="0" applyFont="1" applyFill="1" applyBorder="1" applyAlignment="1">
      <alignment horizontal="left" vertical="center" wrapText="1"/>
    </xf>
    <xf numFmtId="0" fontId="6" fillId="12" borderId="5" xfId="0" applyFont="1" applyFill="1" applyBorder="1" applyAlignment="1">
      <alignment horizontal="left" vertical="center" wrapText="1"/>
    </xf>
    <xf numFmtId="0" fontId="6" fillId="12" borderId="6" xfId="0" applyFont="1" applyFill="1" applyBorder="1" applyAlignment="1">
      <alignment horizontal="center" vertical="center" wrapText="1"/>
    </xf>
    <xf numFmtId="2" fontId="7" fillId="12" borderId="7" xfId="0" applyNumberFormat="1" applyFont="1" applyFill="1" applyBorder="1" applyAlignment="1">
      <alignment horizontal="center" vertical="center" wrapText="1"/>
    </xf>
    <xf numFmtId="2" fontId="7" fillId="11" borderId="7" xfId="0" applyNumberFormat="1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6" fillId="12" borderId="8" xfId="0" applyFont="1" applyFill="1" applyBorder="1" applyAlignment="1">
      <alignment horizontal="left" vertical="center" wrapText="1"/>
    </xf>
    <xf numFmtId="0" fontId="6" fillId="12" borderId="8" xfId="0" applyFont="1" applyFill="1" applyBorder="1" applyAlignment="1">
      <alignment horizontal="center" vertical="center" wrapText="1"/>
    </xf>
    <xf numFmtId="2" fontId="7" fillId="12" borderId="8" xfId="0" applyNumberFormat="1" applyFont="1" applyFill="1" applyBorder="1" applyAlignment="1">
      <alignment horizontal="center" vertical="center" wrapText="1"/>
    </xf>
    <xf numFmtId="2" fontId="7" fillId="11" borderId="8" xfId="0" applyNumberFormat="1" applyFont="1" applyFill="1" applyBorder="1" applyAlignment="1">
      <alignment horizontal="center" vertical="center" wrapText="1"/>
    </xf>
    <xf numFmtId="2" fontId="0" fillId="12" borderId="8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8" fillId="13" borderId="8" xfId="0" applyFont="1" applyFill="1" applyBorder="1" applyAlignment="1">
      <alignment horizontal="left" vertical="center" wrapText="1"/>
    </xf>
    <xf numFmtId="0" fontId="6" fillId="11" borderId="8" xfId="0" applyFont="1" applyFill="1" applyBorder="1" applyAlignment="1">
      <alignment horizontal="left" vertical="center" wrapText="1"/>
    </xf>
    <xf numFmtId="0" fontId="6" fillId="11" borderId="8" xfId="0" applyFont="1" applyFill="1" applyBorder="1" applyAlignment="1">
      <alignment horizontal="center" vertical="center" wrapText="1"/>
    </xf>
    <xf numFmtId="0" fontId="6" fillId="14" borderId="8" xfId="0" applyFont="1" applyFill="1" applyBorder="1" applyAlignment="1">
      <alignment horizontal="left" vertical="center" wrapText="1"/>
    </xf>
    <xf numFmtId="0" fontId="9" fillId="11" borderId="9" xfId="0" applyFont="1" applyFill="1" applyBorder="1" applyAlignment="1">
      <alignment horizontal="left" vertical="center" wrapText="1"/>
    </xf>
    <xf numFmtId="0" fontId="6" fillId="15" borderId="8" xfId="0" applyFont="1" applyFill="1" applyBorder="1" applyAlignment="1">
      <alignment horizontal="left" vertical="center" wrapText="1"/>
    </xf>
    <xf numFmtId="0" fontId="9" fillId="11" borderId="8" xfId="0" applyFont="1" applyFill="1" applyBorder="1" applyAlignment="1">
      <alignment horizontal="left" vertical="center" wrapText="1"/>
    </xf>
    <xf numFmtId="0" fontId="6" fillId="14" borderId="8" xfId="0" applyFont="1" applyFill="1" applyBorder="1" applyAlignment="1">
      <alignment horizontal="center" vertical="center" wrapText="1"/>
    </xf>
    <xf numFmtId="2" fontId="3" fillId="0" borderId="8" xfId="0" applyNumberFormat="1" applyFont="1" applyBorder="1" applyAlignment="1">
      <alignment horizontal="center" vertical="center"/>
    </xf>
    <xf numFmtId="2" fontId="10" fillId="0" borderId="8" xfId="0" applyNumberFormat="1" applyFont="1" applyBorder="1" applyAlignment="1">
      <alignment horizontal="center" vertical="center"/>
    </xf>
    <xf numFmtId="0" fontId="11" fillId="11" borderId="8" xfId="0" applyFont="1" applyFill="1" applyBorder="1" applyAlignment="1">
      <alignment horizontal="left" vertical="center" wrapText="1"/>
    </xf>
    <xf numFmtId="0" fontId="6" fillId="16" borderId="8" xfId="0" applyFont="1" applyFill="1" applyBorder="1" applyAlignment="1">
      <alignment horizontal="center" vertical="center" wrapText="1"/>
    </xf>
    <xf numFmtId="2" fontId="0" fillId="16" borderId="8" xfId="0" applyNumberFormat="1" applyFill="1" applyBorder="1" applyAlignment="1">
      <alignment horizontal="center" vertical="center"/>
    </xf>
    <xf numFmtId="2" fontId="7" fillId="17" borderId="8" xfId="0" applyNumberFormat="1" applyFont="1" applyFill="1" applyBorder="1" applyAlignment="1">
      <alignment horizontal="center" vertical="center" wrapText="1"/>
    </xf>
    <xf numFmtId="0" fontId="6" fillId="17" borderId="8" xfId="0" applyFont="1" applyFill="1" applyBorder="1" applyAlignment="1">
      <alignment horizontal="left" vertical="center" wrapText="1"/>
    </xf>
    <xf numFmtId="2" fontId="7" fillId="15" borderId="8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6" fillId="17" borderId="9" xfId="0" applyFont="1" applyFill="1" applyBorder="1" applyAlignment="1">
      <alignment horizontal="left" vertical="center" wrapText="1"/>
    </xf>
    <xf numFmtId="0" fontId="6" fillId="11" borderId="9" xfId="0" applyFont="1" applyFill="1" applyBorder="1" applyAlignment="1">
      <alignment horizontal="left" vertical="center" wrapText="1"/>
    </xf>
    <xf numFmtId="2" fontId="7" fillId="11" borderId="9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6" fillId="11" borderId="9" xfId="0" applyFont="1" applyFill="1" applyBorder="1" applyAlignment="1">
      <alignment horizontal="center" vertical="center" wrapText="1"/>
    </xf>
    <xf numFmtId="0" fontId="6" fillId="11" borderId="3" xfId="0" applyFont="1" applyFill="1" applyBorder="1" applyAlignment="1">
      <alignment horizontal="left" vertical="center" wrapText="1"/>
    </xf>
    <xf numFmtId="0" fontId="6" fillId="11" borderId="10" xfId="0" applyFont="1" applyFill="1" applyBorder="1" applyAlignment="1">
      <alignment horizontal="left" vertical="center" wrapText="1"/>
    </xf>
    <xf numFmtId="0" fontId="6" fillId="11" borderId="10" xfId="0" applyFont="1" applyFill="1" applyBorder="1" applyAlignment="1">
      <alignment horizontal="center" vertical="center" wrapText="1"/>
    </xf>
    <xf numFmtId="0" fontId="6" fillId="18" borderId="9" xfId="0" applyFont="1" applyFill="1" applyBorder="1" applyAlignment="1">
      <alignment horizontal="left" vertical="center" wrapText="1"/>
    </xf>
    <xf numFmtId="0" fontId="6" fillId="18" borderId="8" xfId="0" applyFont="1" applyFill="1" applyBorder="1" applyAlignment="1">
      <alignment horizontal="left" vertical="center" wrapText="1"/>
    </xf>
    <xf numFmtId="0" fontId="6" fillId="18" borderId="8" xfId="0" applyFont="1" applyFill="1" applyBorder="1" applyAlignment="1">
      <alignment horizontal="center" vertical="center" wrapText="1"/>
    </xf>
    <xf numFmtId="0" fontId="6" fillId="18" borderId="3" xfId="0" applyFont="1" applyFill="1" applyBorder="1" applyAlignment="1">
      <alignment horizontal="left" vertical="center" wrapText="1"/>
    </xf>
    <xf numFmtId="0" fontId="6" fillId="19" borderId="8" xfId="0" applyFont="1" applyFill="1" applyBorder="1" applyAlignment="1">
      <alignment horizontal="left" vertical="center" wrapText="1"/>
    </xf>
    <xf numFmtId="0" fontId="6" fillId="19" borderId="8" xfId="0" applyFont="1" applyFill="1" applyBorder="1" applyAlignment="1">
      <alignment horizontal="center" vertical="center" wrapText="1"/>
    </xf>
    <xf numFmtId="2" fontId="7" fillId="19" borderId="8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164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165" fontId="0" fillId="18" borderId="0" xfId="0" applyNumberFormat="1" applyFill="1"/>
    <xf numFmtId="165" fontId="0" fillId="14" borderId="0" xfId="0" applyNumberFormat="1" applyFill="1"/>
    <xf numFmtId="165" fontId="0" fillId="20" borderId="0" xfId="0" applyNumberFormat="1" applyFill="1"/>
    <xf numFmtId="2" fontId="0" fillId="0" borderId="0" xfId="0" applyNumberFormat="1"/>
    <xf numFmtId="165" fontId="0" fillId="21" borderId="0" xfId="0" applyNumberFormat="1" applyFill="1"/>
    <xf numFmtId="0" fontId="0" fillId="15" borderId="8" xfId="0" applyFill="1" applyBorder="1" applyAlignment="1">
      <alignment horizontal="center" vertical="center"/>
    </xf>
    <xf numFmtId="0" fontId="0" fillId="0" borderId="8" xfId="0" quotePrefix="1" applyBorder="1" applyAlignment="1">
      <alignment horizontal="left" vertical="center" wrapText="1"/>
    </xf>
    <xf numFmtId="0" fontId="0" fillId="14" borderId="0" xfId="0" applyFill="1" applyAlignment="1">
      <alignment horizontal="center" vertical="center"/>
    </xf>
    <xf numFmtId="165" fontId="0" fillId="0" borderId="0" xfId="1" applyNumberFormat="1" applyFont="1"/>
    <xf numFmtId="0" fontId="0" fillId="0" borderId="0" xfId="0" applyNumberFormat="1"/>
    <xf numFmtId="0" fontId="0" fillId="22" borderId="0" xfId="0" applyFill="1"/>
    <xf numFmtId="0" fontId="0" fillId="2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3" borderId="0" xfId="0" applyFont="1" applyFill="1" applyAlignment="1">
      <alignment horizontal="center" vertical="center" wrapText="1"/>
    </xf>
    <xf numFmtId="0" fontId="17" fillId="7" borderId="0" xfId="0" applyFont="1" applyFill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65" fontId="0" fillId="24" borderId="0" xfId="0" applyNumberFormat="1" applyFill="1"/>
    <xf numFmtId="0" fontId="18" fillId="0" borderId="0" xfId="0" applyFont="1"/>
    <xf numFmtId="1" fontId="0" fillId="0" borderId="0" xfId="0" applyNumberFormat="1"/>
    <xf numFmtId="0" fontId="2" fillId="12" borderId="2" xfId="0" applyFont="1" applyFill="1" applyBorder="1" applyAlignment="1">
      <alignment horizontal="center" vertical="center" wrapText="1"/>
    </xf>
    <xf numFmtId="0" fontId="2" fillId="25" borderId="2" xfId="0" applyFont="1" applyFill="1" applyBorder="1" applyAlignment="1">
      <alignment horizontal="center" vertical="center" wrapText="1"/>
    </xf>
    <xf numFmtId="1" fontId="0" fillId="12" borderId="0" xfId="0" applyNumberFormat="1" applyFill="1"/>
    <xf numFmtId="9" fontId="0" fillId="0" borderId="0" xfId="1" applyFont="1"/>
    <xf numFmtId="0" fontId="0" fillId="26" borderId="0" xfId="0" applyFont="1" applyFill="1"/>
    <xf numFmtId="165" fontId="0" fillId="26" borderId="0" xfId="0" applyNumberFormat="1" applyFill="1"/>
    <xf numFmtId="0" fontId="2" fillId="27" borderId="2" xfId="0" applyFont="1" applyFill="1" applyBorder="1" applyAlignment="1">
      <alignment horizontal="center" vertical="center" wrapText="1"/>
    </xf>
    <xf numFmtId="0" fontId="19" fillId="10" borderId="2" xfId="0" applyFont="1" applyFill="1" applyBorder="1" applyAlignment="1">
      <alignment horizontal="center" vertical="center" wrapText="1"/>
    </xf>
    <xf numFmtId="0" fontId="19" fillId="10" borderId="12" xfId="0" applyFont="1" applyFill="1" applyBorder="1" applyAlignment="1">
      <alignment horizontal="center" vertical="center" wrapText="1"/>
    </xf>
    <xf numFmtId="0" fontId="0" fillId="26" borderId="0" xfId="0" applyFill="1"/>
    <xf numFmtId="0" fontId="18" fillId="0" borderId="0" xfId="0" applyNumberFormat="1" applyFont="1"/>
    <xf numFmtId="2" fontId="10" fillId="0" borderId="0" xfId="0" applyNumberFormat="1" applyFont="1"/>
    <xf numFmtId="0" fontId="17" fillId="28" borderId="0" xfId="0" applyFont="1" applyFill="1" applyAlignment="1">
      <alignment horizontal="center" vertical="center" wrapText="1"/>
    </xf>
    <xf numFmtId="0" fontId="2" fillId="28" borderId="0" xfId="0" applyFont="1" applyFill="1" applyAlignment="1">
      <alignment horizontal="center" vertical="center" wrapText="1"/>
    </xf>
    <xf numFmtId="165" fontId="18" fillId="0" borderId="0" xfId="0" applyNumberFormat="1" applyFont="1"/>
    <xf numFmtId="2" fontId="18" fillId="0" borderId="0" xfId="0" applyNumberFormat="1" applyFont="1"/>
    <xf numFmtId="1" fontId="18" fillId="0" borderId="0" xfId="0" applyNumberFormat="1" applyFont="1"/>
    <xf numFmtId="0" fontId="0" fillId="0" borderId="0" xfId="0" applyAlignment="1">
      <alignment wrapText="1"/>
    </xf>
    <xf numFmtId="0" fontId="2" fillId="29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2" fontId="0" fillId="30" borderId="0" xfId="0" applyNumberFormat="1" applyFill="1"/>
    <xf numFmtId="0" fontId="0" fillId="30" borderId="0" xfId="0" applyFill="1"/>
    <xf numFmtId="0" fontId="6" fillId="14" borderId="3" xfId="0" applyFont="1" applyFill="1" applyBorder="1" applyAlignment="1">
      <alignment horizontal="center" vertical="center" wrapText="1"/>
    </xf>
    <xf numFmtId="0" fontId="6" fillId="14" borderId="10" xfId="0" applyFont="1" applyFill="1" applyBorder="1" applyAlignment="1">
      <alignment horizontal="center" vertical="center" wrapText="1"/>
    </xf>
    <xf numFmtId="0" fontId="6" fillId="14" borderId="9" xfId="0" applyFont="1" applyFill="1" applyBorder="1" applyAlignment="1">
      <alignment horizontal="center" vertical="center" wrapText="1"/>
    </xf>
    <xf numFmtId="0" fontId="2" fillId="31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8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0.0"/>
    </dxf>
    <dxf>
      <numFmt numFmtId="165" formatCode="0.0"/>
    </dxf>
    <dxf>
      <numFmt numFmtId="165" formatCode="0.0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8"/>
        </right>
        <top style="thin">
          <color theme="8"/>
        </top>
        <bottom style="thin">
          <color theme="8"/>
        </bottom>
      </border>
    </dxf>
    <dxf>
      <border outline="0">
        <left style="thin">
          <color rgb="FF4472C4"/>
        </left>
        <top style="thin">
          <color rgb="FF4472C4"/>
        </top>
      </border>
    </dxf>
    <dxf>
      <border outline="0">
        <bottom style="medium">
          <color rgb="FF4472C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8"/>
        </right>
        <top style="thin">
          <color theme="8"/>
        </top>
        <bottom style="thin">
          <color theme="8"/>
        </bottom>
      </border>
    </dxf>
    <dxf>
      <border outline="0">
        <left style="thin">
          <color theme="8"/>
        </left>
        <top style="thin">
          <color theme="8"/>
        </top>
      </border>
    </dxf>
    <dxf>
      <border outline="0">
        <bottom style="medium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K21" headerRowDxfId="82" headerRowBorderDxfId="81" tableBorderDxfId="80">
  <tableColumns count="63">
    <tableColumn id="1" name="Date" totalsRowLabel="Total" dataDxfId="79" totalsRowDxfId="78"/>
    <tableColumn id="2" name="Gross Generation 12MW (MW)"/>
    <tableColumn id="3" name="Aux  12MW (MW)"/>
    <tableColumn id="4" name="Gross Generation 43 MW (MW)"/>
    <tableColumn id="5" name="Aux  43MW (MW)"/>
    <tableColumn id="6" name="Gross Generation 80 (MW)"/>
    <tableColumn id="7" name="Aux  80 MW (MW)"/>
    <tableColumn id="8" name="80 MW STG Running Hours (Hours)"/>
    <tableColumn id="9" name="43 MW STG Running Hours (Hours)"/>
    <tableColumn id="10" name="12 MW STG Running Hours (Hours)"/>
    <tableColumn id="11" name="Coal -  Thermax 350 TPH (MT)" dataDxfId="77">
      <calculatedColumnFormula>RANDBETWEEN(100,300)</calculatedColumnFormula>
    </tableColumn>
    <tableColumn id="12" name="Coal - ISGEC 350 TPH (MT)" dataDxfId="76">
      <calculatedColumnFormula>RANDBETWEEN(100,300)</calculatedColumnFormula>
    </tableColumn>
    <tableColumn id="13" name="Coal - Thermax AFBC-1 105 TPH (MT)" dataDxfId="75">
      <calculatedColumnFormula>RANDBETWEEN(100,300)</calculatedColumnFormula>
    </tableColumn>
    <tableColumn id="14" name="Coal - Thermax AFBC-2 105 TPH (MT)" dataDxfId="74">
      <calculatedColumnFormula>RANDBETWEEN(100,300)</calculatedColumnFormula>
    </tableColumn>
    <tableColumn id="15" name="Coal CV 80 and 43 MW (Kcal/Kg)"/>
    <tableColumn id="16" name="Lignite -  Thermax 350 TPH (MT)" dataDxfId="73">
      <calculatedColumnFormula>RANDBETWEEN(100,300)</calculatedColumnFormula>
    </tableColumn>
    <tableColumn id="17" name="Lignite - ISGEC 350 TPH (MT)" dataDxfId="72">
      <calculatedColumnFormula>RANDBETWEEN(100,300)</calculatedColumnFormula>
    </tableColumn>
    <tableColumn id="18" name="Lignite - Thermax AFBC-1 105 TPH (MT)" dataDxfId="71">
      <calculatedColumnFormula>RANDBETWEEN(100,300)</calculatedColumnFormula>
    </tableColumn>
    <tableColumn id="19" name="Lignite - Thermax AFBC-2 105 TPH (MT)" dataDxfId="70">
      <calculatedColumnFormula>RANDBETWEEN(100,300)</calculatedColumnFormula>
    </tableColumn>
    <tableColumn id="20" name="Lignite CV 80 amd 43 MW  (Kcal/Kg)"/>
    <tableColumn id="21" name="Tail Gas (Hrs &amp; Volume) 80 and 43 "/>
    <tableColumn id="22" name="BFG -  Thermax 350 TPH (HRS)"/>
    <tableColumn id="23" name="BFG -  Thermax 350 TPH  (Nm3/hr)"/>
    <tableColumn id="24" name="BFG -  Thermax 350 TPH (Density)"/>
    <tableColumn id="25" name="BFG -  Thermax 350 TPH (CV)"/>
    <tableColumn id="26" name="SSC 43MW"/>
    <tableColumn id="27" name="SSC 80MW"/>
    <tableColumn id="28" name="Thermax 350 TPH (MT)"/>
    <tableColumn id="29" name="ISGEC 350 TPH (MT)"/>
    <tableColumn id="30" name="Thermax AFBC-1 105 TPH (MT)"/>
    <tableColumn id="31" name="Thermax AFBC-2 105 TPH (MT)"/>
    <tableColumn id="32" name="Thermax 350 TPH (Running Hrs)"/>
    <tableColumn id="33" name="ISGEC 350 TPH(Running Hrs)"/>
    <tableColumn id="34" name="Thermax AFBC-1 105 TPH(Running Hrs)"/>
    <tableColumn id="35" name="Thermax AFBC-2 105 TPH(Running Hrs)"/>
    <tableColumn id="36" name="WHRB-1 (MT)"/>
    <tableColumn id="37" name="WHRB-2 (MT)"/>
    <tableColumn id="38" name="WHRB-3 (MT)"/>
    <tableColumn id="39" name="WHRB-4 (MT)"/>
    <tableColumn id="40" name="Steam 30TPH (MT)"/>
    <tableColumn id="41" name="Steam 20 TPH (MT)"/>
    <tableColumn id="42" name="Steam 30TPH(running Hrs)"/>
    <tableColumn id="43" name="Steam 20 TPH(running Hrs)"/>
    <tableColumn id="44" name="Coal 12MW (MT)"/>
    <tableColumn id="45" name="Dolochar 12MW (MT)"/>
    <tableColumn id="46" name="NG Consumption (SCFM)"/>
    <tableColumn id="47" name="Steam To Dearator (43MW)"/>
    <tableColumn id="48" name="Steam To Dearator (80MW)"/>
    <tableColumn id="49" name="Boiler Efficiency Thermax 350 TPH (%)"/>
    <tableColumn id="50" name="Boiler Efficiency ISGEC CFBC (%)"/>
    <tableColumn id="51" name="Boiler Efficiency Thermax AFBC-1 (%)"/>
    <tableColumn id="52" name="Boiler Efficiency Thermax AFBC-2 (%)"/>
    <tableColumn id="53" name="Boiler Efficiency Steam 20TPH (%)"/>
    <tableColumn id="54" name="Boiler Efficiency Steam 30TPH (%)"/>
    <tableColumn id="55" name="Net Enthalpy Thermax IR-CFBC (Kcal/Kg)"/>
    <tableColumn id="56" name="Net Enthalpy ISGEC CFBC (Kcal/Kg)"/>
    <tableColumn id="57" name="Net Enthalpy Thermax AFBC-1 (Kcal/Kg)" dataDxfId="69">
      <calculatedColumnFormula>RANDBETWEEN(500,600)</calculatedColumnFormula>
    </tableColumn>
    <tableColumn id="58" name="Net Enthalpy Thermax AFBC-2 (Kcal/Kg)" dataDxfId="68">
      <calculatedColumnFormula>RANDBETWEEN(500,600)</calculatedColumnFormula>
    </tableColumn>
    <tableColumn id="59" name="Net Enthalpy 30TPH/20TPH (Kcal/Kg)" totalsRowFunction="count" dataDxfId="67">
      <calculatedColumnFormula>RANDBETWEEN(500,600)</calculatedColumnFormula>
    </tableColumn>
    <tableColumn id="60" name="WHRB-1 Running Hr" dataDxfId="66"/>
    <tableColumn id="61" name="WHRB-2 Running Hr" dataDxfId="65"/>
    <tableColumn id="62" name="WHRB-3 Running Hr" dataDxfId="64"/>
    <tableColumn id="63" name="WHRB-4 Running Hr" dataDxfId="63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CY21" headerRowDxfId="62" headerRowBorderDxfId="61" tableBorderDxfId="60">
  <sortState ref="A2:BG21">
    <sortCondition ref="A1:A21"/>
  </sortState>
  <tableColumns count="103">
    <tableColumn id="1" name="Date" totalsRowLabel="Total" dataDxfId="59" totalsRowDxfId="58"/>
    <tableColumn id="2" name="Gross Generation 12MW (MW)"/>
    <tableColumn id="3" name="Aux  12MW (MW)"/>
    <tableColumn id="4" name="Gross Generation 43 MW (MW)"/>
    <tableColumn id="5" name="Aux  43MW (MW)"/>
    <tableColumn id="6" name="Gross Generation 80 (MW)"/>
    <tableColumn id="7" name="Aux  80 MW (MW)"/>
    <tableColumn id="8" name="80 MW STG Running Hours (Hours)"/>
    <tableColumn id="9" name="43 MW STG Running Hours (Hours)"/>
    <tableColumn id="10" name="12 MW STG Running Hours (Hours)"/>
    <tableColumn id="63" name="80Gross Gen(MW/Hr)" dataDxfId="57">
      <calculatedColumnFormula>Table13[[#This Row],[Gross Generation 12MW (MW)]]/Table13[[#This Row],[12 MW STG Running Hours (Hours)]]</calculatedColumnFormula>
    </tableColumn>
    <tableColumn id="64" name="80Aux Gen(MW/Hr)" dataDxfId="56">
      <calculatedColumnFormula>Table13[[#This Row],[Aux  12MW (MW)]]/Table13[[#This Row],[12 MW STG Running Hours (Hours)]]</calculatedColumnFormula>
    </tableColumn>
    <tableColumn id="65" name="80Per Aux" dataDxfId="55">
      <calculatedColumnFormula>Table13[[#This Row],[Aux  12MW (MW)]]/Table13[[#This Row],[Gross Generation 12MW (MW)]]*100</calculatedColumnFormula>
    </tableColumn>
    <tableColumn id="97" name="Ratio of Coal 80-43MW" dataDxfId="54">
      <calculatedColumnFormula>Table13[[#This Row],[Coal 80 and 43 MW (MT)]]/SUM(Table13[[#This Row],[80 MW STG Running Hours (Hours)]:[43 MW STG Running Hours (Hours)]])</calculatedColumnFormula>
    </tableColumn>
    <tableColumn id="95" name="Coal Con 80-43MW" dataDxfId="53">
      <calculatedColumnFormula>Table13[[#This Row],[Steam 0f 80-43MW]]/Table13[[#This Row],[Coal 80 and 43 MW (MT)]]</calculatedColumnFormula>
    </tableColumn>
    <tableColumn id="89" name="Coal 80 and 43 MW (MT)" dataDxfId="52">
      <calculatedColumnFormula>SUM(Table13[[#This Row],[Coal -  Thermax 350 TPH (MT)]:[Coal - Thermax AFBC-2 105 TPH (MT)]])</calculatedColumnFormula>
    </tableColumn>
    <tableColumn id="11" name="Coal -  Thermax 350 TPH (MT)" dataDxfId="51">
      <calculatedColumnFormula>RANDBETWEEN(500,1000)</calculatedColumnFormula>
    </tableColumn>
    <tableColumn id="12" name="Coal - ISGEC 350 TPH (MT)" dataDxfId="50">
      <calculatedColumnFormula>RANDBETWEEN(500,1000)</calculatedColumnFormula>
    </tableColumn>
    <tableColumn id="13" name="Coal - Thermax AFBC-1 105 TPH (MT)" dataDxfId="49">
      <calculatedColumnFormula>RANDBETWEEN(500,1000)</calculatedColumnFormula>
    </tableColumn>
    <tableColumn id="14" name="Coal - Thermax AFBC-2 105 TPH (MT)" dataDxfId="48">
      <calculatedColumnFormula>RANDBETWEEN(500,1000)</calculatedColumnFormula>
    </tableColumn>
    <tableColumn id="15" name="Coal CV 80 and 43 MW (Kcal/Kg)"/>
    <tableColumn id="16" name="Lignite -  Thermax 350 TPH (MT)" dataDxfId="47">
      <calculatedColumnFormula>RANDBETWEEN(500,1000)</calculatedColumnFormula>
    </tableColumn>
    <tableColumn id="17" name="Lignite - ISGEC 350 TPH (MT)" dataDxfId="46">
      <calculatedColumnFormula>RANDBETWEEN(500,1000)</calculatedColumnFormula>
    </tableColumn>
    <tableColumn id="18" name="Lignite - Thermax AFBC-1 105 TPH (MT)" dataDxfId="45">
      <calculatedColumnFormula>RANDBETWEEN(500,1000)</calculatedColumnFormula>
    </tableColumn>
    <tableColumn id="19" name="Lignite - Thermax AFBC-2 105 TPH (MT)" dataDxfId="44">
      <calculatedColumnFormula>RANDBETWEEN(500,1000)</calculatedColumnFormula>
    </tableColumn>
    <tableColumn id="91" name="Lignite 80 and 43 MW (MT)" dataDxfId="43">
      <calculatedColumnFormula>SUM(Table13[[#This Row],[Lignite -  Thermax 350 TPH (MT)]:[Lignite - Thermax AFBC-2 105 TPH (MT)]])</calculatedColumnFormula>
    </tableColumn>
    <tableColumn id="98" name="Ratio of Lignite 80-43MW2" dataDxfId="42">
      <calculatedColumnFormula>Table13[[#This Row],[Lignite 80 and 43 MW (MT)]]/SUM(Table13[[#This Row],[80 MW STG Running Hours (Hours)]:[43 MW STG Running Hours (Hours)]])</calculatedColumnFormula>
    </tableColumn>
    <tableColumn id="20" name="Lignite CV 80 amd 43 MW  (Kcal/Kg)"/>
    <tableColumn id="21" name="Tail Gas (Hrs &amp; Volume) 80 and 43 "/>
    <tableColumn id="22" name="BFG -  Thermax 350 TPH (HRS)"/>
    <tableColumn id="23" name="BFG -  Thermax 350 TPH  (Nm3/hr)"/>
    <tableColumn id="24" name="BFG -  Thermax 350 TPH (Density)"/>
    <tableColumn id="25" name="BFG -  Thermax 350 TPH (CV)"/>
    <tableColumn id="90" name="Ratio Coal -  Thermax 350 TPH (MT)" dataDxfId="7">
      <calculatedColumnFormula>Table13[[#This Row],[Coal -  Thermax 350 TPH (MT)]]/Table13[[#This Row],[Thermax 350 TPH (Running Hrs)]]</calculatedColumnFormula>
    </tableColumn>
    <tableColumn id="92" name="Ratio Coal - ISGEC 350 TPH (MT)" dataDxfId="6">
      <calculatedColumnFormula>Table13[[#This Row],[Coal - ISGEC 350 TPH (MT)]]/Table13[[#This Row],[ISGEC 350 TPH(Running Hrs)]]</calculatedColumnFormula>
    </tableColumn>
    <tableColumn id="93" name="Ratio Coal - Thermax AFBC-1 105 TPH (MT)" dataDxfId="5">
      <calculatedColumnFormula>Table13[[#This Row],[Coal - Thermax AFBC-1 105 TPH (MT)]]/Table13[[#This Row],[Thermax AFBC-1 105 TPH(Running Hrs)]]</calculatedColumnFormula>
    </tableColumn>
    <tableColumn id="94" name="Ratio Coal - Thermax AFBC-2 105 TPH (MT)" dataDxfId="4">
      <calculatedColumnFormula>Table13[[#This Row],[Coal - Thermax AFBC-2 105 TPH (MT)]]/Table13[[#This Row],[Thermax AFBC-2 105 TPH(Running Hrs)]]</calculatedColumnFormula>
    </tableColumn>
    <tableColumn id="101" name="Ratio Lignite -  Thermax 350 TPH (MT)" dataDxfId="3">
      <calculatedColumnFormula>Table13[[#This Row],[Lignite -  Thermax 350 TPH (MT)]]/Table13[[#This Row],[Thermax 350 TPH (Running Hrs)]]</calculatedColumnFormula>
    </tableColumn>
    <tableColumn id="102" name="Ratio Lignite - ISGEC 350 TPH (MT)" dataDxfId="2">
      <calculatedColumnFormula>Table13[[#This Row],[Lignite - ISGEC 350 TPH (MT)]]/Table13[[#This Row],[ISGEC 350 TPH(Running Hrs)]]</calculatedColumnFormula>
    </tableColumn>
    <tableColumn id="103" name="Ratio Lignite - Thermax AFBC-1 105 TPH (MT)" dataDxfId="1">
      <calculatedColumnFormula>Table13[[#This Row],[Lignite - Thermax AFBC-1 105 TPH (MT)]]/Table13[[#This Row],[Thermax AFBC-1 105 TPH(Running Hrs)]]</calculatedColumnFormula>
    </tableColumn>
    <tableColumn id="104" name="Ratio Lignite - Thermax AFBC-2 105 TPH (MT)" dataDxfId="0">
      <calculatedColumnFormula>Table13[[#This Row],[Lignite - Thermax AFBC-2 105 TPH (MT)]]/Table13[[#This Row],[Thermax AFBC-2 105 TPH(Running Hrs)]]</calculatedColumnFormula>
    </tableColumn>
    <tableColumn id="79" name="SSC 12MW" dataDxfId="41">
      <calculatedColumnFormula>SUM(Table13[[#This Row],[WHRB-1 (MT)]:[Steam 20 TPH (MT)]])/Table13[[#This Row],[Gross Generation 12MW (MW)]]</calculatedColumnFormula>
    </tableColumn>
    <tableColumn id="26" name="SSC 43MW2"/>
    <tableColumn id="27" name="SSC 80MW"/>
    <tableColumn id="96" name="Steam 0f 80-43MW" dataDxfId="40">
      <calculatedColumnFormula>SUM(Table13[[#This Row],[Thermax 350 TPH (MT)]:[Thermax AFBC-2 105 TPH (MT)]])</calculatedColumnFormula>
    </tableColumn>
    <tableColumn id="28" name="Thermax 350 TPH (MT)"/>
    <tableColumn id="29" name="ISGEC 350 TPH (MT)"/>
    <tableColumn id="30" name="Thermax AFBC-1 105 TPH (MT)"/>
    <tableColumn id="31" name="Thermax AFBC-2 105 TPH (MT)"/>
    <tableColumn id="32" name="Thermax 350 TPH (Running Hrs)"/>
    <tableColumn id="33" name="ISGEC 350 TPH(Running Hrs)"/>
    <tableColumn id="34" name="Thermax AFBC-1 105 TPH(Running Hrs)"/>
    <tableColumn id="35" name="Thermax AFBC-2 105 TPH(Running Hrs)"/>
    <tableColumn id="60" name="Steam con Thermax 350 TPH (MT)2" dataDxfId="39">
      <calculatedColumnFormula>Table13[[#This Row],[Thermax 350 TPH (MT)]]/Table13[[#This Row],[Thermax 350 TPH (Running Hrs)]]</calculatedColumnFormula>
    </tableColumn>
    <tableColumn id="61" name="Steam con ISGEC 350 TPH (MT)2" dataDxfId="38">
      <calculatedColumnFormula>Table13[[#This Row],[ISGEC 350 TPH (MT)]]/Table13[[#This Row],[ISGEC 350 TPH(Running Hrs)]]</calculatedColumnFormula>
    </tableColumn>
    <tableColumn id="62" name="Steam con Thermax AFBC-1 105 TPH (MT)2" dataDxfId="37">
      <calculatedColumnFormula>Table13[[#This Row],[Thermax AFBC-1 105 TPH (MT)]]/Table13[[#This Row],[Thermax AFBC-1 105 TPH(Running Hrs)]]</calculatedColumnFormula>
    </tableColumn>
    <tableColumn id="66" name="Steam con Thermax AFBC-2 105 TPH (MT)2" dataDxfId="36">
      <calculatedColumnFormula>Table13[[#This Row],[Thermax AFBC-2 105 TPH (MT)]]/Table13[[#This Row],[Thermax AFBC-2 105 TPH(Running Hrs)]]</calculatedColumnFormula>
    </tableColumn>
    <tableColumn id="67" name="Coal con Thermax 350 TPH (MT)" dataDxfId="35">
      <calculatedColumnFormula>Table13[[#This Row],[Coal -  Thermax 350 TPH (MT)]]/Table13[[#This Row],[Thermax 350 TPH (MT)]]</calculatedColumnFormula>
    </tableColumn>
    <tableColumn id="68" name="Coal con ISGEC 350 TPH (MT)" dataDxfId="34">
      <calculatedColumnFormula>Table13[[#This Row],[Coal - ISGEC 350 TPH (MT)]]/Table13[[#This Row],[ISGEC 350 TPH (MT)]]</calculatedColumnFormula>
    </tableColumn>
    <tableColumn id="69" name="Coal con Thermax AFBC-1 105 TPH (MT)" dataDxfId="33">
      <calculatedColumnFormula>Table13[[#This Row],[Coal - Thermax AFBC-1 105 TPH (MT)]]/Table13[[#This Row],[Thermax AFBC-1 105 TPH (MT)]]</calculatedColumnFormula>
    </tableColumn>
    <tableColumn id="70" name="Coal con Thermax AFBC-2 105 TPH (MT)" dataDxfId="32">
      <calculatedColumnFormula>Table13[[#This Row],[Coal - Thermax AFBC-2 105 TPH (MT)]]/Table13[[#This Row],[Thermax AFBC-2 105 TPH (MT)]]</calculatedColumnFormula>
    </tableColumn>
    <tableColumn id="71" name="Lignite con Thermax 350 TPH (MT)222" dataDxfId="31">
      <calculatedColumnFormula>Table13[[#This Row],[Lignite -  Thermax 350 TPH (MT)]]/Table13[[#This Row],[Thermax 350 TPH (MT)]]</calculatedColumnFormula>
    </tableColumn>
    <tableColumn id="72" name="Lignite con ISGEC 350 TPH (MT)233" dataDxfId="30">
      <calculatedColumnFormula>Table13[[#This Row],[Lignite - ISGEC 350 TPH (MT)]]/Table13[[#This Row],[ISGEC 350 TPH (MT)]]</calculatedColumnFormula>
    </tableColumn>
    <tableColumn id="73" name="Lignite con Thermax AFBC-1 105 TPH (MT)244" dataDxfId="29">
      <calculatedColumnFormula>Table13[[#This Row],[Lignite - Thermax AFBC-1 105 TPH (MT)]]/Table13[[#This Row],[Thermax AFBC-1 105 TPH (MT)]]</calculatedColumnFormula>
    </tableColumn>
    <tableColumn id="74" name="Lignite con Thermax AFBC-2 105 TPH (MT)255" dataDxfId="28">
      <calculatedColumnFormula>Table13[[#This Row],[Lignite - Thermax AFBC-2 105 TPH (MT)]]/Table13[[#This Row],[Thermax AFBC-2 105 TPH (MT)]]</calculatedColumnFormula>
    </tableColumn>
    <tableColumn id="36" name="WHRB-1 (MT)"/>
    <tableColumn id="37" name="WHRB-2 (MT)"/>
    <tableColumn id="38" name="WHRB-3 (MT)"/>
    <tableColumn id="39" name="WHRB-4 (MT)"/>
    <tableColumn id="84" name="Pro(TPH)WHRB-1 (MT)" dataDxfId="27">
      <calculatedColumnFormula>Table13[[#This Row],[WHRB-1 (MT)]]/Table13[[#This Row],[WHRB-1 Running Hr]]</calculatedColumnFormula>
    </tableColumn>
    <tableColumn id="85" name="Pro(TPH)WHRB-2(MT)" dataDxfId="26">
      <calculatedColumnFormula>Table13[[#This Row],[WHRB-2 (MT)]]/Table13[[#This Row],[WHRB-2 Running Hr]]</calculatedColumnFormula>
    </tableColumn>
    <tableColumn id="86" name="Pro(TPH)WHRB-3 (MT)" dataDxfId="25">
      <calculatedColumnFormula>Table13[[#This Row],[WHRB-3 (MT)]]/Table13[[#This Row],[WHRB-3 Running Hr]]</calculatedColumnFormula>
    </tableColumn>
    <tableColumn id="87" name="Pro(TPH)WHRB-4 (MT)" dataDxfId="24">
      <calculatedColumnFormula>Table13[[#This Row],[WHRB-4 (MT)]]/Table13[[#This Row],[WHRB-4 Running Hr]]</calculatedColumnFormula>
    </tableColumn>
    <tableColumn id="88" name="Sum WHRB TPH" dataDxfId="23">
      <calculatedColumnFormula>SUM(Table13[[#This Row],[Pro(TPH)WHRB-1 (MT)]:[Pro(TPH)WHRB-4 (MT)]])</calculatedColumnFormula>
    </tableColumn>
    <tableColumn id="99" name="Steam Gen.12MW" dataDxfId="22">
      <calculatedColumnFormula>SUM(Table13[[#This Row],[WHRB-1 (MT)]:[WHRB-4 (MT)]],BX2,BY2)</calculatedColumnFormula>
    </tableColumn>
    <tableColumn id="40" name="Steam 30TPH (MT)"/>
    <tableColumn id="41" name="Steam 20 TPH (MT)"/>
    <tableColumn id="42" name="Steam 30TPH(running Hrs)"/>
    <tableColumn id="43" name="Steam 20 TPH(running Hrs)"/>
    <tableColumn id="77" name="Steam Con 30TPH (MT)2" dataDxfId="21">
      <calculatedColumnFormula>Table13[[#This Row],[Steam 30TPH (MT)]]/Table13[[#This Row],[Steam 30TPH(running Hrs)]]</calculatedColumnFormula>
    </tableColumn>
    <tableColumn id="78" name="Steam Con 20 TPH (MT)3" dataDxfId="20">
      <calculatedColumnFormula>Table13[[#This Row],[Steam 20 TPH (MT)]]/Table13[[#This Row],[Steam 20 TPH(running Hrs)]]</calculatedColumnFormula>
    </tableColumn>
    <tableColumn id="44" name="Coal 12MW (MT)"/>
    <tableColumn id="45" name="Dolochar 12MW (MT)"/>
    <tableColumn id="46" name="NG Consumption (SCFM)"/>
    <tableColumn id="75" name="Steam To Dearator (43MW)/24" dataDxfId="19">
      <calculatedColumnFormula>Table13[[#This Row],[Steam To Dearator (43MW)2]]/24</calculatedColumnFormula>
    </tableColumn>
    <tableColumn id="76" name="Steam To Dearator (80MW)/24" dataDxfId="18">
      <calculatedColumnFormula>Table13[[#This Row],[Steam To Dearator (80MW)3]]/24</calculatedColumnFormula>
    </tableColumn>
    <tableColumn id="47" name="Steam To Dearator (43MW)2"/>
    <tableColumn id="48" name="Steam To Dearator (80MW)3"/>
    <tableColumn id="49" name="Boiler Efficiency Thermax 350 TPH (%)"/>
    <tableColumn id="50" name="Boiler Efficiency ISGEC CFBC (%)"/>
    <tableColumn id="51" name="Boiler Efficiency Thermax AFBC-1 (%)"/>
    <tableColumn id="52" name="Boiler Efficiency Thermax AFBC-2 (%)"/>
    <tableColumn id="53" name="Boiler Efficiency Steam 20TPH (%)"/>
    <tableColumn id="54" name="Boiler Efficiency Steam 30TPH (%)"/>
    <tableColumn id="55" name="Net Enthalpy Thermax IR-CFBC (Kcal/Kg)"/>
    <tableColumn id="56" name="Net Enthalpy ISGEC CFBC (Kcal/Kg)"/>
    <tableColumn id="57" name="Net Enthalpy Thermax AFBC-1 (Kcal/Kg)"/>
    <tableColumn id="58" name="Net Enthalpy Thermax AFBC-2 (Kcal/Kg)"/>
    <tableColumn id="59" name="Net Enthalpy 30TPH/20TPH (Kcal/Kg)" totalsRowFunction="count"/>
    <tableColumn id="80" name="WHRB-1 Running Hr"/>
    <tableColumn id="81" name="WHRB-2 Running Hr"/>
    <tableColumn id="82" name="WHRB-3 Running Hr"/>
    <tableColumn id="83" name="WHRB-4 Running Hr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A4:D20" totalsRowShown="0" headerRowDxfId="17" dataDxfId="16">
  <autoFilter ref="A4:D20"/>
  <tableColumns count="4">
    <tableColumn id="1" name="Sr. No" dataDxfId="15"/>
    <tableColumn id="2" name="KPI Title" dataDxfId="14"/>
    <tableColumn id="3" name="Calculations" dataDxfId="13"/>
    <tableColumn id="4" name="Remark" dataDxfId="1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15" displayName="Table15" ref="A1:AR22" totalsRowShown="0" headerRowDxfId="11">
  <tableColumns count="44">
    <tableColumn id="1" name="Date" dataDxfId="10"/>
    <tableColumn id="2" name="Gross Generation 12MW (MW)"/>
    <tableColumn id="3" name="Aux  12MW (MW)"/>
    <tableColumn id="4" name="Gross Generation 43 MW (MW)"/>
    <tableColumn id="5" name="Aux  43MW (MW)"/>
    <tableColumn id="6" name="Gross Generation 80 (MW)"/>
    <tableColumn id="7" name="Aux  80 MW (MW)"/>
    <tableColumn id="8" name="80 MW STG Running Hours (Hours)"/>
    <tableColumn id="9" name="43 MW STG Running Hours (Hours)"/>
    <tableColumn id="10" name="12 MW STG Running Hours (Hours)"/>
    <tableColumn id="11" name="Coal 80 and 43 MW (MT)"/>
    <tableColumn id="12" name="Lignite 80 and 43 MW (MT)"/>
    <tableColumn id="13" name="Tail Gas (Hrs &amp; Volume) 80 and 43  (HRS)"/>
    <tableColumn id="14" name="Tail Gas (Hrs &amp; Volume) 80 and 44 (Nm3/hr)"/>
    <tableColumn id="15" name="Coal CV 80 and 43 MW (Kcal/Kg)"/>
    <tableColumn id="16" name="Lignite CV 80 amd 43 MW (Kcal/Kg)"/>
    <tableColumn id="17" name="SSC 43MW (Kg/KWH)"/>
    <tableColumn id="18" name="SSC 80MW (Kg/KWH)"/>
    <tableColumn id="19" name="SSC 12MW (Kg/KWH)"/>
    <tableColumn id="20" name="Steam Production (MT)" dataDxfId="9">
      <calculatedColumnFormula>Table15[[#This Row],[Thermax 350 TPH  (MT)]]+Table15[[#This Row],[ISGEC 350 TPH (MT)]]+Table15[[#This Row],[Thermax AFBC-1 105 TPH (MT)]]+Table15[[#This Row],[Thermax AFBC-2 105 TPH (MT)]]</calculatedColumnFormula>
    </tableColumn>
    <tableColumn id="21" name="Thermax 350 TPH  (MT)"/>
    <tableColumn id="22" name="ISGEC 350 TPH (MT)"/>
    <tableColumn id="23" name="Thermax AFBC-1 105 TPH (MT)"/>
    <tableColumn id="24" name="Thermax AFBC-2 105 TPH (MT)"/>
    <tableColumn id="25" name="Steam WHRB (MT)" dataDxfId="8">
      <calculatedColumnFormula>Table15[[#This Row],[WHRB-1 (MT)]]+Table15[[#This Row],[WHRB-2 (MT)]]+Table15[[#This Row],[WHRB-3 (MT)]]+Table15[[#This Row],[WHRB-4 (MT)]]</calculatedColumnFormula>
    </tableColumn>
    <tableColumn id="26" name="WHRB-1 (MT)"/>
    <tableColumn id="27" name="WHRB-2 (MT)"/>
    <tableColumn id="28" name="WHRB-3 (MT)"/>
    <tableColumn id="29" name="WHRB-4 (MT)"/>
    <tableColumn id="30" name="Steam 30TPH (MT)"/>
    <tableColumn id="31" name="Steam 20 TPH (MT)"/>
    <tableColumn id="32" name="Coal 12MW (MT)"/>
    <tableColumn id="33" name="Dolochar 12MW (MT)"/>
    <tableColumn id="34" name="NG Consumption (SCFM)"/>
    <tableColumn id="35" name="Steam To Dearator (43MW) (MT)"/>
    <tableColumn id="36" name="Steam To Dearator (80MW) (MT)"/>
    <tableColumn id="37" name="Boiler Efficiency Thermax 350 TPH (%)"/>
    <tableColumn id="38" name="Boiler Efficiency ISGEC CFBC (%)"/>
    <tableColumn id="39" name="Boiler Efficiency Thermax AFBC-1 (%)"/>
    <tableColumn id="40" name="Boiler Efficiency Thermax AFBC-2 (%)"/>
    <tableColumn id="41" name="Boiler Efficiency Steam 20TPH (%)"/>
    <tableColumn id="42" name="Boiler Efficiency Steam 30TPH (%)"/>
    <tableColumn id="43" name="Net Enthalpy Thermax IR-CFBC (Kcal/Kg)"/>
    <tableColumn id="44" name="Net Enthalpy ISGEC CFBC (Kcal/Kg)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2060"/>
  </sheetPr>
  <dimension ref="A1:BK26"/>
  <sheetViews>
    <sheetView showGridLines="0" topLeftCell="AJ1" zoomScale="80" zoomScaleNormal="80" workbookViewId="0">
      <selection activeCell="AW6" sqref="AW6"/>
    </sheetView>
  </sheetViews>
  <sheetFormatPr defaultRowHeight="14.5" x14ac:dyDescent="0.35"/>
  <cols>
    <col min="1" max="1" width="11.453125" style="11" customWidth="1"/>
    <col min="2" max="59" width="11.453125" customWidth="1"/>
  </cols>
  <sheetData>
    <row r="1" spans="1:63" ht="42.5" customHeight="1" thickBot="1" x14ac:dyDescent="0.4">
      <c r="A1" s="1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13</v>
      </c>
      <c r="N1" s="2" t="s">
        <v>12</v>
      </c>
      <c r="O1" s="3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2" t="s">
        <v>25</v>
      </c>
      <c r="AA1" s="2" t="s">
        <v>26</v>
      </c>
      <c r="AB1" s="5" t="s">
        <v>55</v>
      </c>
      <c r="AC1" s="5" t="s">
        <v>56</v>
      </c>
      <c r="AD1" s="5" t="s">
        <v>57</v>
      </c>
      <c r="AE1" s="5" t="s">
        <v>58</v>
      </c>
      <c r="AF1" s="6" t="s">
        <v>27</v>
      </c>
      <c r="AG1" s="6" t="s">
        <v>28</v>
      </c>
      <c r="AH1" s="6" t="s">
        <v>29</v>
      </c>
      <c r="AI1" s="6" t="s">
        <v>30</v>
      </c>
      <c r="AJ1" s="5" t="s">
        <v>31</v>
      </c>
      <c r="AK1" s="5" t="s">
        <v>32</v>
      </c>
      <c r="AL1" s="5" t="s">
        <v>33</v>
      </c>
      <c r="AM1" s="5" t="s">
        <v>34</v>
      </c>
      <c r="AN1" s="4" t="s">
        <v>37</v>
      </c>
      <c r="AO1" s="4" t="s">
        <v>38</v>
      </c>
      <c r="AP1" s="7" t="s">
        <v>35</v>
      </c>
      <c r="AQ1" s="7" t="s">
        <v>36</v>
      </c>
      <c r="AR1" s="5" t="s">
        <v>39</v>
      </c>
      <c r="AS1" s="5" t="s">
        <v>40</v>
      </c>
      <c r="AT1" s="8" t="s">
        <v>41</v>
      </c>
      <c r="AU1" s="9" t="s">
        <v>42</v>
      </c>
      <c r="AV1" s="9" t="s">
        <v>43</v>
      </c>
      <c r="AW1" s="8" t="s">
        <v>44</v>
      </c>
      <c r="AX1" s="8" t="s">
        <v>45</v>
      </c>
      <c r="AY1" s="8" t="s">
        <v>46</v>
      </c>
      <c r="AZ1" s="8" t="s">
        <v>47</v>
      </c>
      <c r="BA1" s="8" t="s">
        <v>48</v>
      </c>
      <c r="BB1" s="8" t="s">
        <v>49</v>
      </c>
      <c r="BC1" s="5" t="s">
        <v>50</v>
      </c>
      <c r="BD1" s="5" t="s">
        <v>51</v>
      </c>
      <c r="BE1" s="5" t="s">
        <v>52</v>
      </c>
      <c r="BF1" s="5" t="s">
        <v>53</v>
      </c>
      <c r="BG1" s="5" t="s">
        <v>54</v>
      </c>
      <c r="BH1" s="92" t="s">
        <v>280</v>
      </c>
      <c r="BI1" s="92" t="s">
        <v>281</v>
      </c>
      <c r="BJ1" s="92" t="s">
        <v>282</v>
      </c>
      <c r="BK1" s="92" t="s">
        <v>283</v>
      </c>
    </row>
    <row r="2" spans="1:63" x14ac:dyDescent="0.35">
      <c r="A2" s="11">
        <v>44866</v>
      </c>
      <c r="B2">
        <v>126.672</v>
      </c>
      <c r="C2">
        <v>23.718</v>
      </c>
      <c r="D2">
        <v>352</v>
      </c>
      <c r="E2">
        <v>58.870000000000104</v>
      </c>
      <c r="F2">
        <v>1469</v>
      </c>
      <c r="G2">
        <v>144.92999999999984</v>
      </c>
      <c r="H2">
        <v>24</v>
      </c>
      <c r="I2">
        <v>24</v>
      </c>
      <c r="J2">
        <v>24</v>
      </c>
      <c r="K2" s="83">
        <v>257</v>
      </c>
      <c r="L2" s="83">
        <v>204</v>
      </c>
      <c r="M2" s="83"/>
      <c r="N2" s="83">
        <v>104</v>
      </c>
      <c r="O2">
        <v>4431</v>
      </c>
      <c r="P2" s="83">
        <v>236</v>
      </c>
      <c r="Q2" s="83">
        <v>265</v>
      </c>
      <c r="R2" s="83"/>
      <c r="S2" s="83">
        <v>208</v>
      </c>
      <c r="T2">
        <v>3325</v>
      </c>
      <c r="U2">
        <v>0</v>
      </c>
      <c r="Z2" s="69">
        <v>4.6676136363636367</v>
      </c>
      <c r="AA2">
        <v>4.57</v>
      </c>
      <c r="AC2">
        <v>7494</v>
      </c>
      <c r="AD2" s="83"/>
      <c r="AE2">
        <v>1663</v>
      </c>
      <c r="AG2">
        <v>24</v>
      </c>
      <c r="AH2" s="83"/>
      <c r="AI2">
        <v>24</v>
      </c>
      <c r="AJ2">
        <v>210</v>
      </c>
      <c r="AK2">
        <v>225</v>
      </c>
      <c r="AL2">
        <v>207</v>
      </c>
      <c r="AM2" s="83">
        <v>171</v>
      </c>
      <c r="AN2" s="83">
        <v>126</v>
      </c>
      <c r="AO2" s="83">
        <v>162</v>
      </c>
      <c r="AP2">
        <v>24</v>
      </c>
      <c r="AQ2">
        <v>24</v>
      </c>
      <c r="AR2" s="83">
        <v>169</v>
      </c>
      <c r="AS2" s="83">
        <v>168</v>
      </c>
      <c r="AT2">
        <v>0</v>
      </c>
      <c r="AU2">
        <v>22</v>
      </c>
      <c r="AV2">
        <v>130</v>
      </c>
      <c r="AX2">
        <v>82.423076157421832</v>
      </c>
      <c r="AY2" s="101">
        <v>89</v>
      </c>
      <c r="AZ2">
        <v>74.114211537813134</v>
      </c>
      <c r="BA2" s="83">
        <v>76</v>
      </c>
      <c r="BB2" s="83">
        <v>79</v>
      </c>
      <c r="BD2">
        <v>591.16999999999996</v>
      </c>
      <c r="BE2" s="83">
        <v>580</v>
      </c>
      <c r="BF2" s="83">
        <v>528</v>
      </c>
      <c r="BG2" s="83">
        <v>515</v>
      </c>
      <c r="BH2" s="95">
        <v>24</v>
      </c>
      <c r="BI2" s="95">
        <v>24</v>
      </c>
      <c r="BJ2" s="95">
        <v>24</v>
      </c>
      <c r="BK2" s="95">
        <v>24</v>
      </c>
    </row>
    <row r="3" spans="1:63" x14ac:dyDescent="0.35">
      <c r="A3" s="11">
        <v>44867</v>
      </c>
      <c r="B3">
        <v>123.864</v>
      </c>
      <c r="C3">
        <v>20.922000000000001</v>
      </c>
      <c r="D3">
        <v>436</v>
      </c>
      <c r="E3">
        <v>60.499999999999389</v>
      </c>
      <c r="F3">
        <v>1326</v>
      </c>
      <c r="G3">
        <v>147</v>
      </c>
      <c r="H3">
        <v>24</v>
      </c>
      <c r="I3">
        <v>24</v>
      </c>
      <c r="J3">
        <v>24</v>
      </c>
      <c r="K3" s="83">
        <v>127</v>
      </c>
      <c r="L3" s="83">
        <v>157</v>
      </c>
      <c r="M3" s="83"/>
      <c r="N3" s="83">
        <v>196</v>
      </c>
      <c r="O3">
        <v>4343</v>
      </c>
      <c r="P3" s="83">
        <v>129</v>
      </c>
      <c r="Q3" s="83">
        <v>178</v>
      </c>
      <c r="R3" s="83"/>
      <c r="S3" s="83">
        <v>224</v>
      </c>
      <c r="T3">
        <v>2882</v>
      </c>
      <c r="U3">
        <v>0</v>
      </c>
      <c r="Z3" s="69">
        <v>4.318807339449541</v>
      </c>
      <c r="AA3">
        <v>4.4000000000000004</v>
      </c>
      <c r="AC3">
        <v>7271</v>
      </c>
      <c r="AD3" s="83"/>
      <c r="AE3">
        <v>1903</v>
      </c>
      <c r="AG3">
        <v>24</v>
      </c>
      <c r="AH3" s="83"/>
      <c r="AI3">
        <v>24</v>
      </c>
      <c r="AJ3">
        <v>192</v>
      </c>
      <c r="AK3">
        <v>229</v>
      </c>
      <c r="AL3">
        <v>217</v>
      </c>
      <c r="AM3" s="83">
        <v>188</v>
      </c>
      <c r="AN3" s="83">
        <v>142</v>
      </c>
      <c r="AO3" s="83">
        <v>206</v>
      </c>
      <c r="AP3">
        <v>24</v>
      </c>
      <c r="AQ3">
        <v>24</v>
      </c>
      <c r="AR3" s="83">
        <v>160</v>
      </c>
      <c r="AS3" s="83">
        <v>132</v>
      </c>
      <c r="AT3">
        <v>0</v>
      </c>
      <c r="AU3">
        <v>119</v>
      </c>
      <c r="AV3">
        <v>195</v>
      </c>
      <c r="AX3">
        <v>81.302854623449932</v>
      </c>
      <c r="AY3" s="83">
        <v>85</v>
      </c>
      <c r="AZ3">
        <v>74.396097263292887</v>
      </c>
      <c r="BA3" s="83">
        <v>82</v>
      </c>
      <c r="BB3" s="83">
        <v>90</v>
      </c>
      <c r="BD3">
        <v>598.40499999999997</v>
      </c>
      <c r="BE3" s="83">
        <v>564</v>
      </c>
      <c r="BF3" s="83">
        <v>558</v>
      </c>
      <c r="BG3" s="83">
        <v>512</v>
      </c>
      <c r="BH3" s="95">
        <v>24</v>
      </c>
      <c r="BI3" s="95">
        <v>24</v>
      </c>
      <c r="BJ3" s="95">
        <v>24</v>
      </c>
      <c r="BK3" s="95">
        <v>24</v>
      </c>
    </row>
    <row r="4" spans="1:63" x14ac:dyDescent="0.35">
      <c r="A4" s="11">
        <v>44868</v>
      </c>
      <c r="B4">
        <v>122.376</v>
      </c>
      <c r="C4">
        <v>20.811</v>
      </c>
      <c r="D4">
        <v>347</v>
      </c>
      <c r="E4">
        <v>58.99</v>
      </c>
      <c r="F4">
        <v>1328</v>
      </c>
      <c r="G4">
        <v>175.91</v>
      </c>
      <c r="H4">
        <v>24</v>
      </c>
      <c r="I4">
        <v>24</v>
      </c>
      <c r="J4">
        <v>24</v>
      </c>
      <c r="K4" s="83">
        <v>285</v>
      </c>
      <c r="L4" s="83">
        <v>261</v>
      </c>
      <c r="M4" s="83">
        <v>269</v>
      </c>
      <c r="N4" s="83">
        <v>160</v>
      </c>
      <c r="O4">
        <v>4284</v>
      </c>
      <c r="P4" s="83">
        <v>183</v>
      </c>
      <c r="Q4" s="83">
        <v>296</v>
      </c>
      <c r="R4" s="83">
        <v>281</v>
      </c>
      <c r="S4" s="83">
        <v>299</v>
      </c>
      <c r="T4">
        <v>3024</v>
      </c>
      <c r="U4">
        <v>0</v>
      </c>
      <c r="Z4" s="69">
        <v>4.3899999999999997</v>
      </c>
      <c r="AA4">
        <v>4.32</v>
      </c>
      <c r="AB4">
        <v>2387</v>
      </c>
      <c r="AC4">
        <v>4782</v>
      </c>
      <c r="AD4" s="83">
        <v>2893</v>
      </c>
      <c r="AE4">
        <v>1491</v>
      </c>
      <c r="AF4">
        <v>24</v>
      </c>
      <c r="AG4">
        <v>24</v>
      </c>
      <c r="AH4" s="83">
        <v>24</v>
      </c>
      <c r="AI4">
        <v>24</v>
      </c>
      <c r="AJ4">
        <v>189</v>
      </c>
      <c r="AK4">
        <v>219</v>
      </c>
      <c r="AL4">
        <v>230</v>
      </c>
      <c r="AM4" s="83">
        <v>212</v>
      </c>
      <c r="AN4" s="83">
        <v>233</v>
      </c>
      <c r="AO4" s="83">
        <v>223</v>
      </c>
      <c r="AP4">
        <v>24</v>
      </c>
      <c r="AQ4">
        <v>24</v>
      </c>
      <c r="AR4" s="83">
        <v>172</v>
      </c>
      <c r="AS4" s="83">
        <v>107</v>
      </c>
      <c r="AT4">
        <v>0</v>
      </c>
      <c r="AU4">
        <v>93</v>
      </c>
      <c r="AV4">
        <v>192</v>
      </c>
      <c r="AW4">
        <v>73.062618659575691</v>
      </c>
      <c r="AX4">
        <v>80.799160688495874</v>
      </c>
      <c r="AY4" s="83">
        <v>73</v>
      </c>
      <c r="AZ4">
        <v>74.506845809341016</v>
      </c>
      <c r="BA4" s="83">
        <v>87</v>
      </c>
      <c r="BB4" s="83">
        <v>73</v>
      </c>
      <c r="BC4">
        <v>599.48199999999997</v>
      </c>
      <c r="BD4">
        <v>599.47299999999996</v>
      </c>
      <c r="BE4" s="83">
        <v>600</v>
      </c>
      <c r="BF4" s="83">
        <v>518</v>
      </c>
      <c r="BG4" s="83">
        <v>565</v>
      </c>
      <c r="BH4" s="95">
        <v>24</v>
      </c>
      <c r="BI4" s="95">
        <v>24</v>
      </c>
      <c r="BJ4" s="95">
        <v>24</v>
      </c>
      <c r="BK4" s="95">
        <v>24</v>
      </c>
    </row>
    <row r="5" spans="1:63" x14ac:dyDescent="0.35">
      <c r="A5" s="11">
        <v>44869</v>
      </c>
      <c r="B5">
        <v>133.99199999999999</v>
      </c>
      <c r="C5">
        <v>21.294</v>
      </c>
      <c r="D5">
        <v>104</v>
      </c>
      <c r="E5">
        <v>58.360000000000127</v>
      </c>
      <c r="F5">
        <v>1595</v>
      </c>
      <c r="G5">
        <v>163.07999999999993</v>
      </c>
      <c r="H5">
        <v>24</v>
      </c>
      <c r="I5">
        <v>9</v>
      </c>
      <c r="J5">
        <v>24</v>
      </c>
      <c r="K5" s="83">
        <v>123</v>
      </c>
      <c r="L5" s="83">
        <v>130</v>
      </c>
      <c r="M5" s="83">
        <v>276</v>
      </c>
      <c r="N5" s="83">
        <v>163</v>
      </c>
      <c r="O5">
        <v>4284</v>
      </c>
      <c r="P5" s="83">
        <v>227</v>
      </c>
      <c r="Q5" s="83">
        <v>259</v>
      </c>
      <c r="R5" s="83">
        <v>103</v>
      </c>
      <c r="S5" s="83">
        <v>100</v>
      </c>
      <c r="T5">
        <v>3397</v>
      </c>
      <c r="U5" s="69">
        <v>5.75</v>
      </c>
      <c r="Z5" s="69">
        <v>4.3942307692307692</v>
      </c>
      <c r="AA5">
        <v>4.17</v>
      </c>
      <c r="AB5">
        <v>5652</v>
      </c>
      <c r="AC5">
        <v>1503</v>
      </c>
      <c r="AD5" s="83">
        <v>6614</v>
      </c>
      <c r="AE5">
        <v>1363</v>
      </c>
      <c r="AF5">
        <v>24</v>
      </c>
      <c r="AG5">
        <v>24</v>
      </c>
      <c r="AH5" s="83">
        <v>24</v>
      </c>
      <c r="AI5">
        <v>24</v>
      </c>
      <c r="AJ5">
        <v>215</v>
      </c>
      <c r="AK5">
        <v>240</v>
      </c>
      <c r="AL5">
        <v>246</v>
      </c>
      <c r="AM5" s="83">
        <v>130</v>
      </c>
      <c r="AN5" s="83">
        <v>188</v>
      </c>
      <c r="AO5" s="83">
        <v>108</v>
      </c>
      <c r="AP5">
        <v>24</v>
      </c>
      <c r="AQ5">
        <v>9</v>
      </c>
      <c r="AR5" s="83">
        <v>153</v>
      </c>
      <c r="AS5" s="83">
        <v>164</v>
      </c>
      <c r="AT5">
        <v>14.38</v>
      </c>
      <c r="AU5">
        <v>100</v>
      </c>
      <c r="AV5">
        <v>32</v>
      </c>
      <c r="AW5">
        <v>82.726937047405301</v>
      </c>
      <c r="AX5">
        <v>76.389168067226876</v>
      </c>
      <c r="AY5" s="83">
        <v>87</v>
      </c>
      <c r="AZ5">
        <v>74.575566318980307</v>
      </c>
      <c r="BA5" s="83">
        <v>86</v>
      </c>
      <c r="BB5" s="83">
        <v>82</v>
      </c>
      <c r="BC5">
        <v>597.84899999999993</v>
      </c>
      <c r="BD5">
        <v>544.32999999999993</v>
      </c>
      <c r="BE5" s="83">
        <v>520</v>
      </c>
      <c r="BF5" s="83">
        <v>573</v>
      </c>
      <c r="BG5" s="83">
        <v>552</v>
      </c>
      <c r="BH5" s="95">
        <v>24</v>
      </c>
      <c r="BI5" s="95">
        <v>24</v>
      </c>
      <c r="BJ5" s="95">
        <v>24</v>
      </c>
      <c r="BK5" s="95">
        <v>24</v>
      </c>
    </row>
    <row r="6" spans="1:63" x14ac:dyDescent="0.35">
      <c r="A6" s="11">
        <v>44870</v>
      </c>
      <c r="B6">
        <v>136.77600000000001</v>
      </c>
      <c r="C6">
        <v>23.007000000000001</v>
      </c>
      <c r="F6">
        <v>1668</v>
      </c>
      <c r="G6">
        <v>212.51</v>
      </c>
      <c r="H6">
        <v>24</v>
      </c>
      <c r="J6">
        <v>24</v>
      </c>
      <c r="K6" s="83">
        <v>149</v>
      </c>
      <c r="L6" s="83">
        <v>199</v>
      </c>
      <c r="M6" s="83">
        <v>170</v>
      </c>
      <c r="N6" s="83">
        <v>112</v>
      </c>
      <c r="O6">
        <v>4247</v>
      </c>
      <c r="P6" s="83">
        <v>145</v>
      </c>
      <c r="Q6" s="83">
        <v>229</v>
      </c>
      <c r="R6" s="83">
        <v>136</v>
      </c>
      <c r="S6" s="83">
        <v>154</v>
      </c>
      <c r="T6">
        <v>3655</v>
      </c>
      <c r="U6" s="69">
        <v>12</v>
      </c>
      <c r="Z6" s="69"/>
      <c r="AA6">
        <v>4.0999999999999996</v>
      </c>
      <c r="AB6">
        <v>6849</v>
      </c>
      <c r="AC6" s="83">
        <v>6881</v>
      </c>
      <c r="AD6" s="83">
        <v>6393</v>
      </c>
      <c r="AE6">
        <v>1354</v>
      </c>
      <c r="AF6">
        <v>24</v>
      </c>
      <c r="AG6" s="83">
        <v>24</v>
      </c>
      <c r="AH6" s="83">
        <v>24</v>
      </c>
      <c r="AI6">
        <v>24</v>
      </c>
      <c r="AJ6">
        <v>219</v>
      </c>
      <c r="AK6">
        <v>242</v>
      </c>
      <c r="AL6">
        <v>253</v>
      </c>
      <c r="AM6" s="83">
        <v>192</v>
      </c>
      <c r="AN6" s="83">
        <v>129</v>
      </c>
      <c r="AO6" s="83">
        <v>201</v>
      </c>
      <c r="AP6">
        <v>24</v>
      </c>
      <c r="AQ6">
        <v>19</v>
      </c>
      <c r="AR6" s="83">
        <v>108</v>
      </c>
      <c r="AS6" s="83">
        <v>145</v>
      </c>
      <c r="AT6">
        <v>160</v>
      </c>
      <c r="AU6">
        <v>140</v>
      </c>
      <c r="AW6">
        <v>83.053298801785573</v>
      </c>
      <c r="AY6" s="83">
        <v>80</v>
      </c>
      <c r="AZ6">
        <v>74.566797988298305</v>
      </c>
      <c r="BA6" s="83">
        <v>77</v>
      </c>
      <c r="BB6" s="83">
        <v>85</v>
      </c>
      <c r="BC6">
        <v>593.51199999999994</v>
      </c>
      <c r="BE6" s="83">
        <v>550</v>
      </c>
      <c r="BF6" s="83">
        <v>531</v>
      </c>
      <c r="BG6" s="83">
        <v>559</v>
      </c>
      <c r="BH6" s="95">
        <v>24</v>
      </c>
      <c r="BI6" s="95">
        <v>24</v>
      </c>
      <c r="BJ6" s="95">
        <v>24</v>
      </c>
      <c r="BK6" s="95">
        <v>24</v>
      </c>
    </row>
    <row r="7" spans="1:63" x14ac:dyDescent="0.35">
      <c r="A7" s="11">
        <v>44871</v>
      </c>
      <c r="B7">
        <v>136.80000000000001</v>
      </c>
      <c r="C7">
        <v>22.643999999999998</v>
      </c>
      <c r="F7">
        <v>1681</v>
      </c>
      <c r="G7">
        <v>211.01</v>
      </c>
      <c r="H7">
        <v>24</v>
      </c>
      <c r="J7">
        <v>24</v>
      </c>
      <c r="K7" s="83">
        <v>160</v>
      </c>
      <c r="L7" s="83">
        <v>158</v>
      </c>
      <c r="M7" s="83">
        <v>176</v>
      </c>
      <c r="N7" s="83">
        <v>223</v>
      </c>
      <c r="O7">
        <v>4372</v>
      </c>
      <c r="P7" s="83">
        <v>243</v>
      </c>
      <c r="Q7" s="83">
        <v>149</v>
      </c>
      <c r="R7" s="83">
        <v>101</v>
      </c>
      <c r="S7" s="83">
        <v>150</v>
      </c>
      <c r="T7">
        <v>3246</v>
      </c>
      <c r="U7" s="69">
        <v>21.5</v>
      </c>
      <c r="Z7" s="69"/>
      <c r="AA7">
        <v>4.07</v>
      </c>
      <c r="AB7">
        <v>6846</v>
      </c>
      <c r="AC7" s="83">
        <v>5500</v>
      </c>
      <c r="AD7" s="83">
        <v>3288</v>
      </c>
      <c r="AE7">
        <v>1328</v>
      </c>
      <c r="AF7">
        <v>24</v>
      </c>
      <c r="AG7" s="83">
        <v>24</v>
      </c>
      <c r="AH7" s="83">
        <v>24</v>
      </c>
      <c r="AI7">
        <v>24</v>
      </c>
      <c r="AJ7">
        <v>204</v>
      </c>
      <c r="AK7">
        <v>248</v>
      </c>
      <c r="AL7">
        <v>262</v>
      </c>
      <c r="AM7" s="83">
        <v>156</v>
      </c>
      <c r="AN7" s="83">
        <v>213</v>
      </c>
      <c r="AO7" s="83">
        <v>181</v>
      </c>
      <c r="AP7">
        <v>24</v>
      </c>
      <c r="AQ7">
        <v>22</v>
      </c>
      <c r="AR7" s="83">
        <v>186</v>
      </c>
      <c r="AS7" s="83">
        <v>123</v>
      </c>
      <c r="AT7">
        <v>50.21</v>
      </c>
      <c r="AU7">
        <v>94</v>
      </c>
      <c r="AW7">
        <v>83.008371426134786</v>
      </c>
      <c r="AY7" s="83">
        <v>77</v>
      </c>
      <c r="AZ7">
        <v>74.36767184129198</v>
      </c>
      <c r="BA7" s="83">
        <v>78</v>
      </c>
      <c r="BB7" s="83">
        <v>84</v>
      </c>
      <c r="BC7">
        <v>595.00300000000004</v>
      </c>
      <c r="BE7" s="83">
        <v>541</v>
      </c>
      <c r="BF7" s="83">
        <v>558</v>
      </c>
      <c r="BG7" s="83">
        <v>585</v>
      </c>
      <c r="BH7" s="95">
        <v>24</v>
      </c>
      <c r="BI7" s="95">
        <v>24</v>
      </c>
      <c r="BJ7" s="95">
        <v>24</v>
      </c>
      <c r="BK7" s="95">
        <v>24</v>
      </c>
    </row>
    <row r="8" spans="1:63" x14ac:dyDescent="0.35">
      <c r="A8" s="11">
        <v>44872</v>
      </c>
      <c r="B8">
        <v>132.33600000000001</v>
      </c>
      <c r="C8">
        <v>22.550999999999998</v>
      </c>
      <c r="F8">
        <v>1772</v>
      </c>
      <c r="G8">
        <v>205.47</v>
      </c>
      <c r="H8">
        <v>24</v>
      </c>
      <c r="J8">
        <v>24</v>
      </c>
      <c r="K8" s="83">
        <v>217</v>
      </c>
      <c r="L8" s="83">
        <v>196</v>
      </c>
      <c r="M8" s="83">
        <v>249</v>
      </c>
      <c r="N8" s="83">
        <v>180</v>
      </c>
      <c r="O8">
        <v>4314</v>
      </c>
      <c r="P8" s="83">
        <v>135</v>
      </c>
      <c r="Q8" s="83">
        <v>259</v>
      </c>
      <c r="R8" s="83">
        <v>113</v>
      </c>
      <c r="S8" s="83">
        <v>175</v>
      </c>
      <c r="T8">
        <v>3248</v>
      </c>
      <c r="U8" s="69">
        <v>20.38</v>
      </c>
      <c r="Z8" s="69"/>
      <c r="AA8">
        <v>4.0599999999999996</v>
      </c>
      <c r="AB8">
        <v>7204</v>
      </c>
      <c r="AC8" s="83">
        <v>2921</v>
      </c>
      <c r="AD8" s="83">
        <v>4809</v>
      </c>
      <c r="AE8">
        <v>1351</v>
      </c>
      <c r="AF8">
        <v>24</v>
      </c>
      <c r="AG8" s="83">
        <v>24</v>
      </c>
      <c r="AH8" s="83">
        <v>24</v>
      </c>
      <c r="AI8">
        <v>24</v>
      </c>
      <c r="AJ8">
        <v>214</v>
      </c>
      <c r="AK8">
        <v>236</v>
      </c>
      <c r="AL8">
        <v>243</v>
      </c>
      <c r="AM8" s="83">
        <v>239</v>
      </c>
      <c r="AN8" s="83">
        <v>124</v>
      </c>
      <c r="AO8" s="83">
        <v>125</v>
      </c>
      <c r="AP8">
        <v>24</v>
      </c>
      <c r="AQ8">
        <v>22</v>
      </c>
      <c r="AR8" s="83">
        <v>136</v>
      </c>
      <c r="AS8" s="83">
        <v>192</v>
      </c>
      <c r="AT8">
        <v>59.79</v>
      </c>
      <c r="AU8">
        <v>66</v>
      </c>
      <c r="AW8">
        <v>83.160408352536294</v>
      </c>
      <c r="AY8" s="83">
        <v>86</v>
      </c>
      <c r="AZ8">
        <v>74.387028869286269</v>
      </c>
      <c r="BA8" s="83">
        <v>79</v>
      </c>
      <c r="BB8" s="83">
        <v>84</v>
      </c>
      <c r="BC8">
        <v>592.84799999999996</v>
      </c>
      <c r="BE8" s="83">
        <v>594</v>
      </c>
      <c r="BF8" s="83">
        <v>592</v>
      </c>
      <c r="BG8" s="83">
        <v>514</v>
      </c>
      <c r="BH8" s="95">
        <v>24</v>
      </c>
      <c r="BI8" s="95">
        <v>24</v>
      </c>
      <c r="BJ8" s="95">
        <v>24</v>
      </c>
      <c r="BK8" s="95">
        <v>24</v>
      </c>
    </row>
    <row r="9" spans="1:63" x14ac:dyDescent="0.35">
      <c r="A9" s="11">
        <v>44873</v>
      </c>
      <c r="B9">
        <v>121.416</v>
      </c>
      <c r="C9">
        <v>20.222999999999999</v>
      </c>
      <c r="F9">
        <v>1691</v>
      </c>
      <c r="G9">
        <v>203.73</v>
      </c>
      <c r="H9">
        <v>24</v>
      </c>
      <c r="J9">
        <v>24</v>
      </c>
      <c r="K9" s="83">
        <v>146</v>
      </c>
      <c r="L9" s="83">
        <v>105</v>
      </c>
      <c r="M9" s="83">
        <v>119</v>
      </c>
      <c r="N9" s="83">
        <v>149</v>
      </c>
      <c r="O9">
        <v>4249</v>
      </c>
      <c r="P9" s="83">
        <v>288</v>
      </c>
      <c r="Q9" s="83">
        <v>270</v>
      </c>
      <c r="R9" s="83">
        <v>227</v>
      </c>
      <c r="S9" s="83">
        <v>120</v>
      </c>
      <c r="T9">
        <v>3034</v>
      </c>
      <c r="U9" s="69">
        <v>19.86</v>
      </c>
      <c r="Z9" s="69"/>
      <c r="AA9">
        <v>4.03</v>
      </c>
      <c r="AB9">
        <v>6828</v>
      </c>
      <c r="AC9" s="83">
        <v>5099</v>
      </c>
      <c r="AD9" s="83">
        <v>6032</v>
      </c>
      <c r="AE9">
        <v>1376</v>
      </c>
      <c r="AF9">
        <v>24</v>
      </c>
      <c r="AG9" s="83">
        <v>24</v>
      </c>
      <c r="AH9" s="83">
        <v>24</v>
      </c>
      <c r="AI9">
        <v>24</v>
      </c>
      <c r="AJ9">
        <v>203</v>
      </c>
      <c r="AK9">
        <v>214</v>
      </c>
      <c r="AL9">
        <v>223</v>
      </c>
      <c r="AM9" s="83">
        <v>217</v>
      </c>
      <c r="AN9" s="83">
        <v>225</v>
      </c>
      <c r="AO9" s="83">
        <v>176</v>
      </c>
      <c r="AP9">
        <v>24</v>
      </c>
      <c r="AQ9">
        <v>21</v>
      </c>
      <c r="AR9" s="83">
        <v>172</v>
      </c>
      <c r="AS9" s="83">
        <v>110</v>
      </c>
      <c r="AT9">
        <v>345.63</v>
      </c>
      <c r="AU9">
        <v>69</v>
      </c>
      <c r="AW9">
        <v>83.057879453688273</v>
      </c>
      <c r="AY9" s="83">
        <v>90</v>
      </c>
      <c r="AZ9">
        <v>74.4109139892809</v>
      </c>
      <c r="BA9" s="83">
        <v>74</v>
      </c>
      <c r="BB9" s="83">
        <v>78</v>
      </c>
      <c r="BC9">
        <v>594.93600000000004</v>
      </c>
      <c r="BE9" s="83">
        <v>590</v>
      </c>
      <c r="BF9" s="83">
        <v>562</v>
      </c>
      <c r="BG9" s="83">
        <v>563</v>
      </c>
      <c r="BH9" s="95">
        <v>24</v>
      </c>
      <c r="BI9" s="95">
        <v>24</v>
      </c>
      <c r="BJ9" s="95">
        <v>24</v>
      </c>
      <c r="BK9" s="95">
        <v>24</v>
      </c>
    </row>
    <row r="10" spans="1:63" x14ac:dyDescent="0.35">
      <c r="A10" s="11">
        <v>44874</v>
      </c>
      <c r="B10">
        <v>152.352</v>
      </c>
      <c r="C10">
        <v>23.946000000000002</v>
      </c>
      <c r="F10">
        <v>1487</v>
      </c>
      <c r="G10">
        <v>187.3</v>
      </c>
      <c r="H10">
        <v>24</v>
      </c>
      <c r="J10">
        <v>24</v>
      </c>
      <c r="K10" s="83">
        <v>259</v>
      </c>
      <c r="L10" s="83">
        <v>132</v>
      </c>
      <c r="M10" s="83">
        <v>215</v>
      </c>
      <c r="N10" s="83">
        <v>207</v>
      </c>
      <c r="O10">
        <v>4308</v>
      </c>
      <c r="P10" s="83">
        <v>236</v>
      </c>
      <c r="Q10" s="83">
        <v>118</v>
      </c>
      <c r="R10" s="83">
        <v>211</v>
      </c>
      <c r="S10" s="83">
        <v>192</v>
      </c>
      <c r="T10">
        <v>2943</v>
      </c>
      <c r="U10" s="69">
        <v>23.16</v>
      </c>
      <c r="Z10" s="69"/>
      <c r="AA10">
        <v>4.04</v>
      </c>
      <c r="AB10">
        <v>6024</v>
      </c>
      <c r="AC10" s="83">
        <v>4748</v>
      </c>
      <c r="AD10" s="83">
        <v>1609</v>
      </c>
      <c r="AE10">
        <v>1443</v>
      </c>
      <c r="AF10">
        <v>24</v>
      </c>
      <c r="AG10" s="83">
        <v>24</v>
      </c>
      <c r="AH10" s="83">
        <v>24</v>
      </c>
      <c r="AI10">
        <v>24</v>
      </c>
      <c r="AJ10">
        <v>204</v>
      </c>
      <c r="AK10">
        <v>231</v>
      </c>
      <c r="AL10">
        <v>231</v>
      </c>
      <c r="AM10">
        <v>109</v>
      </c>
      <c r="AN10" s="83">
        <v>143</v>
      </c>
      <c r="AO10" s="83">
        <v>225</v>
      </c>
      <c r="AP10">
        <v>24</v>
      </c>
      <c r="AQ10">
        <v>12</v>
      </c>
      <c r="AR10" s="83">
        <v>108</v>
      </c>
      <c r="AS10" s="83">
        <v>136</v>
      </c>
      <c r="AT10">
        <v>169.79</v>
      </c>
      <c r="AU10">
        <v>73</v>
      </c>
      <c r="AW10">
        <v>82.707689316293738</v>
      </c>
      <c r="AY10" s="83">
        <v>72</v>
      </c>
      <c r="AZ10">
        <v>75.4109139892809</v>
      </c>
      <c r="BA10" s="83">
        <v>70</v>
      </c>
      <c r="BB10" s="83">
        <v>70</v>
      </c>
      <c r="BC10">
        <v>601.60699999999997</v>
      </c>
      <c r="BE10" s="83">
        <v>509</v>
      </c>
      <c r="BF10" s="83">
        <v>598</v>
      </c>
      <c r="BG10" s="83">
        <v>547</v>
      </c>
      <c r="BH10" s="95">
        <v>24</v>
      </c>
      <c r="BI10" s="95">
        <v>24</v>
      </c>
      <c r="BJ10" s="95">
        <v>24</v>
      </c>
      <c r="BK10" s="95">
        <v>24</v>
      </c>
    </row>
    <row r="11" spans="1:63" x14ac:dyDescent="0.35">
      <c r="A11" s="11">
        <v>44875</v>
      </c>
      <c r="B11">
        <v>158.85599999999999</v>
      </c>
      <c r="C11">
        <v>24.954000000000001</v>
      </c>
      <c r="F11">
        <v>1564</v>
      </c>
      <c r="G11">
        <v>198.37</v>
      </c>
      <c r="H11">
        <v>24</v>
      </c>
      <c r="J11">
        <v>24</v>
      </c>
      <c r="K11" s="83">
        <v>207</v>
      </c>
      <c r="L11" s="83">
        <v>142</v>
      </c>
      <c r="M11" s="83">
        <v>191</v>
      </c>
      <c r="N11" s="83">
        <v>214</v>
      </c>
      <c r="O11">
        <v>4308</v>
      </c>
      <c r="P11" s="83">
        <v>160</v>
      </c>
      <c r="Q11" s="83">
        <v>267</v>
      </c>
      <c r="R11" s="83">
        <v>210</v>
      </c>
      <c r="S11" s="83">
        <v>241</v>
      </c>
      <c r="T11">
        <v>2823</v>
      </c>
      <c r="U11" s="69">
        <v>7.75</v>
      </c>
      <c r="Z11" s="69"/>
      <c r="AA11">
        <v>4.0599999999999996</v>
      </c>
      <c r="AB11">
        <v>6364</v>
      </c>
      <c r="AC11" s="83">
        <v>4737</v>
      </c>
      <c r="AD11" s="83">
        <v>2527</v>
      </c>
      <c r="AE11">
        <v>1408</v>
      </c>
      <c r="AF11">
        <v>24</v>
      </c>
      <c r="AG11" s="83">
        <v>24</v>
      </c>
      <c r="AH11" s="83">
        <v>24</v>
      </c>
      <c r="AI11">
        <v>24</v>
      </c>
      <c r="AJ11">
        <v>190</v>
      </c>
      <c r="AK11">
        <v>210</v>
      </c>
      <c r="AL11">
        <v>205</v>
      </c>
      <c r="AM11">
        <v>186</v>
      </c>
      <c r="AN11" s="83">
        <v>129</v>
      </c>
      <c r="AO11" s="83">
        <v>117</v>
      </c>
      <c r="AP11">
        <v>24</v>
      </c>
      <c r="AQ11">
        <v>8</v>
      </c>
      <c r="AR11" s="83">
        <v>198</v>
      </c>
      <c r="AS11" s="83">
        <v>118</v>
      </c>
      <c r="AT11">
        <v>49.58</v>
      </c>
      <c r="AU11">
        <v>84</v>
      </c>
      <c r="AW11">
        <v>82.896271228961851</v>
      </c>
      <c r="AY11" s="83">
        <v>74</v>
      </c>
      <c r="AZ11">
        <v>74.562159146705525</v>
      </c>
      <c r="BA11" s="83">
        <v>84</v>
      </c>
      <c r="BB11" s="83">
        <v>71</v>
      </c>
      <c r="BC11">
        <v>598.13599999999997</v>
      </c>
      <c r="BE11" s="83">
        <v>538</v>
      </c>
      <c r="BF11" s="83">
        <v>547</v>
      </c>
      <c r="BG11" s="83">
        <v>507</v>
      </c>
      <c r="BH11" s="95">
        <v>24</v>
      </c>
      <c r="BI11" s="95">
        <v>24</v>
      </c>
      <c r="BJ11" s="95">
        <v>24</v>
      </c>
      <c r="BK11" s="95">
        <v>24</v>
      </c>
    </row>
    <row r="12" spans="1:63" x14ac:dyDescent="0.35">
      <c r="A12" s="11">
        <v>44876</v>
      </c>
      <c r="B12">
        <v>156.38399999999999</v>
      </c>
      <c r="C12">
        <v>24.513000000000002</v>
      </c>
      <c r="F12">
        <v>1119</v>
      </c>
      <c r="G12">
        <v>170.4</v>
      </c>
      <c r="H12">
        <v>24</v>
      </c>
      <c r="J12">
        <v>24</v>
      </c>
      <c r="K12" s="83">
        <v>299</v>
      </c>
      <c r="L12" s="83">
        <v>260</v>
      </c>
      <c r="M12" s="83">
        <v>179</v>
      </c>
      <c r="N12" s="83">
        <v>162</v>
      </c>
      <c r="O12">
        <v>4360</v>
      </c>
      <c r="P12" s="83">
        <v>225</v>
      </c>
      <c r="Q12" s="83">
        <v>201</v>
      </c>
      <c r="R12" s="83">
        <v>295</v>
      </c>
      <c r="S12" s="83">
        <v>283</v>
      </c>
      <c r="T12">
        <v>3196</v>
      </c>
      <c r="U12" s="69">
        <v>0</v>
      </c>
      <c r="Z12" s="69"/>
      <c r="AA12">
        <v>4.04</v>
      </c>
      <c r="AB12">
        <v>4536</v>
      </c>
      <c r="AC12" s="83">
        <v>3772</v>
      </c>
      <c r="AD12" s="83">
        <v>2890</v>
      </c>
      <c r="AE12">
        <v>1334</v>
      </c>
      <c r="AF12">
        <v>24</v>
      </c>
      <c r="AG12" s="83">
        <v>24</v>
      </c>
      <c r="AH12" s="83">
        <v>24</v>
      </c>
      <c r="AI12">
        <v>24</v>
      </c>
      <c r="AJ12">
        <v>192</v>
      </c>
      <c r="AK12">
        <v>191</v>
      </c>
      <c r="AL12">
        <v>196</v>
      </c>
      <c r="AM12">
        <v>189</v>
      </c>
      <c r="AN12" s="83">
        <v>203</v>
      </c>
      <c r="AO12" s="83">
        <v>199</v>
      </c>
      <c r="AP12">
        <v>24</v>
      </c>
      <c r="AQ12">
        <v>15</v>
      </c>
      <c r="AR12" s="83">
        <v>117</v>
      </c>
      <c r="AS12" s="83">
        <v>174</v>
      </c>
      <c r="AT12">
        <v>0</v>
      </c>
      <c r="AU12">
        <v>80</v>
      </c>
      <c r="AW12">
        <v>80.854735062006782</v>
      </c>
      <c r="AY12" s="83">
        <v>83</v>
      </c>
      <c r="AZ12">
        <v>74.544782114006154</v>
      </c>
      <c r="BA12" s="83">
        <v>74</v>
      </c>
      <c r="BB12" s="83">
        <v>78</v>
      </c>
      <c r="BC12">
        <v>614.72700000000009</v>
      </c>
      <c r="BE12" s="83">
        <v>586</v>
      </c>
      <c r="BF12" s="83">
        <v>577</v>
      </c>
      <c r="BG12" s="83">
        <v>549</v>
      </c>
      <c r="BH12" s="95">
        <v>24</v>
      </c>
      <c r="BI12" s="95">
        <v>24</v>
      </c>
      <c r="BJ12" s="95">
        <v>24</v>
      </c>
      <c r="BK12" s="95">
        <v>24</v>
      </c>
    </row>
    <row r="13" spans="1:63" x14ac:dyDescent="0.35">
      <c r="A13" s="11">
        <v>44877</v>
      </c>
      <c r="B13">
        <v>144.84</v>
      </c>
      <c r="C13">
        <v>21.552</v>
      </c>
      <c r="F13">
        <v>1070</v>
      </c>
      <c r="G13">
        <v>178.26</v>
      </c>
      <c r="H13">
        <v>24</v>
      </c>
      <c r="J13">
        <v>24</v>
      </c>
      <c r="K13" s="83">
        <v>158</v>
      </c>
      <c r="L13" s="83">
        <v>245</v>
      </c>
      <c r="M13" s="83">
        <v>183</v>
      </c>
      <c r="N13" s="83">
        <v>119</v>
      </c>
      <c r="O13">
        <v>4301</v>
      </c>
      <c r="P13" s="83">
        <v>171</v>
      </c>
      <c r="Q13" s="83">
        <v>270</v>
      </c>
      <c r="R13" s="83">
        <v>133</v>
      </c>
      <c r="S13" s="83">
        <v>139</v>
      </c>
      <c r="T13">
        <v>2720</v>
      </c>
      <c r="U13" s="69">
        <v>0.2</v>
      </c>
      <c r="Z13" s="69"/>
      <c r="AA13">
        <v>4.0449999999999999</v>
      </c>
      <c r="AB13">
        <v>4342</v>
      </c>
      <c r="AC13" s="83">
        <v>4564</v>
      </c>
      <c r="AD13" s="83">
        <v>2497</v>
      </c>
      <c r="AE13">
        <v>1341</v>
      </c>
      <c r="AF13">
        <v>24</v>
      </c>
      <c r="AG13" s="83">
        <v>24</v>
      </c>
      <c r="AH13" s="83">
        <v>24</v>
      </c>
      <c r="AI13">
        <v>24</v>
      </c>
      <c r="AJ13">
        <v>175</v>
      </c>
      <c r="AK13">
        <v>193</v>
      </c>
      <c r="AL13">
        <v>176</v>
      </c>
      <c r="AM13">
        <v>179</v>
      </c>
      <c r="AN13" s="83">
        <v>144</v>
      </c>
      <c r="AO13" s="83">
        <v>150</v>
      </c>
      <c r="AP13">
        <v>24</v>
      </c>
      <c r="AQ13">
        <v>21</v>
      </c>
      <c r="AR13" s="83">
        <v>138</v>
      </c>
      <c r="AS13" s="83">
        <v>117</v>
      </c>
      <c r="AT13">
        <v>8.33</v>
      </c>
      <c r="AU13">
        <v>62</v>
      </c>
      <c r="AW13">
        <v>80.311000265532186</v>
      </c>
      <c r="AY13" s="83">
        <v>89</v>
      </c>
      <c r="AZ13">
        <v>74.551771914648199</v>
      </c>
      <c r="BA13" s="83">
        <v>71</v>
      </c>
      <c r="BB13" s="83">
        <v>88</v>
      </c>
      <c r="BC13">
        <v>617.51400000000012</v>
      </c>
      <c r="BE13" s="83">
        <v>517</v>
      </c>
      <c r="BF13" s="83">
        <v>585</v>
      </c>
      <c r="BG13" s="83">
        <v>536</v>
      </c>
      <c r="BH13" s="95">
        <v>24</v>
      </c>
      <c r="BI13" s="95">
        <v>24</v>
      </c>
      <c r="BJ13" s="95">
        <v>24</v>
      </c>
      <c r="BK13" s="95">
        <v>24</v>
      </c>
    </row>
    <row r="14" spans="1:63" x14ac:dyDescent="0.35">
      <c r="A14" s="11">
        <v>44878</v>
      </c>
      <c r="B14">
        <v>174.24</v>
      </c>
      <c r="C14">
        <v>23.844000000000001</v>
      </c>
      <c r="F14">
        <v>1427</v>
      </c>
      <c r="G14">
        <v>192.17000000000002</v>
      </c>
      <c r="H14">
        <v>24</v>
      </c>
      <c r="J14">
        <v>24</v>
      </c>
      <c r="K14" s="83">
        <v>280</v>
      </c>
      <c r="L14" s="83">
        <v>164</v>
      </c>
      <c r="M14" s="83">
        <v>197</v>
      </c>
      <c r="N14" s="83">
        <v>287</v>
      </c>
      <c r="O14">
        <v>4275</v>
      </c>
      <c r="P14" s="83">
        <v>162</v>
      </c>
      <c r="Q14" s="83">
        <v>270</v>
      </c>
      <c r="R14" s="83">
        <v>213</v>
      </c>
      <c r="S14" s="83">
        <v>286</v>
      </c>
      <c r="T14">
        <v>2869</v>
      </c>
      <c r="U14" s="69">
        <v>19.62</v>
      </c>
      <c r="Z14" s="69"/>
      <c r="AA14">
        <v>4.05</v>
      </c>
      <c r="AB14">
        <v>5786</v>
      </c>
      <c r="AC14" s="83">
        <v>4057</v>
      </c>
      <c r="AD14" s="83">
        <v>2976</v>
      </c>
      <c r="AE14">
        <v>1377</v>
      </c>
      <c r="AF14">
        <v>24</v>
      </c>
      <c r="AG14" s="83">
        <v>24</v>
      </c>
      <c r="AH14" s="83">
        <v>24</v>
      </c>
      <c r="AI14">
        <v>24</v>
      </c>
      <c r="AJ14">
        <v>207</v>
      </c>
      <c r="AK14">
        <v>218</v>
      </c>
      <c r="AL14">
        <v>208</v>
      </c>
      <c r="AM14">
        <v>211</v>
      </c>
      <c r="AN14" s="83">
        <v>227</v>
      </c>
      <c r="AO14" s="83">
        <v>117</v>
      </c>
      <c r="AP14">
        <v>24</v>
      </c>
      <c r="AQ14">
        <v>22</v>
      </c>
      <c r="AR14" s="83">
        <v>149</v>
      </c>
      <c r="AS14" s="83">
        <v>154</v>
      </c>
      <c r="AT14">
        <v>113.54</v>
      </c>
      <c r="AU14">
        <v>60</v>
      </c>
      <c r="AW14">
        <v>82.548548301237773</v>
      </c>
      <c r="AY14" s="83">
        <v>79</v>
      </c>
      <c r="AZ14">
        <v>74.628576147030827</v>
      </c>
      <c r="BA14" s="83">
        <v>79</v>
      </c>
      <c r="BB14" s="83">
        <v>77</v>
      </c>
      <c r="BC14">
        <v>603.56200000000001</v>
      </c>
      <c r="BE14" s="83">
        <v>514</v>
      </c>
      <c r="BF14" s="83">
        <v>535</v>
      </c>
      <c r="BG14" s="83">
        <v>531</v>
      </c>
      <c r="BH14" s="95">
        <v>24</v>
      </c>
      <c r="BI14" s="95">
        <v>24</v>
      </c>
      <c r="BJ14" s="95">
        <v>24</v>
      </c>
      <c r="BK14" s="95">
        <v>24</v>
      </c>
    </row>
    <row r="15" spans="1:63" x14ac:dyDescent="0.35">
      <c r="A15" s="11">
        <v>44879</v>
      </c>
      <c r="BH15" s="75"/>
      <c r="BI15" s="75"/>
      <c r="BJ15" s="75"/>
      <c r="BK15" s="75"/>
    </row>
    <row r="16" spans="1:63" x14ac:dyDescent="0.35">
      <c r="A16" s="11">
        <v>44880</v>
      </c>
      <c r="B16" s="65"/>
      <c r="C16" s="65"/>
      <c r="BH16" s="75"/>
      <c r="BI16" s="75"/>
      <c r="BJ16" s="75"/>
      <c r="BK16" s="75"/>
    </row>
    <row r="17" spans="1:63" x14ac:dyDescent="0.35">
      <c r="A17" s="11">
        <v>44881</v>
      </c>
      <c r="B17" s="65"/>
      <c r="BH17" s="75"/>
      <c r="BI17" s="75"/>
      <c r="BJ17" s="75"/>
      <c r="BK17" s="75"/>
    </row>
    <row r="18" spans="1:63" x14ac:dyDescent="0.35">
      <c r="A18" s="11">
        <v>44882</v>
      </c>
      <c r="B18" s="65"/>
      <c r="C18" s="64"/>
      <c r="D18" s="64"/>
      <c r="E18" s="64"/>
      <c r="F18" s="64"/>
      <c r="G18" s="64"/>
      <c r="BH18" s="75"/>
      <c r="BI18" s="75"/>
      <c r="BJ18" s="75"/>
      <c r="BK18" s="75"/>
    </row>
    <row r="19" spans="1:63" x14ac:dyDescent="0.35">
      <c r="A19" s="11">
        <v>44883</v>
      </c>
      <c r="BH19" s="75"/>
      <c r="BI19" s="75"/>
      <c r="BJ19" s="75"/>
      <c r="BK19" s="75"/>
    </row>
    <row r="20" spans="1:63" x14ac:dyDescent="0.35">
      <c r="A20" s="11">
        <v>44884</v>
      </c>
      <c r="E20" s="63"/>
      <c r="BH20" s="75"/>
      <c r="BI20" s="75"/>
      <c r="BJ20" s="75"/>
      <c r="BK20" s="75"/>
    </row>
    <row r="21" spans="1:63" x14ac:dyDescent="0.35">
      <c r="A21" s="11">
        <v>44885</v>
      </c>
      <c r="BH21" s="75"/>
      <c r="BI21" s="75"/>
      <c r="BJ21" s="75"/>
      <c r="BK21" s="75"/>
    </row>
    <row r="23" spans="1:63" x14ac:dyDescent="0.35">
      <c r="A23"/>
    </row>
    <row r="24" spans="1:63" x14ac:dyDescent="0.35">
      <c r="A24"/>
    </row>
    <row r="25" spans="1:63" x14ac:dyDescent="0.35">
      <c r="A25"/>
    </row>
    <row r="26" spans="1:63" x14ac:dyDescent="0.35">
      <c r="A26"/>
    </row>
  </sheetData>
  <pageMargins left="0.7" right="0.7" top="0.75" bottom="0.75" header="0.3" footer="0.3"/>
  <pageSetup orientation="portrait" r:id="rId1"/>
  <ignoredErrors>
    <ignoredError sqref="O3:O6 O9:O14 O8 O7 AP2:AQ6 AP9:AQ14 AP8:AQ8 AP7:AQ7 T2:Y6 T9:Y14 T8:Y8 T7:Y7 BD3:BD5 K2:K14 P2:P14 L4:N14 Q4:S14 L2 N2 L3 N3 Q2 S2 Q3 S3 BD2 BE2:BF14 BG2:BG14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CY31"/>
  <sheetViews>
    <sheetView showGridLines="0" topLeftCell="I1" zoomScale="80" zoomScaleNormal="80" workbookViewId="0">
      <selection activeCell="W23" sqref="W23"/>
    </sheetView>
  </sheetViews>
  <sheetFormatPr defaultRowHeight="14.5" x14ac:dyDescent="0.35"/>
  <cols>
    <col min="1" max="1" width="11.453125" style="11" customWidth="1"/>
    <col min="2" max="69" width="11.453125" customWidth="1"/>
    <col min="70" max="73" width="14.1796875" bestFit="1" customWidth="1"/>
    <col min="74" max="75" width="14.1796875" customWidth="1"/>
    <col min="76" max="99" width="11.453125" customWidth="1"/>
  </cols>
  <sheetData>
    <row r="1" spans="1:103" ht="42.5" customHeight="1" thickBot="1" x14ac:dyDescent="0.4">
      <c r="A1" s="1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153</v>
      </c>
      <c r="L1" s="1" t="s">
        <v>154</v>
      </c>
      <c r="M1" s="1" t="s">
        <v>155</v>
      </c>
      <c r="N1" s="104" t="s">
        <v>305</v>
      </c>
      <c r="O1" s="103" t="s">
        <v>303</v>
      </c>
      <c r="P1" s="97" t="s">
        <v>190</v>
      </c>
      <c r="Q1" s="2" t="s">
        <v>10</v>
      </c>
      <c r="R1" s="2" t="s">
        <v>11</v>
      </c>
      <c r="S1" s="2" t="s">
        <v>13</v>
      </c>
      <c r="T1" s="2" t="s">
        <v>12</v>
      </c>
      <c r="U1" s="3" t="s">
        <v>14</v>
      </c>
      <c r="V1" s="2" t="s">
        <v>15</v>
      </c>
      <c r="W1" s="2" t="s">
        <v>16</v>
      </c>
      <c r="X1" s="2" t="s">
        <v>17</v>
      </c>
      <c r="Y1" s="2" t="s">
        <v>18</v>
      </c>
      <c r="Z1" s="98" t="s">
        <v>191</v>
      </c>
      <c r="AA1" s="104" t="s">
        <v>306</v>
      </c>
      <c r="AB1" s="3" t="s">
        <v>19</v>
      </c>
      <c r="AC1" s="4" t="s">
        <v>20</v>
      </c>
      <c r="AD1" s="4" t="s">
        <v>21</v>
      </c>
      <c r="AE1" s="4" t="s">
        <v>22</v>
      </c>
      <c r="AF1" s="4" t="s">
        <v>23</v>
      </c>
      <c r="AG1" s="4" t="s">
        <v>24</v>
      </c>
      <c r="AH1" s="110" t="s">
        <v>319</v>
      </c>
      <c r="AI1" s="110" t="s">
        <v>320</v>
      </c>
      <c r="AJ1" s="110" t="s">
        <v>321</v>
      </c>
      <c r="AK1" s="110" t="s">
        <v>322</v>
      </c>
      <c r="AL1" s="1" t="s">
        <v>323</v>
      </c>
      <c r="AM1" s="1" t="s">
        <v>324</v>
      </c>
      <c r="AN1" s="1" t="s">
        <v>325</v>
      </c>
      <c r="AO1" s="1" t="s">
        <v>326</v>
      </c>
      <c r="AP1" s="86" t="s">
        <v>104</v>
      </c>
      <c r="AQ1" s="2" t="s">
        <v>249</v>
      </c>
      <c r="AR1" s="2" t="s">
        <v>26</v>
      </c>
      <c r="AS1" s="2" t="s">
        <v>304</v>
      </c>
      <c r="AT1" s="5" t="s">
        <v>55</v>
      </c>
      <c r="AU1" s="5" t="s">
        <v>56</v>
      </c>
      <c r="AV1" s="5" t="s">
        <v>57</v>
      </c>
      <c r="AW1" s="5" t="s">
        <v>58</v>
      </c>
      <c r="AX1" s="6" t="s">
        <v>27</v>
      </c>
      <c r="AY1" s="6" t="s">
        <v>28</v>
      </c>
      <c r="AZ1" s="6" t="s">
        <v>29</v>
      </c>
      <c r="BA1" s="6" t="s">
        <v>30</v>
      </c>
      <c r="BB1" s="86" t="s">
        <v>209</v>
      </c>
      <c r="BC1" s="86" t="s">
        <v>210</v>
      </c>
      <c r="BD1" s="86" t="s">
        <v>211</v>
      </c>
      <c r="BE1" s="86" t="s">
        <v>212</v>
      </c>
      <c r="BF1" s="1" t="s">
        <v>314</v>
      </c>
      <c r="BG1" s="1" t="s">
        <v>313</v>
      </c>
      <c r="BH1" s="1" t="s">
        <v>315</v>
      </c>
      <c r="BI1" s="1" t="s">
        <v>316</v>
      </c>
      <c r="BJ1" s="85" t="s">
        <v>213</v>
      </c>
      <c r="BK1" s="85" t="s">
        <v>214</v>
      </c>
      <c r="BL1" s="85" t="s">
        <v>215</v>
      </c>
      <c r="BM1" s="85" t="s">
        <v>216</v>
      </c>
      <c r="BN1" s="5" t="s">
        <v>31</v>
      </c>
      <c r="BO1" s="5" t="s">
        <v>32</v>
      </c>
      <c r="BP1" s="5" t="s">
        <v>33</v>
      </c>
      <c r="BQ1" s="5" t="s">
        <v>34</v>
      </c>
      <c r="BR1" s="5" t="s">
        <v>286</v>
      </c>
      <c r="BS1" s="5" t="s">
        <v>287</v>
      </c>
      <c r="BT1" s="5" t="s">
        <v>288</v>
      </c>
      <c r="BU1" s="5" t="s">
        <v>289</v>
      </c>
      <c r="BV1" s="5" t="s">
        <v>290</v>
      </c>
      <c r="BW1" s="1" t="s">
        <v>309</v>
      </c>
      <c r="BX1" s="4" t="s">
        <v>37</v>
      </c>
      <c r="BY1" s="4" t="s">
        <v>38</v>
      </c>
      <c r="BZ1" s="7" t="s">
        <v>35</v>
      </c>
      <c r="CA1" s="7" t="s">
        <v>36</v>
      </c>
      <c r="CB1" s="91" t="s">
        <v>239</v>
      </c>
      <c r="CC1" s="91" t="s">
        <v>240</v>
      </c>
      <c r="CD1" s="5" t="s">
        <v>39</v>
      </c>
      <c r="CE1" s="5" t="s">
        <v>40</v>
      </c>
      <c r="CF1" s="8" t="s">
        <v>41</v>
      </c>
      <c r="CG1" s="6" t="s">
        <v>184</v>
      </c>
      <c r="CH1" s="6" t="s">
        <v>232</v>
      </c>
      <c r="CI1" s="9" t="s">
        <v>230</v>
      </c>
      <c r="CJ1" s="9" t="s">
        <v>231</v>
      </c>
      <c r="CK1" s="8" t="s">
        <v>44</v>
      </c>
      <c r="CL1" s="8" t="s">
        <v>45</v>
      </c>
      <c r="CM1" s="8" t="s">
        <v>46</v>
      </c>
      <c r="CN1" s="8" t="s">
        <v>47</v>
      </c>
      <c r="CO1" s="8" t="s">
        <v>48</v>
      </c>
      <c r="CP1" s="8" t="s">
        <v>49</v>
      </c>
      <c r="CQ1" s="5" t="s">
        <v>50</v>
      </c>
      <c r="CR1" s="5" t="s">
        <v>51</v>
      </c>
      <c r="CS1" s="5" t="s">
        <v>52</v>
      </c>
      <c r="CT1" s="5" t="s">
        <v>53</v>
      </c>
      <c r="CU1" s="5" t="s">
        <v>54</v>
      </c>
      <c r="CV1" s="93" t="s">
        <v>280</v>
      </c>
      <c r="CW1" s="93" t="s">
        <v>281</v>
      </c>
      <c r="CX1" s="93" t="s">
        <v>282</v>
      </c>
      <c r="CY1" s="93" t="s">
        <v>283</v>
      </c>
    </row>
    <row r="2" spans="1:103" x14ac:dyDescent="0.35">
      <c r="A2" s="11">
        <v>44866</v>
      </c>
      <c r="B2" s="69">
        <v>126.672</v>
      </c>
      <c r="C2" s="69">
        <v>23.718</v>
      </c>
      <c r="D2">
        <v>352</v>
      </c>
      <c r="E2">
        <v>58.870000000000104</v>
      </c>
      <c r="F2">
        <v>1469</v>
      </c>
      <c r="G2">
        <v>144.92999999999984</v>
      </c>
      <c r="H2">
        <v>24</v>
      </c>
      <c r="I2">
        <v>24</v>
      </c>
      <c r="J2">
        <v>24</v>
      </c>
      <c r="K2" s="69">
        <f>Table13[[#This Row],[Gross Generation 80 (MW)]]/Table13[[#This Row],[80 MW STG Running Hours (Hours)]]</f>
        <v>61.208333333333336</v>
      </c>
      <c r="L2" s="69">
        <f>Table13[[#This Row],[Aux  80 MW (MW)]]/Table13[[#This Row],[80 MW STG Running Hours (Hours)]]</f>
        <v>6.0387499999999932</v>
      </c>
      <c r="M2" s="65">
        <f>Table13[[#This Row],[Aux  80 MW (MW)]]/Table13[[#This Row],[Gross Generation 80 (MW)]]*100</f>
        <v>9.8658951667801116</v>
      </c>
      <c r="N2" s="65">
        <f>Table13[[#This Row],[Coal 80 and 43 MW (MT)]]/SUM(Table13[[#This Row],[80 MW STG Running Hours (Hours)]:[43 MW STG Running Hours (Hours)]])</f>
        <v>11.770833333333334</v>
      </c>
      <c r="O2" s="65">
        <f>Table13[[#This Row],[Steam 0f 80-43MW]]/Table13[[#This Row],[Coal 80 and 43 MW (MT)]]</f>
        <v>16.2070796460177</v>
      </c>
      <c r="P2" s="99">
        <f>SUM(Table13[[#This Row],[Coal -  Thermax 350 TPH (MT)]:[Coal - Thermax AFBC-2 105 TPH (MT)]])</f>
        <v>565</v>
      </c>
      <c r="Q2" s="83">
        <v>257</v>
      </c>
      <c r="R2" s="83">
        <v>204</v>
      </c>
      <c r="S2" s="83"/>
      <c r="T2" s="83">
        <v>104</v>
      </c>
      <c r="U2">
        <v>4431</v>
      </c>
      <c r="V2" s="83">
        <v>236</v>
      </c>
      <c r="W2" s="83">
        <v>265</v>
      </c>
      <c r="X2" s="83"/>
      <c r="Y2" s="83">
        <v>208</v>
      </c>
      <c r="Z2" s="83">
        <f>SUM(Table13[[#This Row],[Lignite -  Thermax 350 TPH (MT)]:[Lignite - Thermax AFBC-2 105 TPH (MT)]])</f>
        <v>709</v>
      </c>
      <c r="AA2" s="100">
        <f>Table13[[#This Row],[Lignite 80 and 43 MW (MT)]]/SUM(Table13[[#This Row],[80 MW STG Running Hours (Hours)]:[43 MW STG Running Hours (Hours)]])</f>
        <v>14.770833333333334</v>
      </c>
      <c r="AB2">
        <v>3325</v>
      </c>
      <c r="AC2">
        <v>0</v>
      </c>
      <c r="AH2" t="e">
        <f>Table13[[#This Row],[Coal -  Thermax 350 TPH (MT)]]/Table13[[#This Row],[Thermax 350 TPH (Running Hrs)]]</f>
        <v>#DIV/0!</v>
      </c>
      <c r="AI2" s="65">
        <f>Table13[[#This Row],[Coal - ISGEC 350 TPH (MT)]]/Table13[[#This Row],[ISGEC 350 TPH(Running Hrs)]]</f>
        <v>8.5</v>
      </c>
      <c r="AJ2" s="65" t="e">
        <f>Table13[[#This Row],[Coal - Thermax AFBC-1 105 TPH (MT)]]/Table13[[#This Row],[Thermax AFBC-1 105 TPH(Running Hrs)]]</f>
        <v>#DIV/0!</v>
      </c>
      <c r="AK2" s="65">
        <f>Table13[[#This Row],[Coal - Thermax AFBC-2 105 TPH (MT)]]/Table13[[#This Row],[Thermax AFBC-2 105 TPH(Running Hrs)]]</f>
        <v>4.333333333333333</v>
      </c>
      <c r="AL2" t="e">
        <f>Table13[[#This Row],[Lignite -  Thermax 350 TPH (MT)]]/Table13[[#This Row],[Thermax 350 TPH (Running Hrs)]]</f>
        <v>#DIV/0!</v>
      </c>
      <c r="AM2" s="65">
        <f>Table13[[#This Row],[Lignite - ISGEC 350 TPH (MT)]]/Table13[[#This Row],[ISGEC 350 TPH(Running Hrs)]]</f>
        <v>11.041666666666666</v>
      </c>
      <c r="AN2" s="65" t="e">
        <f>Table13[[#This Row],[Lignite - Thermax AFBC-1 105 TPH (MT)]]/Table13[[#This Row],[Thermax AFBC-1 105 TPH(Running Hrs)]]</f>
        <v>#DIV/0!</v>
      </c>
      <c r="AO2" s="65">
        <f>Table13[[#This Row],[Lignite - Thermax AFBC-2 105 TPH (MT)]]/Table13[[#This Row],[Thermax AFBC-2 105 TPH(Running Hrs)]]</f>
        <v>8.6666666666666661</v>
      </c>
      <c r="AP2" s="69">
        <f>SUM(Table13[[#This Row],[WHRB-1 (MT)]:[Steam 20 TPH (MT)]])/Table13[[#This Row],[Gross Generation 12MW (MW)]]</f>
        <v>17.918324491600355</v>
      </c>
      <c r="AQ2">
        <v>4.6676136363636367</v>
      </c>
      <c r="AR2">
        <v>4.57</v>
      </c>
      <c r="AS2">
        <f>SUM(Table13[[#This Row],[Thermax 350 TPH (MT)]:[Thermax AFBC-2 105 TPH (MT)]])</f>
        <v>9157</v>
      </c>
      <c r="AT2">
        <v>0</v>
      </c>
      <c r="AU2">
        <v>7494</v>
      </c>
      <c r="AV2" s="83"/>
      <c r="AW2">
        <v>1663</v>
      </c>
      <c r="AX2">
        <v>0</v>
      </c>
      <c r="AY2">
        <v>24</v>
      </c>
      <c r="AZ2" s="83"/>
      <c r="BA2">
        <v>24</v>
      </c>
      <c r="BB2" t="e">
        <f>Table13[[#This Row],[Thermax 350 TPH (MT)]]/Table13[[#This Row],[Thermax 350 TPH (Running Hrs)]]</f>
        <v>#DIV/0!</v>
      </c>
      <c r="BC2" s="65">
        <f>Table13[[#This Row],[ISGEC 350 TPH (MT)]]/Table13[[#This Row],[ISGEC 350 TPH(Running Hrs)]]</f>
        <v>312.25</v>
      </c>
      <c r="BD2" t="e">
        <f>Table13[[#This Row],[Thermax AFBC-1 105 TPH (MT)]]/Table13[[#This Row],[Thermax AFBC-1 105 TPH(Running Hrs)]]</f>
        <v>#DIV/0!</v>
      </c>
      <c r="BE2" s="65">
        <f>Table13[[#This Row],[Thermax AFBC-2 105 TPH (MT)]]/Table13[[#This Row],[Thermax AFBC-2 105 TPH(Running Hrs)]]</f>
        <v>69.291666666666671</v>
      </c>
      <c r="BF2" s="65">
        <f>Table13[[#This Row],[Thermax 350 TPH (MT)]]/Table13[[#This Row],[Coal -  Thermax 350 TPH (MT)]]</f>
        <v>0</v>
      </c>
      <c r="BG2" s="65">
        <f>Table13[[#This Row],[ISGEC 350 TPH (MT)]]/Table13[[#This Row],[Coal - ISGEC 350 TPH (MT)]]</f>
        <v>36.735294117647058</v>
      </c>
      <c r="BH2" s="65" t="e">
        <f>Table13[[#This Row],[Thermax AFBC-1 105 TPH (MT)]]/Table13[[#This Row],[Coal - Thermax AFBC-1 105 TPH (MT)]]</f>
        <v>#DIV/0!</v>
      </c>
      <c r="BI2" s="65">
        <f>Table13[[#This Row],[Thermax AFBC-2 105 TPH (MT)]]/Table13[[#This Row],[Coal - Thermax AFBC-2 105 TPH (MT)]]</f>
        <v>15.990384615384615</v>
      </c>
      <c r="BJ2" s="65">
        <f>Table13[[#This Row],[Thermax 350 TPH (MT)]]/Table13[[#This Row],[Lignite -  Thermax 350 TPH (MT)]]</f>
        <v>0</v>
      </c>
      <c r="BK2" s="65">
        <f>Table13[[#This Row],[ISGEC 350 TPH (MT)]]/Table13[[#This Row],[Lignite - ISGEC 350 TPH (MT)]]</f>
        <v>28.279245283018867</v>
      </c>
      <c r="BL2" s="65" t="e">
        <f>Table13[[#This Row],[Thermax AFBC-1 105 TPH (MT)]]/Table13[[#This Row],[Lignite - Thermax AFBC-1 105 TPH (MT)]]</f>
        <v>#DIV/0!</v>
      </c>
      <c r="BM2" s="65">
        <f>Table13[[#This Row],[Thermax AFBC-2 105 TPH (MT)]]/Table13[[#This Row],[Lignite - Thermax AFBC-2 105 TPH (MT)]]</f>
        <v>7.9951923076923075</v>
      </c>
      <c r="BN2">
        <v>210</v>
      </c>
      <c r="BO2">
        <v>225</v>
      </c>
      <c r="BP2">
        <v>207</v>
      </c>
      <c r="BQ2" s="83">
        <v>171</v>
      </c>
      <c r="BR2" s="96">
        <f>Table13[[#This Row],[WHRB-1 (MT)]]/Table13[[#This Row],[WHRB-1 Running Hr]]</f>
        <v>8.75</v>
      </c>
      <c r="BS2" s="96">
        <f>Table13[[#This Row],[WHRB-2 (MT)]]/Table13[[#This Row],[WHRB-2 Running Hr]]</f>
        <v>9.375</v>
      </c>
      <c r="BT2" s="96">
        <f>Table13[[#This Row],[WHRB-3 (MT)]]/Table13[[#This Row],[WHRB-3 Running Hr]]</f>
        <v>8.625</v>
      </c>
      <c r="BU2" s="96">
        <f>Table13[[#This Row],[WHRB-4 (MT)]]/Table13[[#This Row],[WHRB-4 Running Hr]]</f>
        <v>7.125</v>
      </c>
      <c r="BV2" s="96">
        <f>SUM(Table13[[#This Row],[Pro(TPH)WHRB-1 (MT)]:[Pro(TPH)WHRB-4 (MT)]])</f>
        <v>33.875</v>
      </c>
      <c r="BW2" s="96">
        <f>SUM(Table13[[#This Row],[WHRB-1 (MT)]:[WHRB-4 (MT)]],BX2,BY2)</f>
        <v>1101</v>
      </c>
      <c r="BX2" s="83">
        <v>126</v>
      </c>
      <c r="BY2" s="83">
        <v>162</v>
      </c>
      <c r="BZ2">
        <v>24</v>
      </c>
      <c r="CA2">
        <v>24</v>
      </c>
      <c r="CB2" s="69">
        <f>Table13[[#This Row],[Steam 30TPH (MT)]]/Table13[[#This Row],[Steam 30TPH(running Hrs)]]</f>
        <v>5.25</v>
      </c>
      <c r="CC2" s="69">
        <f>Table13[[#This Row],[Steam 20 TPH (MT)]]/Table13[[#This Row],[Steam 20 TPH(running Hrs)]]</f>
        <v>6.75</v>
      </c>
      <c r="CD2" s="83">
        <v>169</v>
      </c>
      <c r="CE2" s="83">
        <v>168</v>
      </c>
      <c r="CF2">
        <v>0</v>
      </c>
      <c r="CG2" s="65">
        <f>Table13[[#This Row],[Steam To Dearator (43MW)2]]/24</f>
        <v>0.91666666666666663</v>
      </c>
      <c r="CH2" s="65">
        <f>Table13[[#This Row],[Steam To Dearator (80MW)3]]/24</f>
        <v>5.416666666666667</v>
      </c>
      <c r="CI2">
        <v>22</v>
      </c>
      <c r="CJ2">
        <v>130</v>
      </c>
      <c r="CK2">
        <v>0</v>
      </c>
      <c r="CL2">
        <v>82.423076157421832</v>
      </c>
      <c r="CM2">
        <v>0</v>
      </c>
      <c r="CN2">
        <v>74.114211537813134</v>
      </c>
      <c r="CO2">
        <v>0</v>
      </c>
      <c r="CP2">
        <v>0</v>
      </c>
      <c r="CQ2">
        <v>0</v>
      </c>
      <c r="CR2">
        <v>591.16999999999996</v>
      </c>
      <c r="CV2" s="75">
        <v>24</v>
      </c>
      <c r="CW2" s="75">
        <v>24</v>
      </c>
      <c r="CX2" s="75">
        <v>24</v>
      </c>
      <c r="CY2" s="75">
        <v>24</v>
      </c>
    </row>
    <row r="3" spans="1:103" x14ac:dyDescent="0.35">
      <c r="A3" s="11">
        <v>44867</v>
      </c>
      <c r="B3" s="69">
        <v>123.864</v>
      </c>
      <c r="C3" s="69">
        <v>20.922000000000001</v>
      </c>
      <c r="D3">
        <v>436</v>
      </c>
      <c r="E3">
        <v>60.499999999999389</v>
      </c>
      <c r="F3">
        <v>1326</v>
      </c>
      <c r="G3">
        <v>147</v>
      </c>
      <c r="H3">
        <v>24</v>
      </c>
      <c r="I3">
        <v>24</v>
      </c>
      <c r="J3">
        <v>24</v>
      </c>
      <c r="K3" s="69">
        <f>Table13[[#This Row],[Gross Generation 80 (MW)]]/Table13[[#This Row],[80 MW STG Running Hours (Hours)]]</f>
        <v>55.25</v>
      </c>
      <c r="L3" s="69">
        <f>Table13[[#This Row],[Aux  80 MW (MW)]]/Table13[[#This Row],[80 MW STG Running Hours (Hours)]]</f>
        <v>6.125</v>
      </c>
      <c r="M3" s="65">
        <f>Table13[[#This Row],[Aux  80 MW (MW)]]/Table13[[#This Row],[Gross Generation 80 (MW)]]*100</f>
        <v>11.085972850678733</v>
      </c>
      <c r="N3" s="65">
        <f>Table13[[#This Row],[Coal 80 and 43 MW (MT)]]/SUM(Table13[[#This Row],[80 MW STG Running Hours (Hours)]:[43 MW STG Running Hours (Hours)]])</f>
        <v>10</v>
      </c>
      <c r="O3" s="65">
        <f>Table13[[#This Row],[Steam 0f 80-43MW]]/Table13[[#This Row],[Coal 80 and 43 MW (MT)]]</f>
        <v>19.112500000000001</v>
      </c>
      <c r="P3" s="99">
        <f>SUM(Table13[[#This Row],[Coal -  Thermax 350 TPH (MT)]:[Coal - Thermax AFBC-2 105 TPH (MT)]])</f>
        <v>480</v>
      </c>
      <c r="Q3" s="83">
        <v>127</v>
      </c>
      <c r="R3" s="83">
        <v>157</v>
      </c>
      <c r="S3" s="83"/>
      <c r="T3" s="83">
        <v>196</v>
      </c>
      <c r="U3">
        <v>4343</v>
      </c>
      <c r="V3" s="83">
        <v>129</v>
      </c>
      <c r="W3" s="83">
        <v>178</v>
      </c>
      <c r="X3" s="83"/>
      <c r="Y3" s="83">
        <v>224</v>
      </c>
      <c r="Z3" s="83">
        <f>SUM(Table13[[#This Row],[Lignite -  Thermax 350 TPH (MT)]:[Lignite - Thermax AFBC-2 105 TPH (MT)]])</f>
        <v>531</v>
      </c>
      <c r="AA3" s="100">
        <f>Table13[[#This Row],[Lignite 80 and 43 MW (MT)]]/SUM(Table13[[#This Row],[80 MW STG Running Hours (Hours)]:[43 MW STG Running Hours (Hours)]])</f>
        <v>11.0625</v>
      </c>
      <c r="AB3">
        <v>2882</v>
      </c>
      <c r="AC3">
        <v>0</v>
      </c>
      <c r="AH3" t="e">
        <f>Table13[[#This Row],[Coal -  Thermax 350 TPH (MT)]]/Table13[[#This Row],[Thermax 350 TPH (Running Hrs)]]</f>
        <v>#DIV/0!</v>
      </c>
      <c r="AI3" s="65">
        <f>Table13[[#This Row],[Coal - ISGEC 350 TPH (MT)]]/Table13[[#This Row],[ISGEC 350 TPH(Running Hrs)]]</f>
        <v>6.541666666666667</v>
      </c>
      <c r="AJ3" s="65" t="e">
        <f>Table13[[#This Row],[Coal - Thermax AFBC-1 105 TPH (MT)]]/Table13[[#This Row],[Thermax AFBC-1 105 TPH(Running Hrs)]]</f>
        <v>#DIV/0!</v>
      </c>
      <c r="AK3" s="65">
        <f>Table13[[#This Row],[Coal - Thermax AFBC-2 105 TPH (MT)]]/Table13[[#This Row],[Thermax AFBC-2 105 TPH(Running Hrs)]]</f>
        <v>8.1666666666666661</v>
      </c>
      <c r="AL3" t="e">
        <f>Table13[[#This Row],[Lignite -  Thermax 350 TPH (MT)]]/Table13[[#This Row],[Thermax 350 TPH (Running Hrs)]]</f>
        <v>#DIV/0!</v>
      </c>
      <c r="AM3" s="65">
        <f>Table13[[#This Row],[Lignite - ISGEC 350 TPH (MT)]]/Table13[[#This Row],[ISGEC 350 TPH(Running Hrs)]]</f>
        <v>7.416666666666667</v>
      </c>
      <c r="AN3" s="65" t="e">
        <f>Table13[[#This Row],[Lignite - Thermax AFBC-1 105 TPH (MT)]]/Table13[[#This Row],[Thermax AFBC-1 105 TPH(Running Hrs)]]</f>
        <v>#DIV/0!</v>
      </c>
      <c r="AO3" s="65">
        <f>Table13[[#This Row],[Lignite - Thermax AFBC-2 105 TPH (MT)]]/Table13[[#This Row],[Thermax AFBC-2 105 TPH(Running Hrs)]]</f>
        <v>9.3333333333333339</v>
      </c>
      <c r="AP3" s="69">
        <f>SUM(Table13[[#This Row],[WHRB-1 (MT)]:[Steam 20 TPH (MT)]])/Table13[[#This Row],[Gross Generation 12MW (MW)]]</f>
        <v>19.51199164675235</v>
      </c>
      <c r="AQ3">
        <v>4.318807339449541</v>
      </c>
      <c r="AR3">
        <v>4.4000000000000004</v>
      </c>
      <c r="AS3">
        <f>SUM(Table13[[#This Row],[Thermax 350 TPH (MT)]:[Thermax AFBC-2 105 TPH (MT)]])</f>
        <v>9174</v>
      </c>
      <c r="AT3">
        <v>0</v>
      </c>
      <c r="AU3">
        <v>7271</v>
      </c>
      <c r="AV3" s="83"/>
      <c r="AW3">
        <v>1903</v>
      </c>
      <c r="AX3">
        <v>0</v>
      </c>
      <c r="AY3">
        <v>24</v>
      </c>
      <c r="AZ3" s="83"/>
      <c r="BA3">
        <v>24</v>
      </c>
      <c r="BB3" t="e">
        <f>Table13[[#This Row],[Thermax 350 TPH (MT)]]/Table13[[#This Row],[Thermax 350 TPH (Running Hrs)]]</f>
        <v>#DIV/0!</v>
      </c>
      <c r="BC3" s="65">
        <f>Table13[[#This Row],[ISGEC 350 TPH (MT)]]/Table13[[#This Row],[ISGEC 350 TPH(Running Hrs)]]</f>
        <v>302.95833333333331</v>
      </c>
      <c r="BD3" t="e">
        <f>Table13[[#This Row],[Thermax AFBC-1 105 TPH (MT)]]/Table13[[#This Row],[Thermax AFBC-1 105 TPH(Running Hrs)]]</f>
        <v>#DIV/0!</v>
      </c>
      <c r="BE3" s="65">
        <f>Table13[[#This Row],[Thermax AFBC-2 105 TPH (MT)]]/Table13[[#This Row],[Thermax AFBC-2 105 TPH(Running Hrs)]]</f>
        <v>79.291666666666671</v>
      </c>
      <c r="BF3" s="65">
        <f>Table13[[#This Row],[Thermax 350 TPH (MT)]]/Table13[[#This Row],[Coal -  Thermax 350 TPH (MT)]]</f>
        <v>0</v>
      </c>
      <c r="BG3" s="65">
        <f>Table13[[#This Row],[ISGEC 350 TPH (MT)]]/Table13[[#This Row],[Coal - ISGEC 350 TPH (MT)]]</f>
        <v>46.312101910828027</v>
      </c>
      <c r="BH3" s="65" t="e">
        <f>Table13[[#This Row],[Thermax AFBC-1 105 TPH (MT)]]/Table13[[#This Row],[Coal - Thermax AFBC-1 105 TPH (MT)]]</f>
        <v>#DIV/0!</v>
      </c>
      <c r="BI3" s="65">
        <f>Table13[[#This Row],[Thermax AFBC-2 105 TPH (MT)]]/Table13[[#This Row],[Coal - Thermax AFBC-2 105 TPH (MT)]]</f>
        <v>9.7091836734693882</v>
      </c>
      <c r="BJ3" s="65">
        <f>Table13[[#This Row],[Thermax 350 TPH (MT)]]/Table13[[#This Row],[Lignite -  Thermax 350 TPH (MT)]]</f>
        <v>0</v>
      </c>
      <c r="BK3" s="65">
        <f>Table13[[#This Row],[ISGEC 350 TPH (MT)]]/Table13[[#This Row],[Lignite - ISGEC 350 TPH (MT)]]</f>
        <v>40.848314606741575</v>
      </c>
      <c r="BL3" s="65" t="e">
        <f>Table13[[#This Row],[Thermax AFBC-1 105 TPH (MT)]]/Table13[[#This Row],[Lignite - Thermax AFBC-1 105 TPH (MT)]]</f>
        <v>#DIV/0!</v>
      </c>
      <c r="BM3" s="65">
        <f>Table13[[#This Row],[Thermax AFBC-2 105 TPH (MT)]]/Table13[[#This Row],[Lignite - Thermax AFBC-2 105 TPH (MT)]]</f>
        <v>8.4955357142857135</v>
      </c>
      <c r="BN3">
        <v>192</v>
      </c>
      <c r="BO3">
        <v>229</v>
      </c>
      <c r="BP3">
        <v>217</v>
      </c>
      <c r="BQ3" s="83">
        <v>188</v>
      </c>
      <c r="BR3" s="96">
        <f>Table13[[#This Row],[WHRB-1 (MT)]]/Table13[[#This Row],[WHRB-1 Running Hr]]</f>
        <v>8</v>
      </c>
      <c r="BS3" s="96">
        <f>Table13[[#This Row],[WHRB-2 (MT)]]/Table13[[#This Row],[WHRB-2 Running Hr]]</f>
        <v>9.5416666666666661</v>
      </c>
      <c r="BT3" s="96">
        <f>Table13[[#This Row],[WHRB-3 (MT)]]/Table13[[#This Row],[WHRB-3 Running Hr]]</f>
        <v>9.0416666666666661</v>
      </c>
      <c r="BU3" s="96">
        <f>Table13[[#This Row],[WHRB-4 (MT)]]/Table13[[#This Row],[WHRB-4 Running Hr]]</f>
        <v>7.833333333333333</v>
      </c>
      <c r="BV3" s="96">
        <f>SUM(Table13[[#This Row],[Pro(TPH)WHRB-1 (MT)]:[Pro(TPH)WHRB-4 (MT)]])</f>
        <v>34.416666666666664</v>
      </c>
      <c r="BW3" s="96">
        <f>SUM(Table13[[#This Row],[WHRB-1 (MT)]:[WHRB-4 (MT)]],BX3,BY3)</f>
        <v>1174</v>
      </c>
      <c r="BX3" s="83">
        <v>142</v>
      </c>
      <c r="BY3" s="83">
        <v>206</v>
      </c>
      <c r="BZ3">
        <v>24</v>
      </c>
      <c r="CA3">
        <v>24</v>
      </c>
      <c r="CB3" s="69">
        <f>Table13[[#This Row],[Steam 30TPH (MT)]]/Table13[[#This Row],[Steam 30TPH(running Hrs)]]</f>
        <v>5.916666666666667</v>
      </c>
      <c r="CC3" s="69">
        <f>Table13[[#This Row],[Steam 20 TPH (MT)]]/Table13[[#This Row],[Steam 20 TPH(running Hrs)]]</f>
        <v>8.5833333333333339</v>
      </c>
      <c r="CD3" s="83">
        <v>160</v>
      </c>
      <c r="CE3" s="83">
        <v>132</v>
      </c>
      <c r="CF3">
        <v>0</v>
      </c>
      <c r="CG3" s="65">
        <f>Table13[[#This Row],[Steam To Dearator (43MW)2]]/24</f>
        <v>4.958333333333333</v>
      </c>
      <c r="CH3" s="65">
        <f>Table13[[#This Row],[Steam To Dearator (80MW)3]]/24</f>
        <v>8.125</v>
      </c>
      <c r="CI3">
        <v>119</v>
      </c>
      <c r="CJ3">
        <v>195</v>
      </c>
      <c r="CK3">
        <v>0</v>
      </c>
      <c r="CL3">
        <v>81.302854623449932</v>
      </c>
      <c r="CM3">
        <v>0</v>
      </c>
      <c r="CN3">
        <v>74.396097263292887</v>
      </c>
      <c r="CO3">
        <v>0</v>
      </c>
      <c r="CP3">
        <v>0</v>
      </c>
      <c r="CQ3">
        <v>0</v>
      </c>
      <c r="CR3">
        <v>598.40499999999997</v>
      </c>
      <c r="CV3" s="75">
        <v>24</v>
      </c>
      <c r="CW3" s="75">
        <v>24</v>
      </c>
      <c r="CX3" s="75">
        <v>24</v>
      </c>
      <c r="CY3" s="75">
        <v>24</v>
      </c>
    </row>
    <row r="4" spans="1:103" x14ac:dyDescent="0.35">
      <c r="A4" s="11">
        <v>44868</v>
      </c>
      <c r="B4" s="69">
        <v>122.376</v>
      </c>
      <c r="C4" s="69">
        <v>20.811</v>
      </c>
      <c r="D4">
        <v>347</v>
      </c>
      <c r="E4">
        <v>58.99</v>
      </c>
      <c r="F4">
        <v>1328</v>
      </c>
      <c r="G4">
        <v>175.91</v>
      </c>
      <c r="H4">
        <v>24</v>
      </c>
      <c r="I4">
        <v>24</v>
      </c>
      <c r="J4">
        <v>24</v>
      </c>
      <c r="K4" s="69">
        <f>Table13[[#This Row],[Gross Generation 80 (MW)]]/Table13[[#This Row],[80 MW STG Running Hours (Hours)]]</f>
        <v>55.333333333333336</v>
      </c>
      <c r="L4" s="69">
        <f>Table13[[#This Row],[Aux  80 MW (MW)]]/Table13[[#This Row],[80 MW STG Running Hours (Hours)]]</f>
        <v>7.3295833333333329</v>
      </c>
      <c r="M4" s="65">
        <f>Table13[[#This Row],[Aux  80 MW (MW)]]/Table13[[#This Row],[Gross Generation 80 (MW)]]*100</f>
        <v>13.246234939759036</v>
      </c>
      <c r="N4" s="65">
        <f>Table13[[#This Row],[Coal 80 and 43 MW (MT)]]/SUM(Table13[[#This Row],[80 MW STG Running Hours (Hours)]:[43 MW STG Running Hours (Hours)]])</f>
        <v>20.3125</v>
      </c>
      <c r="O4" s="65">
        <f>Table13[[#This Row],[Steam 0f 80-43MW]]/Table13[[#This Row],[Coal 80 and 43 MW (MT)]]</f>
        <v>11.849230769230768</v>
      </c>
      <c r="P4" s="99">
        <f>SUM(Table13[[#This Row],[Coal -  Thermax 350 TPH (MT)]:[Coal - Thermax AFBC-2 105 TPH (MT)]])</f>
        <v>975</v>
      </c>
      <c r="Q4" s="83">
        <v>285</v>
      </c>
      <c r="R4" s="83">
        <v>261</v>
      </c>
      <c r="S4" s="83">
        <v>269</v>
      </c>
      <c r="T4" s="83">
        <v>160</v>
      </c>
      <c r="U4">
        <v>4284</v>
      </c>
      <c r="V4" s="83">
        <v>183</v>
      </c>
      <c r="W4" s="83">
        <v>296</v>
      </c>
      <c r="X4" s="83">
        <v>281</v>
      </c>
      <c r="Y4" s="83">
        <v>299</v>
      </c>
      <c r="Z4" s="83">
        <f>SUM(Table13[[#This Row],[Lignite -  Thermax 350 TPH (MT)]:[Lignite - Thermax AFBC-2 105 TPH (MT)]])</f>
        <v>1059</v>
      </c>
      <c r="AA4" s="100">
        <f>Table13[[#This Row],[Lignite 80 and 43 MW (MT)]]/SUM(Table13[[#This Row],[80 MW STG Running Hours (Hours)]:[43 MW STG Running Hours (Hours)]])</f>
        <v>22.0625</v>
      </c>
      <c r="AB4">
        <v>3024</v>
      </c>
      <c r="AC4">
        <v>0</v>
      </c>
      <c r="AH4" s="65">
        <f>Table13[[#This Row],[Coal -  Thermax 350 TPH (MT)]]/Table13[[#This Row],[Thermax 350 TPH (Running Hrs)]]</f>
        <v>11.875</v>
      </c>
      <c r="AI4" s="65">
        <f>Table13[[#This Row],[Coal - ISGEC 350 TPH (MT)]]/Table13[[#This Row],[ISGEC 350 TPH(Running Hrs)]]</f>
        <v>10.875</v>
      </c>
      <c r="AJ4" s="65">
        <f>Table13[[#This Row],[Coal - Thermax AFBC-1 105 TPH (MT)]]/Table13[[#This Row],[Thermax AFBC-1 105 TPH(Running Hrs)]]</f>
        <v>11.208333333333334</v>
      </c>
      <c r="AK4" s="65">
        <f>Table13[[#This Row],[Coal - Thermax AFBC-2 105 TPH (MT)]]/Table13[[#This Row],[Thermax AFBC-2 105 TPH(Running Hrs)]]</f>
        <v>6.666666666666667</v>
      </c>
      <c r="AL4" s="65">
        <f>Table13[[#This Row],[Lignite -  Thermax 350 TPH (MT)]]/Table13[[#This Row],[Thermax 350 TPH (Running Hrs)]]</f>
        <v>7.625</v>
      </c>
      <c r="AM4" s="65">
        <f>Table13[[#This Row],[Lignite - ISGEC 350 TPH (MT)]]/Table13[[#This Row],[ISGEC 350 TPH(Running Hrs)]]</f>
        <v>12.333333333333334</v>
      </c>
      <c r="AN4" s="65">
        <f>Table13[[#This Row],[Lignite - Thermax AFBC-1 105 TPH (MT)]]/Table13[[#This Row],[Thermax AFBC-1 105 TPH(Running Hrs)]]</f>
        <v>11.708333333333334</v>
      </c>
      <c r="AO4" s="65">
        <f>Table13[[#This Row],[Lignite - Thermax AFBC-2 105 TPH (MT)]]/Table13[[#This Row],[Thermax AFBC-2 105 TPH(Running Hrs)]]</f>
        <v>12.458333333333334</v>
      </c>
      <c r="AP4" s="69">
        <f>SUM(Table13[[#This Row],[WHRB-1 (MT)]:[Steam 20 TPH (MT)]])/Table13[[#This Row],[Gross Generation 12MW (MW)]]</f>
        <v>21.922871587021422</v>
      </c>
      <c r="AQ4">
        <v>4.3899999999999997</v>
      </c>
      <c r="AR4">
        <v>4.32</v>
      </c>
      <c r="AS4">
        <f>SUM(Table13[[#This Row],[Thermax 350 TPH (MT)]:[Thermax AFBC-2 105 TPH (MT)]])</f>
        <v>11553</v>
      </c>
      <c r="AT4">
        <v>2387</v>
      </c>
      <c r="AU4">
        <v>4782</v>
      </c>
      <c r="AV4" s="83">
        <v>2893</v>
      </c>
      <c r="AW4">
        <v>1491</v>
      </c>
      <c r="AX4">
        <v>24</v>
      </c>
      <c r="AY4">
        <v>24</v>
      </c>
      <c r="AZ4" s="83">
        <v>24</v>
      </c>
      <c r="BA4">
        <v>24</v>
      </c>
      <c r="BB4" s="65">
        <f>Table13[[#This Row],[Thermax 350 TPH (MT)]]/Table13[[#This Row],[Thermax 350 TPH (Running Hrs)]]</f>
        <v>99.458333333333329</v>
      </c>
      <c r="BC4" s="65">
        <f>Table13[[#This Row],[ISGEC 350 TPH (MT)]]/Table13[[#This Row],[ISGEC 350 TPH(Running Hrs)]]</f>
        <v>199.25</v>
      </c>
      <c r="BD4" s="65">
        <f>Table13[[#This Row],[Thermax AFBC-1 105 TPH (MT)]]/Table13[[#This Row],[Thermax AFBC-1 105 TPH(Running Hrs)]]</f>
        <v>120.54166666666667</v>
      </c>
      <c r="BE4" s="65">
        <f>Table13[[#This Row],[Thermax AFBC-2 105 TPH (MT)]]/Table13[[#This Row],[Thermax AFBC-2 105 TPH(Running Hrs)]]</f>
        <v>62.125</v>
      </c>
      <c r="BF4" s="65">
        <f>Table13[[#This Row],[Thermax 350 TPH (MT)]]/Table13[[#This Row],[Coal -  Thermax 350 TPH (MT)]]</f>
        <v>8.3754385964912288</v>
      </c>
      <c r="BG4" s="65">
        <f>Table13[[#This Row],[ISGEC 350 TPH (MT)]]/Table13[[#This Row],[Coal - ISGEC 350 TPH (MT)]]</f>
        <v>18.321839080459771</v>
      </c>
      <c r="BH4" s="65">
        <f>Table13[[#This Row],[Thermax AFBC-1 105 TPH (MT)]]/Table13[[#This Row],[Coal - Thermax AFBC-1 105 TPH (MT)]]</f>
        <v>10.754646840148698</v>
      </c>
      <c r="BI4" s="65">
        <f>Table13[[#This Row],[Thermax AFBC-2 105 TPH (MT)]]/Table13[[#This Row],[Coal - Thermax AFBC-2 105 TPH (MT)]]</f>
        <v>9.3187499999999996</v>
      </c>
      <c r="BJ4" s="65">
        <f>Table13[[#This Row],[Thermax 350 TPH (MT)]]/Table13[[#This Row],[Lignite -  Thermax 350 TPH (MT)]]</f>
        <v>13.043715846994536</v>
      </c>
      <c r="BK4" s="65">
        <f>Table13[[#This Row],[ISGEC 350 TPH (MT)]]/Table13[[#This Row],[Lignite - ISGEC 350 TPH (MT)]]</f>
        <v>16.155405405405407</v>
      </c>
      <c r="BL4" s="65">
        <f>Table13[[#This Row],[Thermax AFBC-1 105 TPH (MT)]]/Table13[[#This Row],[Lignite - Thermax AFBC-1 105 TPH (MT)]]</f>
        <v>10.295373665480428</v>
      </c>
      <c r="BM4" s="65">
        <f>Table13[[#This Row],[Thermax AFBC-2 105 TPH (MT)]]/Table13[[#This Row],[Lignite - Thermax AFBC-2 105 TPH (MT)]]</f>
        <v>4.9866220735785953</v>
      </c>
      <c r="BN4">
        <v>189</v>
      </c>
      <c r="BO4">
        <v>219</v>
      </c>
      <c r="BP4">
        <v>230</v>
      </c>
      <c r="BQ4" s="83">
        <v>212</v>
      </c>
      <c r="BR4" s="96">
        <f>Table13[[#This Row],[WHRB-1 (MT)]]/Table13[[#This Row],[WHRB-1 Running Hr]]</f>
        <v>7.875</v>
      </c>
      <c r="BS4" s="96">
        <f>Table13[[#This Row],[WHRB-2 (MT)]]/Table13[[#This Row],[WHRB-2 Running Hr]]</f>
        <v>9.125</v>
      </c>
      <c r="BT4" s="96">
        <f>Table13[[#This Row],[WHRB-3 (MT)]]/Table13[[#This Row],[WHRB-3 Running Hr]]</f>
        <v>9.5833333333333339</v>
      </c>
      <c r="BU4" s="96">
        <f>Table13[[#This Row],[WHRB-4 (MT)]]/Table13[[#This Row],[WHRB-4 Running Hr]]</f>
        <v>8.8333333333333339</v>
      </c>
      <c r="BV4" s="96">
        <f>SUM(Table13[[#This Row],[Pro(TPH)WHRB-1 (MT)]:[Pro(TPH)WHRB-4 (MT)]])</f>
        <v>35.416666666666671</v>
      </c>
      <c r="BW4" s="96">
        <f>SUM(Table13[[#This Row],[WHRB-1 (MT)]:[WHRB-4 (MT)]],BX4,BY4)</f>
        <v>1306</v>
      </c>
      <c r="BX4" s="83">
        <v>233</v>
      </c>
      <c r="BY4" s="83">
        <v>223</v>
      </c>
      <c r="BZ4">
        <v>24</v>
      </c>
      <c r="CA4">
        <v>24</v>
      </c>
      <c r="CB4" s="69">
        <f>Table13[[#This Row],[Steam 30TPH (MT)]]/Table13[[#This Row],[Steam 30TPH(running Hrs)]]</f>
        <v>9.7083333333333339</v>
      </c>
      <c r="CC4" s="69">
        <f>Table13[[#This Row],[Steam 20 TPH (MT)]]/Table13[[#This Row],[Steam 20 TPH(running Hrs)]]</f>
        <v>9.2916666666666661</v>
      </c>
      <c r="CD4" s="83">
        <v>172</v>
      </c>
      <c r="CE4" s="83">
        <v>107</v>
      </c>
      <c r="CF4">
        <v>0</v>
      </c>
      <c r="CG4" s="65">
        <f>Table13[[#This Row],[Steam To Dearator (43MW)2]]/24</f>
        <v>3.875</v>
      </c>
      <c r="CH4" s="65">
        <f>Table13[[#This Row],[Steam To Dearator (80MW)3]]/24</f>
        <v>8</v>
      </c>
      <c r="CI4">
        <v>93</v>
      </c>
      <c r="CJ4">
        <v>192</v>
      </c>
      <c r="CK4">
        <v>73.062618659575691</v>
      </c>
      <c r="CL4">
        <v>80.799160688495874</v>
      </c>
      <c r="CM4">
        <v>0</v>
      </c>
      <c r="CN4">
        <v>74.506845809341016</v>
      </c>
      <c r="CO4">
        <v>0</v>
      </c>
      <c r="CP4">
        <v>0</v>
      </c>
      <c r="CQ4">
        <v>599.48199999999997</v>
      </c>
      <c r="CR4">
        <v>599.47299999999996</v>
      </c>
      <c r="CV4" s="75">
        <v>24</v>
      </c>
      <c r="CW4" s="75">
        <v>24</v>
      </c>
      <c r="CX4" s="75">
        <v>24</v>
      </c>
      <c r="CY4" s="75">
        <v>24</v>
      </c>
    </row>
    <row r="5" spans="1:103" x14ac:dyDescent="0.35">
      <c r="A5" s="11">
        <v>44869</v>
      </c>
      <c r="B5" s="69">
        <v>133.99199999999999</v>
      </c>
      <c r="C5" s="69">
        <v>21.294</v>
      </c>
      <c r="D5">
        <v>104</v>
      </c>
      <c r="E5">
        <v>58.360000000000127</v>
      </c>
      <c r="F5">
        <v>1595</v>
      </c>
      <c r="G5">
        <v>163.07999999999993</v>
      </c>
      <c r="H5">
        <v>24</v>
      </c>
      <c r="I5">
        <v>9</v>
      </c>
      <c r="J5">
        <v>24</v>
      </c>
      <c r="K5" s="69">
        <f>Table13[[#This Row],[Gross Generation 80 (MW)]]/Table13[[#This Row],[80 MW STG Running Hours (Hours)]]</f>
        <v>66.458333333333329</v>
      </c>
      <c r="L5" s="69">
        <f>Table13[[#This Row],[Aux  80 MW (MW)]]/Table13[[#This Row],[80 MW STG Running Hours (Hours)]]</f>
        <v>6.7949999999999973</v>
      </c>
      <c r="M5" s="65">
        <f>Table13[[#This Row],[Aux  80 MW (MW)]]/Table13[[#This Row],[Gross Generation 80 (MW)]]*100</f>
        <v>10.224451410658302</v>
      </c>
      <c r="N5" s="65">
        <f>Table13[[#This Row],[Coal 80 and 43 MW (MT)]]/SUM(Table13[[#This Row],[80 MW STG Running Hours (Hours)]:[43 MW STG Running Hours (Hours)]])</f>
        <v>20.969696969696969</v>
      </c>
      <c r="O5" s="65">
        <f>Table13[[#This Row],[Steam 0f 80-43MW]]/Table13[[#This Row],[Coal 80 and 43 MW (MT)]]</f>
        <v>21.867052023121389</v>
      </c>
      <c r="P5" s="99">
        <f>SUM(Table13[[#This Row],[Coal -  Thermax 350 TPH (MT)]:[Coal - Thermax AFBC-2 105 TPH (MT)]])</f>
        <v>692</v>
      </c>
      <c r="Q5" s="83">
        <v>123</v>
      </c>
      <c r="R5" s="83">
        <v>130</v>
      </c>
      <c r="S5" s="83">
        <v>276</v>
      </c>
      <c r="T5" s="83">
        <v>163</v>
      </c>
      <c r="U5">
        <v>4284</v>
      </c>
      <c r="V5" s="83">
        <v>227</v>
      </c>
      <c r="W5" s="83">
        <v>259</v>
      </c>
      <c r="X5" s="83">
        <v>103</v>
      </c>
      <c r="Y5" s="83">
        <v>100</v>
      </c>
      <c r="Z5" s="83">
        <f>SUM(Table13[[#This Row],[Lignite -  Thermax 350 TPH (MT)]:[Lignite - Thermax AFBC-2 105 TPH (MT)]])</f>
        <v>689</v>
      </c>
      <c r="AA5" s="100">
        <f>Table13[[#This Row],[Lignite 80 and 43 MW (MT)]]/SUM(Table13[[#This Row],[80 MW STG Running Hours (Hours)]:[43 MW STG Running Hours (Hours)]])</f>
        <v>20.878787878787879</v>
      </c>
      <c r="AB5">
        <v>3397</v>
      </c>
      <c r="AC5">
        <v>5.75</v>
      </c>
      <c r="AH5" s="65">
        <f>Table13[[#This Row],[Coal -  Thermax 350 TPH (MT)]]/Table13[[#This Row],[Thermax 350 TPH (Running Hrs)]]</f>
        <v>5.125</v>
      </c>
      <c r="AI5" s="65">
        <f>Table13[[#This Row],[Coal - ISGEC 350 TPH (MT)]]/Table13[[#This Row],[ISGEC 350 TPH(Running Hrs)]]</f>
        <v>5.416666666666667</v>
      </c>
      <c r="AJ5" s="65">
        <f>Table13[[#This Row],[Coal - Thermax AFBC-1 105 TPH (MT)]]/Table13[[#This Row],[Thermax AFBC-1 105 TPH(Running Hrs)]]</f>
        <v>11.5</v>
      </c>
      <c r="AK5" s="65">
        <f>Table13[[#This Row],[Coal - Thermax AFBC-2 105 TPH (MT)]]/Table13[[#This Row],[Thermax AFBC-2 105 TPH(Running Hrs)]]</f>
        <v>6.791666666666667</v>
      </c>
      <c r="AL5" s="65">
        <f>Table13[[#This Row],[Lignite -  Thermax 350 TPH (MT)]]/Table13[[#This Row],[Thermax 350 TPH (Running Hrs)]]</f>
        <v>9.4583333333333339</v>
      </c>
      <c r="AM5" s="65">
        <f>Table13[[#This Row],[Lignite - ISGEC 350 TPH (MT)]]/Table13[[#This Row],[ISGEC 350 TPH(Running Hrs)]]</f>
        <v>10.791666666666666</v>
      </c>
      <c r="AN5" s="65">
        <f>Table13[[#This Row],[Lignite - Thermax AFBC-1 105 TPH (MT)]]/Table13[[#This Row],[Thermax AFBC-1 105 TPH(Running Hrs)]]</f>
        <v>4.291666666666667</v>
      </c>
      <c r="AO5" s="65">
        <f>Table13[[#This Row],[Lignite - Thermax AFBC-2 105 TPH (MT)]]/Table13[[#This Row],[Thermax AFBC-2 105 TPH(Running Hrs)]]</f>
        <v>4.166666666666667</v>
      </c>
      <c r="AP5" s="69">
        <f>SUM(Table13[[#This Row],[WHRB-1 (MT)]:[Steam 20 TPH (MT)]])/Table13[[#This Row],[Gross Generation 12MW (MW)]]</f>
        <v>17.338721714729239</v>
      </c>
      <c r="AQ5">
        <v>4.3942307692307692</v>
      </c>
      <c r="AR5">
        <v>4.17</v>
      </c>
      <c r="AS5">
        <f>SUM(Table13[[#This Row],[Thermax 350 TPH (MT)]:[Thermax AFBC-2 105 TPH (MT)]])</f>
        <v>15132</v>
      </c>
      <c r="AT5">
        <v>5652</v>
      </c>
      <c r="AU5">
        <v>1503</v>
      </c>
      <c r="AV5" s="83">
        <v>6614</v>
      </c>
      <c r="AW5">
        <v>1363</v>
      </c>
      <c r="AX5">
        <v>24</v>
      </c>
      <c r="AY5">
        <v>24</v>
      </c>
      <c r="AZ5" s="83">
        <v>24</v>
      </c>
      <c r="BA5">
        <v>24</v>
      </c>
      <c r="BB5" s="65">
        <f>Table13[[#This Row],[Thermax 350 TPH (MT)]]/Table13[[#This Row],[Thermax 350 TPH (Running Hrs)]]</f>
        <v>235.5</v>
      </c>
      <c r="BC5" s="65">
        <f>Table13[[#This Row],[ISGEC 350 TPH (MT)]]/Table13[[#This Row],[ISGEC 350 TPH(Running Hrs)]]</f>
        <v>62.625</v>
      </c>
      <c r="BD5" s="65">
        <f>Table13[[#This Row],[Thermax AFBC-1 105 TPH (MT)]]/Table13[[#This Row],[Thermax AFBC-1 105 TPH(Running Hrs)]]</f>
        <v>275.58333333333331</v>
      </c>
      <c r="BE5" s="65">
        <f>Table13[[#This Row],[Thermax AFBC-2 105 TPH (MT)]]/Table13[[#This Row],[Thermax AFBC-2 105 TPH(Running Hrs)]]</f>
        <v>56.791666666666664</v>
      </c>
      <c r="BF5" s="65">
        <f>Table13[[#This Row],[Thermax 350 TPH (MT)]]/Table13[[#This Row],[Coal -  Thermax 350 TPH (MT)]]</f>
        <v>45.951219512195124</v>
      </c>
      <c r="BG5" s="65">
        <f>Table13[[#This Row],[ISGEC 350 TPH (MT)]]/Table13[[#This Row],[Coal - ISGEC 350 TPH (MT)]]</f>
        <v>11.561538461538461</v>
      </c>
      <c r="BH5" s="65">
        <f>Table13[[#This Row],[Thermax AFBC-1 105 TPH (MT)]]/Table13[[#This Row],[Coal - Thermax AFBC-1 105 TPH (MT)]]</f>
        <v>23.963768115942027</v>
      </c>
      <c r="BI5" s="65">
        <f>Table13[[#This Row],[Thermax AFBC-2 105 TPH (MT)]]/Table13[[#This Row],[Coal - Thermax AFBC-2 105 TPH (MT)]]</f>
        <v>8.3619631901840492</v>
      </c>
      <c r="BJ5" s="65">
        <f>Table13[[#This Row],[Thermax 350 TPH (MT)]]/Table13[[#This Row],[Lignite -  Thermax 350 TPH (MT)]]</f>
        <v>24.898678414096917</v>
      </c>
      <c r="BK5" s="65">
        <f>Table13[[#This Row],[ISGEC 350 TPH (MT)]]/Table13[[#This Row],[Lignite - ISGEC 350 TPH (MT)]]</f>
        <v>5.8030888030888033</v>
      </c>
      <c r="BL5" s="65">
        <f>Table13[[#This Row],[Thermax AFBC-1 105 TPH (MT)]]/Table13[[#This Row],[Lignite - Thermax AFBC-1 105 TPH (MT)]]</f>
        <v>64.213592233009706</v>
      </c>
      <c r="BM5" s="65">
        <f>Table13[[#This Row],[Thermax AFBC-2 105 TPH (MT)]]/Table13[[#This Row],[Lignite - Thermax AFBC-2 105 TPH (MT)]]</f>
        <v>13.63</v>
      </c>
      <c r="BN5">
        <v>215</v>
      </c>
      <c r="BO5">
        <v>240</v>
      </c>
      <c r="BP5">
        <v>246</v>
      </c>
      <c r="BQ5" s="83">
        <v>130</v>
      </c>
      <c r="BR5" s="96">
        <f>Table13[[#This Row],[WHRB-1 (MT)]]/Table13[[#This Row],[WHRB-1 Running Hr]]</f>
        <v>8.9583333333333339</v>
      </c>
      <c r="BS5" s="96">
        <f>Table13[[#This Row],[WHRB-2 (MT)]]/Table13[[#This Row],[WHRB-2 Running Hr]]</f>
        <v>10</v>
      </c>
      <c r="BT5" s="96">
        <f>Table13[[#This Row],[WHRB-3 (MT)]]/Table13[[#This Row],[WHRB-3 Running Hr]]</f>
        <v>10.25</v>
      </c>
      <c r="BU5" s="96">
        <f>Table13[[#This Row],[WHRB-4 (MT)]]/Table13[[#This Row],[WHRB-4 Running Hr]]</f>
        <v>5.416666666666667</v>
      </c>
      <c r="BV5" s="96">
        <f>SUM(Table13[[#This Row],[Pro(TPH)WHRB-1 (MT)]:[Pro(TPH)WHRB-4 (MT)]])</f>
        <v>34.625</v>
      </c>
      <c r="BW5" s="96">
        <f>SUM(Table13[[#This Row],[WHRB-1 (MT)]:[WHRB-4 (MT)]],BX5,BY5)</f>
        <v>1127</v>
      </c>
      <c r="BX5" s="83">
        <v>188</v>
      </c>
      <c r="BY5" s="83">
        <v>108</v>
      </c>
      <c r="BZ5">
        <v>24</v>
      </c>
      <c r="CA5">
        <v>9</v>
      </c>
      <c r="CB5" s="69">
        <f>Table13[[#This Row],[Steam 30TPH (MT)]]/Table13[[#This Row],[Steam 30TPH(running Hrs)]]</f>
        <v>7.833333333333333</v>
      </c>
      <c r="CC5" s="69">
        <f>Table13[[#This Row],[Steam 20 TPH (MT)]]/Table13[[#This Row],[Steam 20 TPH(running Hrs)]]</f>
        <v>12</v>
      </c>
      <c r="CD5" s="83">
        <v>153</v>
      </c>
      <c r="CE5" s="83">
        <v>164</v>
      </c>
      <c r="CF5">
        <v>14.38</v>
      </c>
      <c r="CG5" s="65">
        <f>Table13[[#This Row],[Steam To Dearator (43MW)2]]/24</f>
        <v>4.166666666666667</v>
      </c>
      <c r="CH5" s="65">
        <f>Table13[[#This Row],[Steam To Dearator (80MW)3]]/24</f>
        <v>1.3333333333333333</v>
      </c>
      <c r="CI5">
        <v>100</v>
      </c>
      <c r="CJ5">
        <v>32</v>
      </c>
      <c r="CK5">
        <v>82.726937047405301</v>
      </c>
      <c r="CL5">
        <v>76.389168067226876</v>
      </c>
      <c r="CM5">
        <v>0</v>
      </c>
      <c r="CN5">
        <v>74.575566318980307</v>
      </c>
      <c r="CO5">
        <v>0</v>
      </c>
      <c r="CP5">
        <v>0</v>
      </c>
      <c r="CQ5">
        <v>597.84899999999993</v>
      </c>
      <c r="CR5">
        <v>544.32999999999993</v>
      </c>
      <c r="CV5" s="75">
        <v>24</v>
      </c>
      <c r="CW5" s="75">
        <v>24</v>
      </c>
      <c r="CX5" s="75">
        <v>24</v>
      </c>
      <c r="CY5" s="75">
        <v>24</v>
      </c>
    </row>
    <row r="6" spans="1:103" x14ac:dyDescent="0.35">
      <c r="A6" s="11">
        <v>44870</v>
      </c>
      <c r="B6" s="69">
        <v>136.77600000000001</v>
      </c>
      <c r="C6" s="69">
        <v>23.007000000000001</v>
      </c>
      <c r="D6">
        <v>0</v>
      </c>
      <c r="E6">
        <v>0</v>
      </c>
      <c r="F6">
        <v>1668</v>
      </c>
      <c r="G6">
        <v>212.51</v>
      </c>
      <c r="H6">
        <v>24</v>
      </c>
      <c r="I6">
        <v>0</v>
      </c>
      <c r="J6">
        <v>24</v>
      </c>
      <c r="K6" s="69">
        <f>Table13[[#This Row],[Gross Generation 80 (MW)]]/Table13[[#This Row],[80 MW STG Running Hours (Hours)]]</f>
        <v>69.5</v>
      </c>
      <c r="L6" s="69">
        <f>Table13[[#This Row],[Aux  80 MW (MW)]]/Table13[[#This Row],[80 MW STG Running Hours (Hours)]]</f>
        <v>8.8545833333333324</v>
      </c>
      <c r="M6" s="65">
        <f>Table13[[#This Row],[Aux  80 MW (MW)]]/Table13[[#This Row],[Gross Generation 80 (MW)]]*100</f>
        <v>12.74040767386091</v>
      </c>
      <c r="N6" s="65">
        <f>Table13[[#This Row],[Coal 80 and 43 MW (MT)]]/SUM(Table13[[#This Row],[80 MW STG Running Hours (Hours)]:[43 MW STG Running Hours (Hours)]])</f>
        <v>26.25</v>
      </c>
      <c r="O6" s="65">
        <f>Table13[[#This Row],[Steam 0f 80-43MW]]/Table13[[#This Row],[Coal 80 and 43 MW (MT)]]</f>
        <v>34.090476190476188</v>
      </c>
      <c r="P6" s="99">
        <f>SUM(Table13[[#This Row],[Coal -  Thermax 350 TPH (MT)]:[Coal - Thermax AFBC-2 105 TPH (MT)]])</f>
        <v>630</v>
      </c>
      <c r="Q6" s="83">
        <v>149</v>
      </c>
      <c r="R6" s="83">
        <v>199</v>
      </c>
      <c r="S6" s="83">
        <v>170</v>
      </c>
      <c r="T6" s="83">
        <v>112</v>
      </c>
      <c r="U6">
        <v>4247</v>
      </c>
      <c r="V6" s="83">
        <v>145</v>
      </c>
      <c r="W6" s="83">
        <v>229</v>
      </c>
      <c r="X6" s="83">
        <v>136</v>
      </c>
      <c r="Y6" s="83">
        <v>154</v>
      </c>
      <c r="Z6" s="83">
        <f>SUM(Table13[[#This Row],[Lignite -  Thermax 350 TPH (MT)]:[Lignite - Thermax AFBC-2 105 TPH (MT)]])</f>
        <v>664</v>
      </c>
      <c r="AA6" s="100">
        <f>Table13[[#This Row],[Lignite 80 and 43 MW (MT)]]/SUM(Table13[[#This Row],[80 MW STG Running Hours (Hours)]:[43 MW STG Running Hours (Hours)]])</f>
        <v>27.666666666666668</v>
      </c>
      <c r="AB6">
        <v>3655</v>
      </c>
      <c r="AC6">
        <v>12</v>
      </c>
      <c r="AH6" s="65">
        <f>Table13[[#This Row],[Coal -  Thermax 350 TPH (MT)]]/Table13[[#This Row],[Thermax 350 TPH (Running Hrs)]]</f>
        <v>6.208333333333333</v>
      </c>
      <c r="AI6" s="65">
        <f>Table13[[#This Row],[Coal - ISGEC 350 TPH (MT)]]/Table13[[#This Row],[ISGEC 350 TPH(Running Hrs)]]</f>
        <v>8.2916666666666661</v>
      </c>
      <c r="AJ6" s="65">
        <f>Table13[[#This Row],[Coal - Thermax AFBC-1 105 TPH (MT)]]/Table13[[#This Row],[Thermax AFBC-1 105 TPH(Running Hrs)]]</f>
        <v>7.083333333333333</v>
      </c>
      <c r="AK6" s="65">
        <f>Table13[[#This Row],[Coal - Thermax AFBC-2 105 TPH (MT)]]/Table13[[#This Row],[Thermax AFBC-2 105 TPH(Running Hrs)]]</f>
        <v>4.666666666666667</v>
      </c>
      <c r="AL6" s="65">
        <f>Table13[[#This Row],[Lignite -  Thermax 350 TPH (MT)]]/Table13[[#This Row],[Thermax 350 TPH (Running Hrs)]]</f>
        <v>6.041666666666667</v>
      </c>
      <c r="AM6" s="65">
        <f>Table13[[#This Row],[Lignite - ISGEC 350 TPH (MT)]]/Table13[[#This Row],[ISGEC 350 TPH(Running Hrs)]]</f>
        <v>9.5416666666666661</v>
      </c>
      <c r="AN6" s="65">
        <f>Table13[[#This Row],[Lignite - Thermax AFBC-1 105 TPH (MT)]]/Table13[[#This Row],[Thermax AFBC-1 105 TPH(Running Hrs)]]</f>
        <v>5.666666666666667</v>
      </c>
      <c r="AO6" s="65">
        <f>Table13[[#This Row],[Lignite - Thermax AFBC-2 105 TPH (MT)]]/Table13[[#This Row],[Thermax AFBC-2 105 TPH(Running Hrs)]]</f>
        <v>6.416666666666667</v>
      </c>
      <c r="AP6" s="69">
        <f>SUM(Table13[[#This Row],[WHRB-1 (MT)]:[Steam 20 TPH (MT)]])/Table13[[#This Row],[Gross Generation 12MW (MW)]]</f>
        <v>18.625343627536992</v>
      </c>
      <c r="AQ6">
        <v>0</v>
      </c>
      <c r="AR6">
        <v>4.0999999999999996</v>
      </c>
      <c r="AS6">
        <f>SUM(Table13[[#This Row],[Thermax 350 TPH (MT)]:[Thermax AFBC-2 105 TPH (MT)]])</f>
        <v>21477</v>
      </c>
      <c r="AT6">
        <v>6849</v>
      </c>
      <c r="AU6" s="83">
        <v>6881</v>
      </c>
      <c r="AV6" s="83">
        <v>6393</v>
      </c>
      <c r="AW6">
        <v>1354</v>
      </c>
      <c r="AX6">
        <v>24</v>
      </c>
      <c r="AY6" s="83">
        <v>24</v>
      </c>
      <c r="AZ6" s="83">
        <v>24</v>
      </c>
      <c r="BA6">
        <v>24</v>
      </c>
      <c r="BB6" s="65">
        <f>Table13[[#This Row],[Thermax 350 TPH (MT)]]/Table13[[#This Row],[Thermax 350 TPH (Running Hrs)]]</f>
        <v>285.375</v>
      </c>
      <c r="BC6" s="65">
        <f>Table13[[#This Row],[ISGEC 350 TPH (MT)]]/Table13[[#This Row],[ISGEC 350 TPH(Running Hrs)]]</f>
        <v>286.70833333333331</v>
      </c>
      <c r="BD6" s="65">
        <f>Table13[[#This Row],[Thermax AFBC-1 105 TPH (MT)]]/Table13[[#This Row],[Thermax AFBC-1 105 TPH(Running Hrs)]]</f>
        <v>266.375</v>
      </c>
      <c r="BE6" s="65">
        <f>Table13[[#This Row],[Thermax AFBC-2 105 TPH (MT)]]/Table13[[#This Row],[Thermax AFBC-2 105 TPH(Running Hrs)]]</f>
        <v>56.416666666666664</v>
      </c>
      <c r="BF6" s="65">
        <f>Table13[[#This Row],[Thermax 350 TPH (MT)]]/Table13[[#This Row],[Coal -  Thermax 350 TPH (MT)]]</f>
        <v>45.966442953020135</v>
      </c>
      <c r="BG6" s="65">
        <f>Table13[[#This Row],[ISGEC 350 TPH (MT)]]/Table13[[#This Row],[Coal - ISGEC 350 TPH (MT)]]</f>
        <v>34.577889447236181</v>
      </c>
      <c r="BH6" s="65">
        <f>Table13[[#This Row],[Thermax AFBC-1 105 TPH (MT)]]/Table13[[#This Row],[Coal - Thermax AFBC-1 105 TPH (MT)]]</f>
        <v>37.60588235294118</v>
      </c>
      <c r="BI6" s="65">
        <f>Table13[[#This Row],[Thermax AFBC-2 105 TPH (MT)]]/Table13[[#This Row],[Coal - Thermax AFBC-2 105 TPH (MT)]]</f>
        <v>12.089285714285714</v>
      </c>
      <c r="BJ6" s="65">
        <f>Table13[[#This Row],[Thermax 350 TPH (MT)]]/Table13[[#This Row],[Lignite -  Thermax 350 TPH (MT)]]</f>
        <v>47.234482758620686</v>
      </c>
      <c r="BK6" s="65">
        <f>Table13[[#This Row],[ISGEC 350 TPH (MT)]]/Table13[[#This Row],[Lignite - ISGEC 350 TPH (MT)]]</f>
        <v>30.048034934497817</v>
      </c>
      <c r="BL6" s="65">
        <f>Table13[[#This Row],[Thermax AFBC-1 105 TPH (MT)]]/Table13[[#This Row],[Lignite - Thermax AFBC-1 105 TPH (MT)]]</f>
        <v>47.007352941176471</v>
      </c>
      <c r="BM6" s="65">
        <f>Table13[[#This Row],[Thermax AFBC-2 105 TPH (MT)]]/Table13[[#This Row],[Lignite - Thermax AFBC-2 105 TPH (MT)]]</f>
        <v>8.7922077922077921</v>
      </c>
      <c r="BN6">
        <v>219</v>
      </c>
      <c r="BO6">
        <v>242</v>
      </c>
      <c r="BP6">
        <v>253</v>
      </c>
      <c r="BQ6" s="83">
        <v>192</v>
      </c>
      <c r="BR6" s="96">
        <f>Table13[[#This Row],[WHRB-1 (MT)]]/Table13[[#This Row],[WHRB-1 Running Hr]]</f>
        <v>9.125</v>
      </c>
      <c r="BS6" s="96">
        <f>Table13[[#This Row],[WHRB-2 (MT)]]/Table13[[#This Row],[WHRB-2 Running Hr]]</f>
        <v>10.083333333333334</v>
      </c>
      <c r="BT6" s="96">
        <f>Table13[[#This Row],[WHRB-3 (MT)]]/Table13[[#This Row],[WHRB-3 Running Hr]]</f>
        <v>10.541666666666666</v>
      </c>
      <c r="BU6" s="96">
        <f>Table13[[#This Row],[WHRB-4 (MT)]]/Table13[[#This Row],[WHRB-4 Running Hr]]</f>
        <v>8</v>
      </c>
      <c r="BV6" s="96">
        <f>SUM(Table13[[#This Row],[Pro(TPH)WHRB-1 (MT)]:[Pro(TPH)WHRB-4 (MT)]])</f>
        <v>37.75</v>
      </c>
      <c r="BW6" s="96">
        <f>SUM(Table13[[#This Row],[WHRB-1 (MT)]:[WHRB-4 (MT)]],BX6,BY6)</f>
        <v>1236</v>
      </c>
      <c r="BX6" s="83">
        <v>129</v>
      </c>
      <c r="BY6" s="83">
        <v>201</v>
      </c>
      <c r="BZ6">
        <v>24</v>
      </c>
      <c r="CA6">
        <v>19</v>
      </c>
      <c r="CB6" s="69">
        <f>Table13[[#This Row],[Steam 30TPH (MT)]]/Table13[[#This Row],[Steam 30TPH(running Hrs)]]</f>
        <v>5.375</v>
      </c>
      <c r="CC6" s="69">
        <f>Table13[[#This Row],[Steam 20 TPH (MT)]]/Table13[[#This Row],[Steam 20 TPH(running Hrs)]]</f>
        <v>10.578947368421053</v>
      </c>
      <c r="CD6" s="83">
        <v>108</v>
      </c>
      <c r="CE6" s="83">
        <v>145</v>
      </c>
      <c r="CF6">
        <v>160</v>
      </c>
      <c r="CG6" s="65">
        <f>Table13[[#This Row],[Steam To Dearator (43MW)2]]/24</f>
        <v>5.833333333333333</v>
      </c>
      <c r="CH6" s="65">
        <f>Table13[[#This Row],[Steam To Dearator (80MW)3]]/24</f>
        <v>0</v>
      </c>
      <c r="CI6">
        <v>140</v>
      </c>
      <c r="CJ6">
        <v>0</v>
      </c>
      <c r="CK6">
        <v>83.053298801785573</v>
      </c>
      <c r="CL6">
        <v>0</v>
      </c>
      <c r="CM6">
        <v>0</v>
      </c>
      <c r="CN6">
        <v>74.566797988298305</v>
      </c>
      <c r="CO6">
        <v>0</v>
      </c>
      <c r="CP6">
        <v>0</v>
      </c>
      <c r="CQ6">
        <v>593.51199999999994</v>
      </c>
      <c r="CR6">
        <v>0</v>
      </c>
      <c r="CV6" s="75">
        <v>24</v>
      </c>
      <c r="CW6" s="75">
        <v>24</v>
      </c>
      <c r="CX6" s="75">
        <v>24</v>
      </c>
      <c r="CY6" s="75">
        <v>24</v>
      </c>
    </row>
    <row r="7" spans="1:103" x14ac:dyDescent="0.35">
      <c r="A7" s="11">
        <v>44871</v>
      </c>
      <c r="B7" s="69">
        <v>136.80000000000001</v>
      </c>
      <c r="C7" s="69">
        <v>22.643999999999998</v>
      </c>
      <c r="D7">
        <v>0</v>
      </c>
      <c r="E7">
        <v>0</v>
      </c>
      <c r="F7">
        <v>1681</v>
      </c>
      <c r="G7">
        <v>211.01</v>
      </c>
      <c r="H7">
        <v>24</v>
      </c>
      <c r="I7">
        <v>0</v>
      </c>
      <c r="J7">
        <v>24</v>
      </c>
      <c r="K7" s="69">
        <f>Table13[[#This Row],[Gross Generation 80 (MW)]]/Table13[[#This Row],[80 MW STG Running Hours (Hours)]]</f>
        <v>70.041666666666671</v>
      </c>
      <c r="L7" s="69">
        <f>Table13[[#This Row],[Aux  80 MW (MW)]]/Table13[[#This Row],[80 MW STG Running Hours (Hours)]]</f>
        <v>8.7920833333333324</v>
      </c>
      <c r="M7" s="65">
        <f>Table13[[#This Row],[Aux  80 MW (MW)]]/Table13[[#This Row],[Gross Generation 80 (MW)]]*100</f>
        <v>12.552647233789409</v>
      </c>
      <c r="N7" s="65">
        <f>Table13[[#This Row],[Coal 80 and 43 MW (MT)]]/SUM(Table13[[#This Row],[80 MW STG Running Hours (Hours)]:[43 MW STG Running Hours (Hours)]])</f>
        <v>29.875</v>
      </c>
      <c r="O7" s="65">
        <f>Table13[[#This Row],[Steam 0f 80-43MW]]/Table13[[#This Row],[Coal 80 and 43 MW (MT)]]</f>
        <v>23.656903765690377</v>
      </c>
      <c r="P7" s="99">
        <f>SUM(Table13[[#This Row],[Coal -  Thermax 350 TPH (MT)]:[Coal - Thermax AFBC-2 105 TPH (MT)]])</f>
        <v>717</v>
      </c>
      <c r="Q7" s="83">
        <v>160</v>
      </c>
      <c r="R7" s="83">
        <v>158</v>
      </c>
      <c r="S7" s="83">
        <v>176</v>
      </c>
      <c r="T7" s="83">
        <v>223</v>
      </c>
      <c r="U7">
        <v>4372</v>
      </c>
      <c r="V7" s="83">
        <v>243</v>
      </c>
      <c r="W7" s="83">
        <v>149</v>
      </c>
      <c r="X7" s="83">
        <v>101</v>
      </c>
      <c r="Y7" s="83">
        <v>150</v>
      </c>
      <c r="Z7" s="83">
        <f>SUM(Table13[[#This Row],[Lignite -  Thermax 350 TPH (MT)]:[Lignite - Thermax AFBC-2 105 TPH (MT)]])</f>
        <v>643</v>
      </c>
      <c r="AA7" s="100">
        <f>Table13[[#This Row],[Lignite 80 and 43 MW (MT)]]/SUM(Table13[[#This Row],[80 MW STG Running Hours (Hours)]:[43 MW STG Running Hours (Hours)]])</f>
        <v>26.791666666666668</v>
      </c>
      <c r="AB7">
        <v>3246</v>
      </c>
      <c r="AC7">
        <v>21.5</v>
      </c>
      <c r="AH7" s="65">
        <f>Table13[[#This Row],[Coal -  Thermax 350 TPH (MT)]]/Table13[[#This Row],[Thermax 350 TPH (Running Hrs)]]</f>
        <v>6.666666666666667</v>
      </c>
      <c r="AI7" s="65">
        <f>Table13[[#This Row],[Coal - ISGEC 350 TPH (MT)]]/Table13[[#This Row],[ISGEC 350 TPH(Running Hrs)]]</f>
        <v>6.583333333333333</v>
      </c>
      <c r="AJ7" s="65">
        <f>Table13[[#This Row],[Coal - Thermax AFBC-1 105 TPH (MT)]]/Table13[[#This Row],[Thermax AFBC-1 105 TPH(Running Hrs)]]</f>
        <v>7.333333333333333</v>
      </c>
      <c r="AK7" s="65">
        <f>Table13[[#This Row],[Coal - Thermax AFBC-2 105 TPH (MT)]]/Table13[[#This Row],[Thermax AFBC-2 105 TPH(Running Hrs)]]</f>
        <v>9.2916666666666661</v>
      </c>
      <c r="AL7" s="65">
        <f>Table13[[#This Row],[Lignite -  Thermax 350 TPH (MT)]]/Table13[[#This Row],[Thermax 350 TPH (Running Hrs)]]</f>
        <v>10.125</v>
      </c>
      <c r="AM7" s="65">
        <f>Table13[[#This Row],[Lignite - ISGEC 350 TPH (MT)]]/Table13[[#This Row],[ISGEC 350 TPH(Running Hrs)]]</f>
        <v>6.208333333333333</v>
      </c>
      <c r="AN7" s="65">
        <f>Table13[[#This Row],[Lignite - Thermax AFBC-1 105 TPH (MT)]]/Table13[[#This Row],[Thermax AFBC-1 105 TPH(Running Hrs)]]</f>
        <v>4.208333333333333</v>
      </c>
      <c r="AO7" s="65">
        <f>Table13[[#This Row],[Lignite - Thermax AFBC-2 105 TPH (MT)]]/Table13[[#This Row],[Thermax AFBC-2 105 TPH(Running Hrs)]]</f>
        <v>6.25</v>
      </c>
      <c r="AP7" s="69">
        <f>SUM(Table13[[#This Row],[WHRB-1 (MT)]:[Steam 20 TPH (MT)]])/Table13[[#This Row],[Gross Generation 12MW (MW)]]</f>
        <v>19.009502923976605</v>
      </c>
      <c r="AQ7">
        <v>0</v>
      </c>
      <c r="AR7">
        <v>4.07</v>
      </c>
      <c r="AS7">
        <f>SUM(Table13[[#This Row],[Thermax 350 TPH (MT)]:[Thermax AFBC-2 105 TPH (MT)]])</f>
        <v>16962</v>
      </c>
      <c r="AT7">
        <v>6846</v>
      </c>
      <c r="AU7" s="83">
        <v>5500</v>
      </c>
      <c r="AV7" s="83">
        <v>3288</v>
      </c>
      <c r="AW7">
        <v>1328</v>
      </c>
      <c r="AX7">
        <v>24</v>
      </c>
      <c r="AY7" s="83">
        <v>24</v>
      </c>
      <c r="AZ7" s="83">
        <v>24</v>
      </c>
      <c r="BA7">
        <v>24</v>
      </c>
      <c r="BB7" s="65">
        <f>Table13[[#This Row],[Thermax 350 TPH (MT)]]/Table13[[#This Row],[Thermax 350 TPH (Running Hrs)]]</f>
        <v>285.25</v>
      </c>
      <c r="BC7" s="65">
        <f>Table13[[#This Row],[ISGEC 350 TPH (MT)]]/Table13[[#This Row],[ISGEC 350 TPH(Running Hrs)]]</f>
        <v>229.16666666666666</v>
      </c>
      <c r="BD7" s="65">
        <f>Table13[[#This Row],[Thermax AFBC-1 105 TPH (MT)]]/Table13[[#This Row],[Thermax AFBC-1 105 TPH(Running Hrs)]]</f>
        <v>137</v>
      </c>
      <c r="BE7" s="65">
        <f>Table13[[#This Row],[Thermax AFBC-2 105 TPH (MT)]]/Table13[[#This Row],[Thermax AFBC-2 105 TPH(Running Hrs)]]</f>
        <v>55.333333333333336</v>
      </c>
      <c r="BF7" s="65">
        <f>Table13[[#This Row],[Thermax 350 TPH (MT)]]/Table13[[#This Row],[Coal -  Thermax 350 TPH (MT)]]</f>
        <v>42.787500000000001</v>
      </c>
      <c r="BG7" s="65">
        <f>Table13[[#This Row],[ISGEC 350 TPH (MT)]]/Table13[[#This Row],[Coal - ISGEC 350 TPH (MT)]]</f>
        <v>34.810126582278478</v>
      </c>
      <c r="BH7" s="65">
        <f>Table13[[#This Row],[Thermax AFBC-1 105 TPH (MT)]]/Table13[[#This Row],[Coal - Thermax AFBC-1 105 TPH (MT)]]</f>
        <v>18.681818181818183</v>
      </c>
      <c r="BI7" s="65">
        <f>Table13[[#This Row],[Thermax AFBC-2 105 TPH (MT)]]/Table13[[#This Row],[Coal - Thermax AFBC-2 105 TPH (MT)]]</f>
        <v>5.9551569506726461</v>
      </c>
      <c r="BJ7" s="65">
        <f>Table13[[#This Row],[Thermax 350 TPH (MT)]]/Table13[[#This Row],[Lignite -  Thermax 350 TPH (MT)]]</f>
        <v>28.172839506172838</v>
      </c>
      <c r="BK7" s="65">
        <f>Table13[[#This Row],[ISGEC 350 TPH (MT)]]/Table13[[#This Row],[Lignite - ISGEC 350 TPH (MT)]]</f>
        <v>36.912751677852349</v>
      </c>
      <c r="BL7" s="65">
        <f>Table13[[#This Row],[Thermax AFBC-1 105 TPH (MT)]]/Table13[[#This Row],[Lignite - Thermax AFBC-1 105 TPH (MT)]]</f>
        <v>32.554455445544555</v>
      </c>
      <c r="BM7" s="65">
        <f>Table13[[#This Row],[Thermax AFBC-2 105 TPH (MT)]]/Table13[[#This Row],[Lignite - Thermax AFBC-2 105 TPH (MT)]]</f>
        <v>8.8533333333333335</v>
      </c>
      <c r="BN7">
        <v>204</v>
      </c>
      <c r="BO7">
        <v>248</v>
      </c>
      <c r="BP7">
        <v>262</v>
      </c>
      <c r="BQ7" s="83">
        <v>156</v>
      </c>
      <c r="BR7" s="96">
        <f>Table13[[#This Row],[WHRB-1 (MT)]]/Table13[[#This Row],[WHRB-1 Running Hr]]</f>
        <v>8.5</v>
      </c>
      <c r="BS7" s="96">
        <f>Table13[[#This Row],[WHRB-2 (MT)]]/Table13[[#This Row],[WHRB-2 Running Hr]]</f>
        <v>10.333333333333334</v>
      </c>
      <c r="BT7" s="96">
        <f>Table13[[#This Row],[WHRB-3 (MT)]]/Table13[[#This Row],[WHRB-3 Running Hr]]</f>
        <v>10.916666666666666</v>
      </c>
      <c r="BU7" s="96">
        <f>Table13[[#This Row],[WHRB-4 (MT)]]/Table13[[#This Row],[WHRB-4 Running Hr]]</f>
        <v>6.5</v>
      </c>
      <c r="BV7" s="96">
        <f>SUM(Table13[[#This Row],[Pro(TPH)WHRB-1 (MT)]:[Pro(TPH)WHRB-4 (MT)]])</f>
        <v>36.25</v>
      </c>
      <c r="BW7" s="96">
        <f>SUM(Table13[[#This Row],[WHRB-1 (MT)]:[WHRB-4 (MT)]],BX7,BY7)</f>
        <v>1264</v>
      </c>
      <c r="BX7" s="83">
        <v>213</v>
      </c>
      <c r="BY7" s="83">
        <v>181</v>
      </c>
      <c r="BZ7">
        <v>24</v>
      </c>
      <c r="CA7">
        <v>22</v>
      </c>
      <c r="CB7" s="69">
        <f>Table13[[#This Row],[Steam 30TPH (MT)]]/Table13[[#This Row],[Steam 30TPH(running Hrs)]]</f>
        <v>8.875</v>
      </c>
      <c r="CC7" s="69">
        <f>Table13[[#This Row],[Steam 20 TPH (MT)]]/Table13[[#This Row],[Steam 20 TPH(running Hrs)]]</f>
        <v>8.2272727272727266</v>
      </c>
      <c r="CD7" s="83">
        <v>186</v>
      </c>
      <c r="CE7" s="83">
        <v>123</v>
      </c>
      <c r="CF7">
        <v>50.21</v>
      </c>
      <c r="CG7" s="65">
        <f>Table13[[#This Row],[Steam To Dearator (43MW)2]]/24</f>
        <v>3.9166666666666665</v>
      </c>
      <c r="CH7" s="65">
        <f>Table13[[#This Row],[Steam To Dearator (80MW)3]]/24</f>
        <v>0</v>
      </c>
      <c r="CI7">
        <v>94</v>
      </c>
      <c r="CJ7">
        <v>0</v>
      </c>
      <c r="CK7">
        <v>83.008371426134786</v>
      </c>
      <c r="CL7">
        <v>0</v>
      </c>
      <c r="CM7">
        <v>0</v>
      </c>
      <c r="CN7">
        <v>74.36767184129198</v>
      </c>
      <c r="CO7">
        <v>0</v>
      </c>
      <c r="CP7">
        <v>0</v>
      </c>
      <c r="CQ7">
        <v>595.00300000000004</v>
      </c>
      <c r="CR7">
        <v>0</v>
      </c>
      <c r="CV7" s="75">
        <v>24</v>
      </c>
      <c r="CW7" s="75">
        <v>24</v>
      </c>
      <c r="CX7" s="75">
        <v>24</v>
      </c>
      <c r="CY7" s="75">
        <v>24</v>
      </c>
    </row>
    <row r="8" spans="1:103" x14ac:dyDescent="0.35">
      <c r="A8" s="11">
        <v>44872</v>
      </c>
      <c r="B8" s="69">
        <v>132.33600000000001</v>
      </c>
      <c r="C8" s="69">
        <v>22.550999999999998</v>
      </c>
      <c r="D8">
        <v>0</v>
      </c>
      <c r="E8">
        <v>0</v>
      </c>
      <c r="F8">
        <v>1772</v>
      </c>
      <c r="G8">
        <v>205.47</v>
      </c>
      <c r="H8">
        <v>24</v>
      </c>
      <c r="I8">
        <v>0</v>
      </c>
      <c r="J8">
        <v>24</v>
      </c>
      <c r="K8" s="69">
        <f>Table13[[#This Row],[Gross Generation 80 (MW)]]/Table13[[#This Row],[80 MW STG Running Hours (Hours)]]</f>
        <v>73.833333333333329</v>
      </c>
      <c r="L8" s="69">
        <f>Table13[[#This Row],[Aux  80 MW (MW)]]/Table13[[#This Row],[80 MW STG Running Hours (Hours)]]</f>
        <v>8.5612499999999994</v>
      </c>
      <c r="M8" s="65">
        <f>Table13[[#This Row],[Aux  80 MW (MW)]]/Table13[[#This Row],[Gross Generation 80 (MW)]]*100</f>
        <v>11.595372460496614</v>
      </c>
      <c r="N8" s="65">
        <f>Table13[[#This Row],[Coal 80 and 43 MW (MT)]]/SUM(Table13[[#This Row],[80 MW STG Running Hours (Hours)]:[43 MW STG Running Hours (Hours)]])</f>
        <v>35.083333333333336</v>
      </c>
      <c r="O8" s="65">
        <f>Table13[[#This Row],[Steam 0f 80-43MW]]/Table13[[#This Row],[Coal 80 and 43 MW (MT)]]</f>
        <v>19.340855106888363</v>
      </c>
      <c r="P8" s="99">
        <f>SUM(Table13[[#This Row],[Coal -  Thermax 350 TPH (MT)]:[Coal - Thermax AFBC-2 105 TPH (MT)]])</f>
        <v>842</v>
      </c>
      <c r="Q8" s="83">
        <v>217</v>
      </c>
      <c r="R8" s="83">
        <v>196</v>
      </c>
      <c r="S8" s="83">
        <v>249</v>
      </c>
      <c r="T8" s="83">
        <v>180</v>
      </c>
      <c r="U8">
        <v>4314</v>
      </c>
      <c r="V8" s="83">
        <v>135</v>
      </c>
      <c r="W8" s="83">
        <v>259</v>
      </c>
      <c r="X8" s="83">
        <v>113</v>
      </c>
      <c r="Y8" s="83">
        <v>175</v>
      </c>
      <c r="Z8" s="83">
        <f>SUM(Table13[[#This Row],[Lignite -  Thermax 350 TPH (MT)]:[Lignite - Thermax AFBC-2 105 TPH (MT)]])</f>
        <v>682</v>
      </c>
      <c r="AA8" s="100">
        <f>Table13[[#This Row],[Lignite 80 and 43 MW (MT)]]/SUM(Table13[[#This Row],[80 MW STG Running Hours (Hours)]:[43 MW STG Running Hours (Hours)]])</f>
        <v>28.416666666666668</v>
      </c>
      <c r="AB8">
        <v>3248</v>
      </c>
      <c r="AC8">
        <v>20.38</v>
      </c>
      <c r="AH8" s="65">
        <f>Table13[[#This Row],[Coal -  Thermax 350 TPH (MT)]]/Table13[[#This Row],[Thermax 350 TPH (Running Hrs)]]</f>
        <v>9.0416666666666661</v>
      </c>
      <c r="AI8" s="65">
        <f>Table13[[#This Row],[Coal - ISGEC 350 TPH (MT)]]/Table13[[#This Row],[ISGEC 350 TPH(Running Hrs)]]</f>
        <v>8.1666666666666661</v>
      </c>
      <c r="AJ8" s="65">
        <f>Table13[[#This Row],[Coal - Thermax AFBC-1 105 TPH (MT)]]/Table13[[#This Row],[Thermax AFBC-1 105 TPH(Running Hrs)]]</f>
        <v>10.375</v>
      </c>
      <c r="AK8" s="65">
        <f>Table13[[#This Row],[Coal - Thermax AFBC-2 105 TPH (MT)]]/Table13[[#This Row],[Thermax AFBC-2 105 TPH(Running Hrs)]]</f>
        <v>7.5</v>
      </c>
      <c r="AL8" s="65">
        <f>Table13[[#This Row],[Lignite -  Thermax 350 TPH (MT)]]/Table13[[#This Row],[Thermax 350 TPH (Running Hrs)]]</f>
        <v>5.625</v>
      </c>
      <c r="AM8" s="65">
        <f>Table13[[#This Row],[Lignite - ISGEC 350 TPH (MT)]]/Table13[[#This Row],[ISGEC 350 TPH(Running Hrs)]]</f>
        <v>10.791666666666666</v>
      </c>
      <c r="AN8" s="65">
        <f>Table13[[#This Row],[Lignite - Thermax AFBC-1 105 TPH (MT)]]/Table13[[#This Row],[Thermax AFBC-1 105 TPH(Running Hrs)]]</f>
        <v>4.708333333333333</v>
      </c>
      <c r="AO8" s="65">
        <f>Table13[[#This Row],[Lignite - Thermax AFBC-2 105 TPH (MT)]]/Table13[[#This Row],[Thermax AFBC-2 105 TPH(Running Hrs)]]</f>
        <v>7.291666666666667</v>
      </c>
      <c r="AP8" s="69">
        <f>SUM(Table13[[#This Row],[WHRB-1 (MT)]:[Steam 20 TPH (MT)]])/Table13[[#This Row],[Gross Generation 12MW (MW)]]</f>
        <v>18.43539676782332</v>
      </c>
      <c r="AQ8">
        <v>0</v>
      </c>
      <c r="AR8">
        <v>4.0599999999999996</v>
      </c>
      <c r="AS8">
        <f>SUM(Table13[[#This Row],[Thermax 350 TPH (MT)]:[Thermax AFBC-2 105 TPH (MT)]])</f>
        <v>16285</v>
      </c>
      <c r="AT8">
        <v>7204</v>
      </c>
      <c r="AU8" s="83">
        <v>2921</v>
      </c>
      <c r="AV8" s="83">
        <v>4809</v>
      </c>
      <c r="AW8">
        <v>1351</v>
      </c>
      <c r="AX8">
        <v>24</v>
      </c>
      <c r="AY8" s="83">
        <v>24</v>
      </c>
      <c r="AZ8" s="83">
        <v>24</v>
      </c>
      <c r="BA8">
        <v>24</v>
      </c>
      <c r="BB8" s="65">
        <f>Table13[[#This Row],[Thermax 350 TPH (MT)]]/Table13[[#This Row],[Thermax 350 TPH (Running Hrs)]]</f>
        <v>300.16666666666669</v>
      </c>
      <c r="BC8" s="65">
        <f>Table13[[#This Row],[ISGEC 350 TPH (MT)]]/Table13[[#This Row],[ISGEC 350 TPH(Running Hrs)]]</f>
        <v>121.70833333333333</v>
      </c>
      <c r="BD8" s="65">
        <f>Table13[[#This Row],[Thermax AFBC-1 105 TPH (MT)]]/Table13[[#This Row],[Thermax AFBC-1 105 TPH(Running Hrs)]]</f>
        <v>200.375</v>
      </c>
      <c r="BE8" s="65">
        <f>Table13[[#This Row],[Thermax AFBC-2 105 TPH (MT)]]/Table13[[#This Row],[Thermax AFBC-2 105 TPH(Running Hrs)]]</f>
        <v>56.291666666666664</v>
      </c>
      <c r="BF8" s="65">
        <f>Table13[[#This Row],[Thermax 350 TPH (MT)]]/Table13[[#This Row],[Coal -  Thermax 350 TPH (MT)]]</f>
        <v>33.198156682027651</v>
      </c>
      <c r="BG8" s="65">
        <f>Table13[[#This Row],[ISGEC 350 TPH (MT)]]/Table13[[#This Row],[Coal - ISGEC 350 TPH (MT)]]</f>
        <v>14.903061224489797</v>
      </c>
      <c r="BH8" s="65">
        <f>Table13[[#This Row],[Thermax AFBC-1 105 TPH (MT)]]/Table13[[#This Row],[Coal - Thermax AFBC-1 105 TPH (MT)]]</f>
        <v>19.313253012048193</v>
      </c>
      <c r="BI8" s="65">
        <f>Table13[[#This Row],[Thermax AFBC-2 105 TPH (MT)]]/Table13[[#This Row],[Coal - Thermax AFBC-2 105 TPH (MT)]]</f>
        <v>7.5055555555555555</v>
      </c>
      <c r="BJ8" s="65">
        <f>Table13[[#This Row],[Thermax 350 TPH (MT)]]/Table13[[#This Row],[Lignite -  Thermax 350 TPH (MT)]]</f>
        <v>53.36296296296296</v>
      </c>
      <c r="BK8" s="65">
        <f>Table13[[#This Row],[ISGEC 350 TPH (MT)]]/Table13[[#This Row],[Lignite - ISGEC 350 TPH (MT)]]</f>
        <v>11.277992277992277</v>
      </c>
      <c r="BL8" s="65">
        <f>Table13[[#This Row],[Thermax AFBC-1 105 TPH (MT)]]/Table13[[#This Row],[Lignite - Thermax AFBC-1 105 TPH (MT)]]</f>
        <v>42.557522123893804</v>
      </c>
      <c r="BM8" s="65">
        <f>Table13[[#This Row],[Thermax AFBC-2 105 TPH (MT)]]/Table13[[#This Row],[Lignite - Thermax AFBC-2 105 TPH (MT)]]</f>
        <v>7.72</v>
      </c>
      <c r="BN8">
        <v>214</v>
      </c>
      <c r="BO8">
        <v>236</v>
      </c>
      <c r="BP8">
        <v>243</v>
      </c>
      <c r="BQ8" s="83">
        <v>239</v>
      </c>
      <c r="BR8" s="96">
        <f>Table13[[#This Row],[WHRB-1 (MT)]]/Table13[[#This Row],[WHRB-1 Running Hr]]</f>
        <v>8.9166666666666661</v>
      </c>
      <c r="BS8" s="96">
        <f>Table13[[#This Row],[WHRB-2 (MT)]]/Table13[[#This Row],[WHRB-2 Running Hr]]</f>
        <v>9.8333333333333339</v>
      </c>
      <c r="BT8" s="96">
        <f>Table13[[#This Row],[WHRB-3 (MT)]]/Table13[[#This Row],[WHRB-3 Running Hr]]</f>
        <v>10.125</v>
      </c>
      <c r="BU8" s="96">
        <f>Table13[[#This Row],[WHRB-4 (MT)]]/Table13[[#This Row],[WHRB-4 Running Hr]]</f>
        <v>9.9583333333333339</v>
      </c>
      <c r="BV8" s="96">
        <f>SUM(Table13[[#This Row],[Pro(TPH)WHRB-1 (MT)]:[Pro(TPH)WHRB-4 (MT)]])</f>
        <v>38.833333333333336</v>
      </c>
      <c r="BW8" s="96">
        <f>SUM(Table13[[#This Row],[WHRB-1 (MT)]:[WHRB-4 (MT)]],BX8,BY8)</f>
        <v>1181</v>
      </c>
      <c r="BX8" s="83">
        <v>124</v>
      </c>
      <c r="BY8" s="83">
        <v>125</v>
      </c>
      <c r="BZ8">
        <v>24</v>
      </c>
      <c r="CA8">
        <v>22</v>
      </c>
      <c r="CB8" s="69">
        <f>Table13[[#This Row],[Steam 30TPH (MT)]]/Table13[[#This Row],[Steam 30TPH(running Hrs)]]</f>
        <v>5.166666666666667</v>
      </c>
      <c r="CC8" s="69">
        <f>Table13[[#This Row],[Steam 20 TPH (MT)]]/Table13[[#This Row],[Steam 20 TPH(running Hrs)]]</f>
        <v>5.6818181818181817</v>
      </c>
      <c r="CD8" s="83">
        <v>136</v>
      </c>
      <c r="CE8" s="83">
        <v>192</v>
      </c>
      <c r="CF8">
        <v>59.79</v>
      </c>
      <c r="CG8" s="65">
        <f>Table13[[#This Row],[Steam To Dearator (43MW)2]]/24</f>
        <v>2.75</v>
      </c>
      <c r="CH8" s="65">
        <f>Table13[[#This Row],[Steam To Dearator (80MW)3]]/24</f>
        <v>0</v>
      </c>
      <c r="CI8">
        <v>66</v>
      </c>
      <c r="CJ8">
        <v>0</v>
      </c>
      <c r="CK8">
        <v>83.160408352536294</v>
      </c>
      <c r="CL8">
        <v>0</v>
      </c>
      <c r="CM8">
        <v>0</v>
      </c>
      <c r="CN8">
        <v>74.387028869286269</v>
      </c>
      <c r="CO8">
        <v>0</v>
      </c>
      <c r="CP8">
        <v>0</v>
      </c>
      <c r="CQ8">
        <v>592.84799999999996</v>
      </c>
      <c r="CR8">
        <v>0</v>
      </c>
      <c r="CV8" s="75">
        <v>24</v>
      </c>
      <c r="CW8" s="75">
        <v>24</v>
      </c>
      <c r="CX8" s="75">
        <v>24</v>
      </c>
      <c r="CY8" s="75">
        <v>24</v>
      </c>
    </row>
    <row r="9" spans="1:103" x14ac:dyDescent="0.35">
      <c r="A9" s="11">
        <v>44873</v>
      </c>
      <c r="B9" s="69">
        <v>121.416</v>
      </c>
      <c r="C9" s="69">
        <v>20.222999999999999</v>
      </c>
      <c r="D9">
        <v>0</v>
      </c>
      <c r="E9">
        <v>0</v>
      </c>
      <c r="F9">
        <v>1691</v>
      </c>
      <c r="G9">
        <v>203.73</v>
      </c>
      <c r="H9">
        <v>24</v>
      </c>
      <c r="I9">
        <v>0</v>
      </c>
      <c r="J9">
        <v>24</v>
      </c>
      <c r="K9" s="69">
        <f>Table13[[#This Row],[Gross Generation 80 (MW)]]/Table13[[#This Row],[80 MW STG Running Hours (Hours)]]</f>
        <v>70.458333333333329</v>
      </c>
      <c r="L9" s="69">
        <f>Table13[[#This Row],[Aux  80 MW (MW)]]/Table13[[#This Row],[80 MW STG Running Hours (Hours)]]</f>
        <v>8.4887499999999996</v>
      </c>
      <c r="M9" s="65">
        <f>Table13[[#This Row],[Aux  80 MW (MW)]]/Table13[[#This Row],[Gross Generation 80 (MW)]]*100</f>
        <v>12.04790065050266</v>
      </c>
      <c r="N9" s="65">
        <f>Table13[[#This Row],[Coal 80 and 43 MW (MT)]]/SUM(Table13[[#This Row],[80 MW STG Running Hours (Hours)]:[43 MW STG Running Hours (Hours)]])</f>
        <v>21.625</v>
      </c>
      <c r="O9" s="65">
        <f>Table13[[#This Row],[Steam 0f 80-43MW]]/Table13[[#This Row],[Coal 80 and 43 MW (MT)]]</f>
        <v>37.25433526011561</v>
      </c>
      <c r="P9" s="99">
        <f>SUM(Table13[[#This Row],[Coal -  Thermax 350 TPH (MT)]:[Coal - Thermax AFBC-2 105 TPH (MT)]])</f>
        <v>519</v>
      </c>
      <c r="Q9" s="83">
        <v>146</v>
      </c>
      <c r="R9" s="83">
        <v>105</v>
      </c>
      <c r="S9" s="83">
        <v>119</v>
      </c>
      <c r="T9" s="83">
        <v>149</v>
      </c>
      <c r="U9">
        <v>4249</v>
      </c>
      <c r="V9" s="83">
        <v>288</v>
      </c>
      <c r="W9" s="83">
        <v>270</v>
      </c>
      <c r="X9" s="83">
        <v>227</v>
      </c>
      <c r="Y9" s="83">
        <v>120</v>
      </c>
      <c r="Z9" s="83">
        <f>SUM(Table13[[#This Row],[Lignite -  Thermax 350 TPH (MT)]:[Lignite - Thermax AFBC-2 105 TPH (MT)]])</f>
        <v>905</v>
      </c>
      <c r="AA9" s="100">
        <f>Table13[[#This Row],[Lignite 80 and 43 MW (MT)]]/SUM(Table13[[#This Row],[80 MW STG Running Hours (Hours)]:[43 MW STG Running Hours (Hours)]])</f>
        <v>37.708333333333336</v>
      </c>
      <c r="AB9">
        <v>3034</v>
      </c>
      <c r="AC9">
        <v>19.86</v>
      </c>
      <c r="AH9" s="65">
        <f>Table13[[#This Row],[Coal -  Thermax 350 TPH (MT)]]/Table13[[#This Row],[Thermax 350 TPH (Running Hrs)]]</f>
        <v>6.083333333333333</v>
      </c>
      <c r="AI9" s="65">
        <f>Table13[[#This Row],[Coal - ISGEC 350 TPH (MT)]]/Table13[[#This Row],[ISGEC 350 TPH(Running Hrs)]]</f>
        <v>4.375</v>
      </c>
      <c r="AJ9" s="65">
        <f>Table13[[#This Row],[Coal - Thermax AFBC-1 105 TPH (MT)]]/Table13[[#This Row],[Thermax AFBC-1 105 TPH(Running Hrs)]]</f>
        <v>4.958333333333333</v>
      </c>
      <c r="AK9" s="65">
        <f>Table13[[#This Row],[Coal - Thermax AFBC-2 105 TPH (MT)]]/Table13[[#This Row],[Thermax AFBC-2 105 TPH(Running Hrs)]]</f>
        <v>6.208333333333333</v>
      </c>
      <c r="AL9" s="65">
        <f>Table13[[#This Row],[Lignite -  Thermax 350 TPH (MT)]]/Table13[[#This Row],[Thermax 350 TPH (Running Hrs)]]</f>
        <v>12</v>
      </c>
      <c r="AM9" s="65">
        <f>Table13[[#This Row],[Lignite - ISGEC 350 TPH (MT)]]/Table13[[#This Row],[ISGEC 350 TPH(Running Hrs)]]</f>
        <v>11.25</v>
      </c>
      <c r="AN9" s="65">
        <f>Table13[[#This Row],[Lignite - Thermax AFBC-1 105 TPH (MT)]]/Table13[[#This Row],[Thermax AFBC-1 105 TPH(Running Hrs)]]</f>
        <v>9.4583333333333339</v>
      </c>
      <c r="AO9" s="65">
        <f>Table13[[#This Row],[Lignite - Thermax AFBC-2 105 TPH (MT)]]/Table13[[#This Row],[Thermax AFBC-2 105 TPH(Running Hrs)]]</f>
        <v>5</v>
      </c>
      <c r="AP9" s="69">
        <f>SUM(Table13[[#This Row],[WHRB-1 (MT)]:[Steam 20 TPH (MT)]])/Table13[[#This Row],[Gross Generation 12MW (MW)]]</f>
        <v>21.310343502229248</v>
      </c>
      <c r="AQ9">
        <v>0</v>
      </c>
      <c r="AR9">
        <v>4.03</v>
      </c>
      <c r="AS9">
        <f>SUM(Table13[[#This Row],[Thermax 350 TPH (MT)]:[Thermax AFBC-2 105 TPH (MT)]])</f>
        <v>19335</v>
      </c>
      <c r="AT9">
        <v>6828</v>
      </c>
      <c r="AU9" s="83">
        <v>5099</v>
      </c>
      <c r="AV9" s="83">
        <v>6032</v>
      </c>
      <c r="AW9">
        <v>1376</v>
      </c>
      <c r="AX9">
        <v>24</v>
      </c>
      <c r="AY9" s="83">
        <v>24</v>
      </c>
      <c r="AZ9" s="83">
        <v>24</v>
      </c>
      <c r="BA9">
        <v>24</v>
      </c>
      <c r="BB9" s="65">
        <f>Table13[[#This Row],[Thermax 350 TPH (MT)]]/Table13[[#This Row],[Thermax 350 TPH (Running Hrs)]]</f>
        <v>284.5</v>
      </c>
      <c r="BC9" s="65">
        <f>Table13[[#This Row],[ISGEC 350 TPH (MT)]]/Table13[[#This Row],[ISGEC 350 TPH(Running Hrs)]]</f>
        <v>212.45833333333334</v>
      </c>
      <c r="BD9" s="65">
        <f>Table13[[#This Row],[Thermax AFBC-1 105 TPH (MT)]]/Table13[[#This Row],[Thermax AFBC-1 105 TPH(Running Hrs)]]</f>
        <v>251.33333333333334</v>
      </c>
      <c r="BE9" s="65">
        <f>Table13[[#This Row],[Thermax AFBC-2 105 TPH (MT)]]/Table13[[#This Row],[Thermax AFBC-2 105 TPH(Running Hrs)]]</f>
        <v>57.333333333333336</v>
      </c>
      <c r="BF9" s="65">
        <f>Table13[[#This Row],[Thermax 350 TPH (MT)]]/Table13[[#This Row],[Coal -  Thermax 350 TPH (MT)]]</f>
        <v>46.767123287671232</v>
      </c>
      <c r="BG9" s="65">
        <f>Table13[[#This Row],[ISGEC 350 TPH (MT)]]/Table13[[#This Row],[Coal - ISGEC 350 TPH (MT)]]</f>
        <v>48.561904761904763</v>
      </c>
      <c r="BH9" s="65">
        <f>Table13[[#This Row],[Thermax AFBC-1 105 TPH (MT)]]/Table13[[#This Row],[Coal - Thermax AFBC-1 105 TPH (MT)]]</f>
        <v>50.689075630252098</v>
      </c>
      <c r="BI9" s="65">
        <f>Table13[[#This Row],[Thermax AFBC-2 105 TPH (MT)]]/Table13[[#This Row],[Coal - Thermax AFBC-2 105 TPH (MT)]]</f>
        <v>9.2348993288590613</v>
      </c>
      <c r="BJ9" s="65">
        <f>Table13[[#This Row],[Thermax 350 TPH (MT)]]/Table13[[#This Row],[Lignite -  Thermax 350 TPH (MT)]]</f>
        <v>23.708333333333332</v>
      </c>
      <c r="BK9" s="65">
        <f>Table13[[#This Row],[ISGEC 350 TPH (MT)]]/Table13[[#This Row],[Lignite - ISGEC 350 TPH (MT)]]</f>
        <v>18.885185185185186</v>
      </c>
      <c r="BL9" s="65">
        <f>Table13[[#This Row],[Thermax AFBC-1 105 TPH (MT)]]/Table13[[#This Row],[Lignite - Thermax AFBC-1 105 TPH (MT)]]</f>
        <v>26.572687224669604</v>
      </c>
      <c r="BM9" s="65">
        <f>Table13[[#This Row],[Thermax AFBC-2 105 TPH (MT)]]/Table13[[#This Row],[Lignite - Thermax AFBC-2 105 TPH (MT)]]</f>
        <v>11.466666666666667</v>
      </c>
      <c r="BN9">
        <v>203</v>
      </c>
      <c r="BO9">
        <v>214</v>
      </c>
      <c r="BP9">
        <v>223</v>
      </c>
      <c r="BQ9" s="83">
        <v>217</v>
      </c>
      <c r="BR9" s="96">
        <f>Table13[[#This Row],[WHRB-1 (MT)]]/Table13[[#This Row],[WHRB-1 Running Hr]]</f>
        <v>8.4583333333333339</v>
      </c>
      <c r="BS9" s="96">
        <f>Table13[[#This Row],[WHRB-2 (MT)]]/Table13[[#This Row],[WHRB-2 Running Hr]]</f>
        <v>8.9166666666666661</v>
      </c>
      <c r="BT9" s="96">
        <f>Table13[[#This Row],[WHRB-3 (MT)]]/Table13[[#This Row],[WHRB-3 Running Hr]]</f>
        <v>9.2916666666666661</v>
      </c>
      <c r="BU9" s="96">
        <f>Table13[[#This Row],[WHRB-4 (MT)]]/Table13[[#This Row],[WHRB-4 Running Hr]]</f>
        <v>9.0416666666666661</v>
      </c>
      <c r="BV9" s="96">
        <f>SUM(Table13[[#This Row],[Pro(TPH)WHRB-1 (MT)]:[Pro(TPH)WHRB-4 (MT)]])</f>
        <v>35.708333333333329</v>
      </c>
      <c r="BW9" s="96">
        <f>SUM(Table13[[#This Row],[WHRB-1 (MT)]:[WHRB-4 (MT)]],BX9,BY9)</f>
        <v>1258</v>
      </c>
      <c r="BX9" s="83">
        <v>225</v>
      </c>
      <c r="BY9" s="83">
        <v>176</v>
      </c>
      <c r="BZ9">
        <v>24</v>
      </c>
      <c r="CA9">
        <v>21</v>
      </c>
      <c r="CB9" s="69">
        <f>Table13[[#This Row],[Steam 30TPH (MT)]]/Table13[[#This Row],[Steam 30TPH(running Hrs)]]</f>
        <v>9.375</v>
      </c>
      <c r="CC9" s="69">
        <f>Table13[[#This Row],[Steam 20 TPH (MT)]]/Table13[[#This Row],[Steam 20 TPH(running Hrs)]]</f>
        <v>8.3809523809523814</v>
      </c>
      <c r="CD9" s="83">
        <v>172</v>
      </c>
      <c r="CE9" s="83">
        <v>110</v>
      </c>
      <c r="CF9">
        <v>345.63</v>
      </c>
      <c r="CG9" s="65">
        <f>Table13[[#This Row],[Steam To Dearator (43MW)2]]/24</f>
        <v>2.875</v>
      </c>
      <c r="CH9" s="65">
        <f>Table13[[#This Row],[Steam To Dearator (80MW)3]]/24</f>
        <v>0</v>
      </c>
      <c r="CI9">
        <v>69</v>
      </c>
      <c r="CJ9">
        <v>0</v>
      </c>
      <c r="CK9">
        <v>83.057879453688273</v>
      </c>
      <c r="CL9">
        <v>0</v>
      </c>
      <c r="CM9">
        <v>0</v>
      </c>
      <c r="CN9">
        <v>74.4109139892809</v>
      </c>
      <c r="CO9">
        <v>0</v>
      </c>
      <c r="CP9">
        <v>0</v>
      </c>
      <c r="CQ9">
        <v>594.93600000000004</v>
      </c>
      <c r="CR9">
        <v>0</v>
      </c>
      <c r="CV9" s="75">
        <v>24</v>
      </c>
      <c r="CW9" s="75">
        <v>24</v>
      </c>
      <c r="CX9" s="75">
        <v>24</v>
      </c>
      <c r="CY9" s="75">
        <v>24</v>
      </c>
    </row>
    <row r="10" spans="1:103" x14ac:dyDescent="0.35">
      <c r="A10" s="11">
        <v>44874</v>
      </c>
      <c r="B10" s="69">
        <v>152.352</v>
      </c>
      <c r="C10" s="69">
        <v>23.946000000000002</v>
      </c>
      <c r="D10">
        <v>0</v>
      </c>
      <c r="E10">
        <v>0</v>
      </c>
      <c r="F10">
        <v>1487</v>
      </c>
      <c r="G10">
        <v>187.3</v>
      </c>
      <c r="H10">
        <v>24</v>
      </c>
      <c r="I10">
        <v>0</v>
      </c>
      <c r="J10">
        <v>24</v>
      </c>
      <c r="K10" s="69">
        <f>Table13[[#This Row],[Gross Generation 80 (MW)]]/Table13[[#This Row],[80 MW STG Running Hours (Hours)]]</f>
        <v>61.958333333333336</v>
      </c>
      <c r="L10" s="69">
        <f>Table13[[#This Row],[Aux  80 MW (MW)]]/Table13[[#This Row],[80 MW STG Running Hours (Hours)]]</f>
        <v>7.8041666666666671</v>
      </c>
      <c r="M10" s="65">
        <f>Table13[[#This Row],[Aux  80 MW (MW)]]/Table13[[#This Row],[Gross Generation 80 (MW)]]*100</f>
        <v>12.595830531271016</v>
      </c>
      <c r="N10" s="65">
        <f>Table13[[#This Row],[Coal 80 and 43 MW (MT)]]/SUM(Table13[[#This Row],[80 MW STG Running Hours (Hours)]:[43 MW STG Running Hours (Hours)]])</f>
        <v>33.875</v>
      </c>
      <c r="O10" s="65">
        <f>Table13[[#This Row],[Steam 0f 80-43MW]]/Table13[[#This Row],[Coal 80 and 43 MW (MT)]]</f>
        <v>17.00369003690037</v>
      </c>
      <c r="P10" s="99">
        <f>SUM(Table13[[#This Row],[Coal -  Thermax 350 TPH (MT)]:[Coal - Thermax AFBC-2 105 TPH (MT)]])</f>
        <v>813</v>
      </c>
      <c r="Q10" s="83">
        <v>259</v>
      </c>
      <c r="R10" s="83">
        <v>132</v>
      </c>
      <c r="S10" s="83">
        <v>215</v>
      </c>
      <c r="T10" s="83">
        <v>207</v>
      </c>
      <c r="U10">
        <v>4308</v>
      </c>
      <c r="V10" s="83">
        <v>236</v>
      </c>
      <c r="W10" s="83">
        <v>118</v>
      </c>
      <c r="X10" s="83">
        <v>211</v>
      </c>
      <c r="Y10" s="83">
        <v>192</v>
      </c>
      <c r="Z10" s="83">
        <f>SUM(Table13[[#This Row],[Lignite -  Thermax 350 TPH (MT)]:[Lignite - Thermax AFBC-2 105 TPH (MT)]])</f>
        <v>757</v>
      </c>
      <c r="AA10" s="100">
        <f>Table13[[#This Row],[Lignite 80 and 43 MW (MT)]]/SUM(Table13[[#This Row],[80 MW STG Running Hours (Hours)]:[43 MW STG Running Hours (Hours)]])</f>
        <v>31.541666666666668</v>
      </c>
      <c r="AB10">
        <v>2943</v>
      </c>
      <c r="AC10">
        <v>23.16</v>
      </c>
      <c r="AH10" s="65">
        <f>Table13[[#This Row],[Coal -  Thermax 350 TPH (MT)]]/Table13[[#This Row],[Thermax 350 TPH (Running Hrs)]]</f>
        <v>10.791666666666666</v>
      </c>
      <c r="AI10" s="65">
        <f>Table13[[#This Row],[Coal - ISGEC 350 TPH (MT)]]/Table13[[#This Row],[ISGEC 350 TPH(Running Hrs)]]</f>
        <v>5.5</v>
      </c>
      <c r="AJ10" s="65">
        <f>Table13[[#This Row],[Coal - Thermax AFBC-1 105 TPH (MT)]]/Table13[[#This Row],[Thermax AFBC-1 105 TPH(Running Hrs)]]</f>
        <v>8.9583333333333339</v>
      </c>
      <c r="AK10" s="65">
        <f>Table13[[#This Row],[Coal - Thermax AFBC-2 105 TPH (MT)]]/Table13[[#This Row],[Thermax AFBC-2 105 TPH(Running Hrs)]]</f>
        <v>8.625</v>
      </c>
      <c r="AL10" s="65">
        <f>Table13[[#This Row],[Lignite -  Thermax 350 TPH (MT)]]/Table13[[#This Row],[Thermax 350 TPH (Running Hrs)]]</f>
        <v>9.8333333333333339</v>
      </c>
      <c r="AM10" s="65">
        <f>Table13[[#This Row],[Lignite - ISGEC 350 TPH (MT)]]/Table13[[#This Row],[ISGEC 350 TPH(Running Hrs)]]</f>
        <v>4.916666666666667</v>
      </c>
      <c r="AN10" s="65">
        <f>Table13[[#This Row],[Lignite - Thermax AFBC-1 105 TPH (MT)]]/Table13[[#This Row],[Thermax AFBC-1 105 TPH(Running Hrs)]]</f>
        <v>8.7916666666666661</v>
      </c>
      <c r="AO10" s="65">
        <f>Table13[[#This Row],[Lignite - Thermax AFBC-2 105 TPH (MT)]]/Table13[[#This Row],[Thermax AFBC-2 105 TPH(Running Hrs)]]</f>
        <v>8</v>
      </c>
      <c r="AP10" s="69">
        <f>SUM(Table13[[#This Row],[WHRB-1 (MT)]:[Steam 20 TPH (MT)]])/Table13[[#This Row],[Gross Generation 12MW (MW)]]</f>
        <v>15.428634565567455</v>
      </c>
      <c r="AQ10">
        <v>0</v>
      </c>
      <c r="AR10">
        <v>4.04</v>
      </c>
      <c r="AS10">
        <f>SUM(Table13[[#This Row],[Thermax 350 TPH (MT)]:[Thermax AFBC-2 105 TPH (MT)]])</f>
        <v>13824</v>
      </c>
      <c r="AT10">
        <v>6024</v>
      </c>
      <c r="AU10" s="83">
        <v>4748</v>
      </c>
      <c r="AV10" s="83">
        <v>1609</v>
      </c>
      <c r="AW10">
        <v>1443</v>
      </c>
      <c r="AX10">
        <v>24</v>
      </c>
      <c r="AY10" s="83">
        <v>24</v>
      </c>
      <c r="AZ10" s="83">
        <v>24</v>
      </c>
      <c r="BA10">
        <v>24</v>
      </c>
      <c r="BB10" s="65">
        <f>Table13[[#This Row],[Thermax 350 TPH (MT)]]/Table13[[#This Row],[Thermax 350 TPH (Running Hrs)]]</f>
        <v>251</v>
      </c>
      <c r="BC10" s="65">
        <f>Table13[[#This Row],[ISGEC 350 TPH (MT)]]/Table13[[#This Row],[ISGEC 350 TPH(Running Hrs)]]</f>
        <v>197.83333333333334</v>
      </c>
      <c r="BD10" s="65">
        <f>Table13[[#This Row],[Thermax AFBC-1 105 TPH (MT)]]/Table13[[#This Row],[Thermax AFBC-1 105 TPH(Running Hrs)]]</f>
        <v>67.041666666666671</v>
      </c>
      <c r="BE10" s="65">
        <f>Table13[[#This Row],[Thermax AFBC-2 105 TPH (MT)]]/Table13[[#This Row],[Thermax AFBC-2 105 TPH(Running Hrs)]]</f>
        <v>60.125</v>
      </c>
      <c r="BF10" s="65">
        <f>Table13[[#This Row],[Thermax 350 TPH (MT)]]/Table13[[#This Row],[Coal -  Thermax 350 TPH (MT)]]</f>
        <v>23.25868725868726</v>
      </c>
      <c r="BG10" s="65">
        <f>Table13[[#This Row],[ISGEC 350 TPH (MT)]]/Table13[[#This Row],[Coal - ISGEC 350 TPH (MT)]]</f>
        <v>35.969696969696969</v>
      </c>
      <c r="BH10" s="65">
        <f>Table13[[#This Row],[Thermax AFBC-1 105 TPH (MT)]]/Table13[[#This Row],[Coal - Thermax AFBC-1 105 TPH (MT)]]</f>
        <v>7.4837209302325585</v>
      </c>
      <c r="BI10" s="65">
        <f>Table13[[#This Row],[Thermax AFBC-2 105 TPH (MT)]]/Table13[[#This Row],[Coal - Thermax AFBC-2 105 TPH (MT)]]</f>
        <v>6.9710144927536231</v>
      </c>
      <c r="BJ10" s="65">
        <f>Table13[[#This Row],[Thermax 350 TPH (MT)]]/Table13[[#This Row],[Lignite -  Thermax 350 TPH (MT)]]</f>
        <v>25.525423728813561</v>
      </c>
      <c r="BK10" s="65">
        <f>Table13[[#This Row],[ISGEC 350 TPH (MT)]]/Table13[[#This Row],[Lignite - ISGEC 350 TPH (MT)]]</f>
        <v>40.237288135593218</v>
      </c>
      <c r="BL10" s="65">
        <f>Table13[[#This Row],[Thermax AFBC-1 105 TPH (MT)]]/Table13[[#This Row],[Lignite - Thermax AFBC-1 105 TPH (MT)]]</f>
        <v>7.6255924170616112</v>
      </c>
      <c r="BM10" s="65">
        <f>Table13[[#This Row],[Thermax AFBC-2 105 TPH (MT)]]/Table13[[#This Row],[Lignite - Thermax AFBC-2 105 TPH (MT)]]</f>
        <v>7.515625</v>
      </c>
      <c r="BN10">
        <v>204</v>
      </c>
      <c r="BO10">
        <v>231</v>
      </c>
      <c r="BP10">
        <v>231</v>
      </c>
      <c r="BQ10">
        <v>109</v>
      </c>
      <c r="BR10" s="96">
        <f>Table13[[#This Row],[WHRB-1 (MT)]]/Table13[[#This Row],[WHRB-1 Running Hr]]</f>
        <v>8.5</v>
      </c>
      <c r="BS10" s="96">
        <f>Table13[[#This Row],[WHRB-2 (MT)]]/Table13[[#This Row],[WHRB-2 Running Hr]]</f>
        <v>9.625</v>
      </c>
      <c r="BT10" s="96">
        <f>Table13[[#This Row],[WHRB-3 (MT)]]/Table13[[#This Row],[WHRB-3 Running Hr]]</f>
        <v>9.625</v>
      </c>
      <c r="BU10" s="96">
        <f>Table13[[#This Row],[WHRB-4 (MT)]]/Table13[[#This Row],[WHRB-4 Running Hr]]</f>
        <v>4.541666666666667</v>
      </c>
      <c r="BV10" s="96">
        <f>SUM(Table13[[#This Row],[Pro(TPH)WHRB-1 (MT)]:[Pro(TPH)WHRB-4 (MT)]])</f>
        <v>32.291666666666664</v>
      </c>
      <c r="BW10" s="96">
        <f>SUM(Table13[[#This Row],[WHRB-1 (MT)]:[WHRB-4 (MT)]],BX10,BY10)</f>
        <v>1143</v>
      </c>
      <c r="BX10" s="83">
        <v>143</v>
      </c>
      <c r="BY10" s="83">
        <v>225</v>
      </c>
      <c r="BZ10">
        <v>24</v>
      </c>
      <c r="CA10">
        <v>12</v>
      </c>
      <c r="CB10" s="69">
        <f>Table13[[#This Row],[Steam 30TPH (MT)]]/Table13[[#This Row],[Steam 30TPH(running Hrs)]]</f>
        <v>5.958333333333333</v>
      </c>
      <c r="CC10" s="69">
        <f>Table13[[#This Row],[Steam 20 TPH (MT)]]/Table13[[#This Row],[Steam 20 TPH(running Hrs)]]</f>
        <v>18.75</v>
      </c>
      <c r="CD10" s="83">
        <v>108</v>
      </c>
      <c r="CE10" s="83">
        <v>136</v>
      </c>
      <c r="CF10">
        <v>169.79</v>
      </c>
      <c r="CG10" s="65">
        <f>Table13[[#This Row],[Steam To Dearator (43MW)2]]/24</f>
        <v>3.0416666666666665</v>
      </c>
      <c r="CH10" s="65">
        <f>Table13[[#This Row],[Steam To Dearator (80MW)3]]/24</f>
        <v>0</v>
      </c>
      <c r="CI10">
        <v>73</v>
      </c>
      <c r="CJ10">
        <v>0</v>
      </c>
      <c r="CK10">
        <v>82.707689316293738</v>
      </c>
      <c r="CL10">
        <v>0</v>
      </c>
      <c r="CM10">
        <v>0</v>
      </c>
      <c r="CN10">
        <v>75.4109139892809</v>
      </c>
      <c r="CO10">
        <v>0</v>
      </c>
      <c r="CP10">
        <v>0</v>
      </c>
      <c r="CQ10">
        <v>601.60699999999997</v>
      </c>
      <c r="CR10">
        <v>0</v>
      </c>
      <c r="CV10" s="75">
        <v>24</v>
      </c>
      <c r="CW10" s="75">
        <v>24</v>
      </c>
      <c r="CX10" s="75">
        <v>24</v>
      </c>
      <c r="CY10" s="75">
        <v>24</v>
      </c>
    </row>
    <row r="11" spans="1:103" x14ac:dyDescent="0.35">
      <c r="A11" s="11">
        <v>44875</v>
      </c>
      <c r="B11" s="69">
        <v>158.85599999999999</v>
      </c>
      <c r="C11" s="69">
        <v>24.954000000000001</v>
      </c>
      <c r="D11">
        <v>0</v>
      </c>
      <c r="E11">
        <v>0</v>
      </c>
      <c r="F11">
        <v>1564</v>
      </c>
      <c r="G11">
        <v>198.37</v>
      </c>
      <c r="H11">
        <v>24</v>
      </c>
      <c r="I11">
        <v>0</v>
      </c>
      <c r="J11">
        <v>24</v>
      </c>
      <c r="K11" s="69">
        <f>Table13[[#This Row],[Gross Generation 80 (MW)]]/Table13[[#This Row],[80 MW STG Running Hours (Hours)]]</f>
        <v>65.166666666666671</v>
      </c>
      <c r="L11" s="69">
        <f>Table13[[#This Row],[Aux  80 MW (MW)]]/Table13[[#This Row],[80 MW STG Running Hours (Hours)]]</f>
        <v>8.2654166666666669</v>
      </c>
      <c r="M11" s="65">
        <f>Table13[[#This Row],[Aux  80 MW (MW)]]/Table13[[#This Row],[Gross Generation 80 (MW)]]*100</f>
        <v>12.683503836317136</v>
      </c>
      <c r="N11" s="65">
        <f>Table13[[#This Row],[Coal 80 and 43 MW (MT)]]/SUM(Table13[[#This Row],[80 MW STG Running Hours (Hours)]:[43 MW STG Running Hours (Hours)]])</f>
        <v>31.416666666666668</v>
      </c>
      <c r="O11" s="65">
        <f>Table13[[#This Row],[Steam 0f 80-43MW]]/Table13[[#This Row],[Coal 80 and 43 MW (MT)]]</f>
        <v>19.941644562334218</v>
      </c>
      <c r="P11" s="99">
        <f>SUM(Table13[[#This Row],[Coal -  Thermax 350 TPH (MT)]:[Coal - Thermax AFBC-2 105 TPH (MT)]])</f>
        <v>754</v>
      </c>
      <c r="Q11" s="83">
        <v>207</v>
      </c>
      <c r="R11" s="83">
        <v>142</v>
      </c>
      <c r="S11" s="83">
        <v>191</v>
      </c>
      <c r="T11" s="83">
        <v>214</v>
      </c>
      <c r="U11">
        <v>4308</v>
      </c>
      <c r="V11" s="83">
        <v>160</v>
      </c>
      <c r="W11" s="83">
        <v>267</v>
      </c>
      <c r="X11" s="83">
        <v>210</v>
      </c>
      <c r="Y11" s="83">
        <v>241</v>
      </c>
      <c r="Z11" s="83">
        <f>SUM(Table13[[#This Row],[Lignite -  Thermax 350 TPH (MT)]:[Lignite - Thermax AFBC-2 105 TPH (MT)]])</f>
        <v>878</v>
      </c>
      <c r="AA11" s="100">
        <f>Table13[[#This Row],[Lignite 80 and 43 MW (MT)]]/SUM(Table13[[#This Row],[80 MW STG Running Hours (Hours)]:[43 MW STG Running Hours (Hours)]])</f>
        <v>36.583333333333336</v>
      </c>
      <c r="AB11">
        <v>2823</v>
      </c>
      <c r="AC11">
        <v>7.75</v>
      </c>
      <c r="AH11" s="65">
        <f>Table13[[#This Row],[Coal -  Thermax 350 TPH (MT)]]/Table13[[#This Row],[Thermax 350 TPH (Running Hrs)]]</f>
        <v>8.625</v>
      </c>
      <c r="AI11" s="65">
        <f>Table13[[#This Row],[Coal - ISGEC 350 TPH (MT)]]/Table13[[#This Row],[ISGEC 350 TPH(Running Hrs)]]</f>
        <v>5.916666666666667</v>
      </c>
      <c r="AJ11" s="65">
        <f>Table13[[#This Row],[Coal - Thermax AFBC-1 105 TPH (MT)]]/Table13[[#This Row],[Thermax AFBC-1 105 TPH(Running Hrs)]]</f>
        <v>7.958333333333333</v>
      </c>
      <c r="AK11" s="65">
        <f>Table13[[#This Row],[Coal - Thermax AFBC-2 105 TPH (MT)]]/Table13[[#This Row],[Thermax AFBC-2 105 TPH(Running Hrs)]]</f>
        <v>8.9166666666666661</v>
      </c>
      <c r="AL11" s="65">
        <f>Table13[[#This Row],[Lignite -  Thermax 350 TPH (MT)]]/Table13[[#This Row],[Thermax 350 TPH (Running Hrs)]]</f>
        <v>6.666666666666667</v>
      </c>
      <c r="AM11" s="65">
        <f>Table13[[#This Row],[Lignite - ISGEC 350 TPH (MT)]]/Table13[[#This Row],[ISGEC 350 TPH(Running Hrs)]]</f>
        <v>11.125</v>
      </c>
      <c r="AN11" s="65">
        <f>Table13[[#This Row],[Lignite - Thermax AFBC-1 105 TPH (MT)]]/Table13[[#This Row],[Thermax AFBC-1 105 TPH(Running Hrs)]]</f>
        <v>8.75</v>
      </c>
      <c r="AO11" s="65">
        <f>Table13[[#This Row],[Lignite - Thermax AFBC-2 105 TPH (MT)]]/Table13[[#This Row],[Thermax AFBC-2 105 TPH(Running Hrs)]]</f>
        <v>10.041666666666666</v>
      </c>
      <c r="AP11" s="69">
        <f>SUM(Table13[[#This Row],[WHRB-1 (MT)]:[Steam 20 TPH (MT)]])/Table13[[#This Row],[Gross Generation 12MW (MW)]]</f>
        <v>13.470795353443789</v>
      </c>
      <c r="AQ11">
        <v>0</v>
      </c>
      <c r="AR11">
        <v>4.0599999999999996</v>
      </c>
      <c r="AS11">
        <f>SUM(Table13[[#This Row],[Thermax 350 TPH (MT)]:[Thermax AFBC-2 105 TPH (MT)]])</f>
        <v>15036</v>
      </c>
      <c r="AT11">
        <v>6364</v>
      </c>
      <c r="AU11" s="83">
        <v>4737</v>
      </c>
      <c r="AV11" s="83">
        <v>2527</v>
      </c>
      <c r="AW11">
        <v>1408</v>
      </c>
      <c r="AX11">
        <v>24</v>
      </c>
      <c r="AY11" s="83">
        <v>24</v>
      </c>
      <c r="AZ11" s="83">
        <v>24</v>
      </c>
      <c r="BA11">
        <v>24</v>
      </c>
      <c r="BB11" s="65">
        <f>Table13[[#This Row],[Thermax 350 TPH (MT)]]/Table13[[#This Row],[Thermax 350 TPH (Running Hrs)]]</f>
        <v>265.16666666666669</v>
      </c>
      <c r="BC11" s="65">
        <f>Table13[[#This Row],[ISGEC 350 TPH (MT)]]/Table13[[#This Row],[ISGEC 350 TPH(Running Hrs)]]</f>
        <v>197.375</v>
      </c>
      <c r="BD11" s="65">
        <f>Table13[[#This Row],[Thermax AFBC-1 105 TPH (MT)]]/Table13[[#This Row],[Thermax AFBC-1 105 TPH(Running Hrs)]]</f>
        <v>105.29166666666667</v>
      </c>
      <c r="BE11" s="65">
        <f>Table13[[#This Row],[Thermax AFBC-2 105 TPH (MT)]]/Table13[[#This Row],[Thermax AFBC-2 105 TPH(Running Hrs)]]</f>
        <v>58.666666666666664</v>
      </c>
      <c r="BF11" s="65">
        <f>Table13[[#This Row],[Thermax 350 TPH (MT)]]/Table13[[#This Row],[Coal -  Thermax 350 TPH (MT)]]</f>
        <v>30.743961352657006</v>
      </c>
      <c r="BG11" s="65">
        <f>Table13[[#This Row],[ISGEC 350 TPH (MT)]]/Table13[[#This Row],[Coal - ISGEC 350 TPH (MT)]]</f>
        <v>33.359154929577464</v>
      </c>
      <c r="BH11" s="65">
        <f>Table13[[#This Row],[Thermax AFBC-1 105 TPH (MT)]]/Table13[[#This Row],[Coal - Thermax AFBC-1 105 TPH (MT)]]</f>
        <v>13.230366492146597</v>
      </c>
      <c r="BI11" s="65">
        <f>Table13[[#This Row],[Thermax AFBC-2 105 TPH (MT)]]/Table13[[#This Row],[Coal - Thermax AFBC-2 105 TPH (MT)]]</f>
        <v>6.5794392523364484</v>
      </c>
      <c r="BJ11" s="65">
        <f>Table13[[#This Row],[Thermax 350 TPH (MT)]]/Table13[[#This Row],[Lignite -  Thermax 350 TPH (MT)]]</f>
        <v>39.774999999999999</v>
      </c>
      <c r="BK11" s="65">
        <f>Table13[[#This Row],[ISGEC 350 TPH (MT)]]/Table13[[#This Row],[Lignite - ISGEC 350 TPH (MT)]]</f>
        <v>17.741573033707866</v>
      </c>
      <c r="BL11" s="65">
        <f>Table13[[#This Row],[Thermax AFBC-1 105 TPH (MT)]]/Table13[[#This Row],[Lignite - Thermax AFBC-1 105 TPH (MT)]]</f>
        <v>12.033333333333333</v>
      </c>
      <c r="BM11" s="65">
        <f>Table13[[#This Row],[Thermax AFBC-2 105 TPH (MT)]]/Table13[[#This Row],[Lignite - Thermax AFBC-2 105 TPH (MT)]]</f>
        <v>5.8423236514522818</v>
      </c>
      <c r="BN11">
        <v>190</v>
      </c>
      <c r="BO11">
        <v>210</v>
      </c>
      <c r="BP11">
        <v>205</v>
      </c>
      <c r="BQ11">
        <v>186</v>
      </c>
      <c r="BR11" s="96">
        <f>Table13[[#This Row],[WHRB-1 (MT)]]/Table13[[#This Row],[WHRB-1 Running Hr]]</f>
        <v>7.916666666666667</v>
      </c>
      <c r="BS11" s="96">
        <f>Table13[[#This Row],[WHRB-2 (MT)]]/Table13[[#This Row],[WHRB-2 Running Hr]]</f>
        <v>8.75</v>
      </c>
      <c r="BT11" s="96">
        <f>Table13[[#This Row],[WHRB-3 (MT)]]/Table13[[#This Row],[WHRB-3 Running Hr]]</f>
        <v>8.5416666666666661</v>
      </c>
      <c r="BU11" s="96">
        <f>Table13[[#This Row],[WHRB-4 (MT)]]/Table13[[#This Row],[WHRB-4 Running Hr]]</f>
        <v>7.75</v>
      </c>
      <c r="BV11" s="96">
        <f>SUM(Table13[[#This Row],[Pro(TPH)WHRB-1 (MT)]:[Pro(TPH)WHRB-4 (MT)]])</f>
        <v>32.958333333333336</v>
      </c>
      <c r="BW11" s="96">
        <f>SUM(Table13[[#This Row],[WHRB-1 (MT)]:[WHRB-4 (MT)]],BX11,BY11)</f>
        <v>1037</v>
      </c>
      <c r="BX11" s="83">
        <v>129</v>
      </c>
      <c r="BY11" s="83">
        <v>117</v>
      </c>
      <c r="BZ11">
        <v>24</v>
      </c>
      <c r="CA11">
        <v>8</v>
      </c>
      <c r="CB11" s="69">
        <f>Table13[[#This Row],[Steam 30TPH (MT)]]/Table13[[#This Row],[Steam 30TPH(running Hrs)]]</f>
        <v>5.375</v>
      </c>
      <c r="CC11" s="69">
        <f>Table13[[#This Row],[Steam 20 TPH (MT)]]/Table13[[#This Row],[Steam 20 TPH(running Hrs)]]</f>
        <v>14.625</v>
      </c>
      <c r="CD11" s="83">
        <v>198</v>
      </c>
      <c r="CE11" s="83">
        <v>118</v>
      </c>
      <c r="CF11">
        <v>49.58</v>
      </c>
      <c r="CG11" s="65">
        <f>Table13[[#This Row],[Steam To Dearator (43MW)2]]/24</f>
        <v>3.5</v>
      </c>
      <c r="CH11" s="65">
        <f>Table13[[#This Row],[Steam To Dearator (80MW)3]]/24</f>
        <v>0</v>
      </c>
      <c r="CI11">
        <v>84</v>
      </c>
      <c r="CJ11">
        <v>0</v>
      </c>
      <c r="CK11">
        <v>82.896271228961851</v>
      </c>
      <c r="CL11">
        <v>0</v>
      </c>
      <c r="CM11">
        <v>0</v>
      </c>
      <c r="CN11">
        <v>74.562159146705525</v>
      </c>
      <c r="CO11">
        <v>0</v>
      </c>
      <c r="CP11">
        <v>0</v>
      </c>
      <c r="CQ11">
        <v>598.13599999999997</v>
      </c>
      <c r="CR11">
        <v>0</v>
      </c>
      <c r="CV11" s="75">
        <v>24</v>
      </c>
      <c r="CW11" s="75">
        <v>24</v>
      </c>
      <c r="CX11" s="75">
        <v>24</v>
      </c>
      <c r="CY11" s="75">
        <v>24</v>
      </c>
    </row>
    <row r="12" spans="1:103" x14ac:dyDescent="0.35">
      <c r="A12" s="11">
        <v>44876</v>
      </c>
      <c r="B12" s="69">
        <v>156.38399999999999</v>
      </c>
      <c r="C12" s="69">
        <v>24.513000000000002</v>
      </c>
      <c r="D12">
        <v>0</v>
      </c>
      <c r="E12">
        <v>0</v>
      </c>
      <c r="F12">
        <v>1119</v>
      </c>
      <c r="G12">
        <v>170.4</v>
      </c>
      <c r="H12">
        <v>24</v>
      </c>
      <c r="I12">
        <v>0</v>
      </c>
      <c r="J12">
        <v>24</v>
      </c>
      <c r="K12" s="69">
        <f>Table13[[#This Row],[Gross Generation 80 (MW)]]/Table13[[#This Row],[80 MW STG Running Hours (Hours)]]</f>
        <v>46.625</v>
      </c>
      <c r="L12" s="69">
        <f>Table13[[#This Row],[Aux  80 MW (MW)]]/Table13[[#This Row],[80 MW STG Running Hours (Hours)]]</f>
        <v>7.1000000000000005</v>
      </c>
      <c r="M12" s="65">
        <f>Table13[[#This Row],[Aux  80 MW (MW)]]/Table13[[#This Row],[Gross Generation 80 (MW)]]*100</f>
        <v>15.227882037533513</v>
      </c>
      <c r="N12" s="65">
        <f>Table13[[#This Row],[Coal 80 and 43 MW (MT)]]/SUM(Table13[[#This Row],[80 MW STG Running Hours (Hours)]:[43 MW STG Running Hours (Hours)]])</f>
        <v>37.5</v>
      </c>
      <c r="O12" s="65">
        <f>Table13[[#This Row],[Steam 0f 80-43MW]]/Table13[[#This Row],[Coal 80 and 43 MW (MT)]]</f>
        <v>13.924444444444445</v>
      </c>
      <c r="P12" s="99">
        <f>SUM(Table13[[#This Row],[Coal -  Thermax 350 TPH (MT)]:[Coal - Thermax AFBC-2 105 TPH (MT)]])</f>
        <v>900</v>
      </c>
      <c r="Q12" s="83">
        <v>299</v>
      </c>
      <c r="R12" s="83">
        <v>260</v>
      </c>
      <c r="S12" s="83">
        <v>179</v>
      </c>
      <c r="T12" s="83">
        <v>162</v>
      </c>
      <c r="U12">
        <v>4360</v>
      </c>
      <c r="V12" s="83">
        <v>225</v>
      </c>
      <c r="W12" s="83">
        <v>201</v>
      </c>
      <c r="X12" s="83">
        <v>295</v>
      </c>
      <c r="Y12" s="83">
        <v>283</v>
      </c>
      <c r="Z12" s="83">
        <f>SUM(Table13[[#This Row],[Lignite -  Thermax 350 TPH (MT)]:[Lignite - Thermax AFBC-2 105 TPH (MT)]])</f>
        <v>1004</v>
      </c>
      <c r="AA12" s="100">
        <f>Table13[[#This Row],[Lignite 80 and 43 MW (MT)]]/SUM(Table13[[#This Row],[80 MW STG Running Hours (Hours)]:[43 MW STG Running Hours (Hours)]])</f>
        <v>41.833333333333336</v>
      </c>
      <c r="AB12">
        <v>3196</v>
      </c>
      <c r="AC12">
        <v>0</v>
      </c>
      <c r="AH12" s="65">
        <f>Table13[[#This Row],[Coal -  Thermax 350 TPH (MT)]]/Table13[[#This Row],[Thermax 350 TPH (Running Hrs)]]</f>
        <v>12.458333333333334</v>
      </c>
      <c r="AI12" s="65">
        <f>Table13[[#This Row],[Coal - ISGEC 350 TPH (MT)]]/Table13[[#This Row],[ISGEC 350 TPH(Running Hrs)]]</f>
        <v>10.833333333333334</v>
      </c>
      <c r="AJ12" s="65">
        <f>Table13[[#This Row],[Coal - Thermax AFBC-1 105 TPH (MT)]]/Table13[[#This Row],[Thermax AFBC-1 105 TPH(Running Hrs)]]</f>
        <v>7.458333333333333</v>
      </c>
      <c r="AK12" s="65">
        <f>Table13[[#This Row],[Coal - Thermax AFBC-2 105 TPH (MT)]]/Table13[[#This Row],[Thermax AFBC-2 105 TPH(Running Hrs)]]</f>
        <v>6.75</v>
      </c>
      <c r="AL12" s="65">
        <f>Table13[[#This Row],[Lignite -  Thermax 350 TPH (MT)]]/Table13[[#This Row],[Thermax 350 TPH (Running Hrs)]]</f>
        <v>9.375</v>
      </c>
      <c r="AM12" s="65">
        <f>Table13[[#This Row],[Lignite - ISGEC 350 TPH (MT)]]/Table13[[#This Row],[ISGEC 350 TPH(Running Hrs)]]</f>
        <v>8.375</v>
      </c>
      <c r="AN12" s="65">
        <f>Table13[[#This Row],[Lignite - Thermax AFBC-1 105 TPH (MT)]]/Table13[[#This Row],[Thermax AFBC-1 105 TPH(Running Hrs)]]</f>
        <v>12.291666666666666</v>
      </c>
      <c r="AO12" s="65">
        <f>Table13[[#This Row],[Lignite - Thermax AFBC-2 105 TPH (MT)]]/Table13[[#This Row],[Thermax AFBC-2 105 TPH(Running Hrs)]]</f>
        <v>11.791666666666666</v>
      </c>
      <c r="AP12" s="69">
        <f>SUM(Table13[[#This Row],[WHRB-1 (MT)]:[Steam 20 TPH (MT)]])/Table13[[#This Row],[Gross Generation 12MW (MW)]]</f>
        <v>15.37241661551054</v>
      </c>
      <c r="AQ12">
        <v>0</v>
      </c>
      <c r="AR12">
        <v>4.04</v>
      </c>
      <c r="AS12">
        <f>SUM(Table13[[#This Row],[Thermax 350 TPH (MT)]:[Thermax AFBC-2 105 TPH (MT)]])</f>
        <v>12532</v>
      </c>
      <c r="AT12">
        <v>4536</v>
      </c>
      <c r="AU12" s="83">
        <v>3772</v>
      </c>
      <c r="AV12" s="83">
        <v>2890</v>
      </c>
      <c r="AW12">
        <v>1334</v>
      </c>
      <c r="AX12">
        <v>24</v>
      </c>
      <c r="AY12" s="83">
        <v>24</v>
      </c>
      <c r="AZ12" s="83">
        <v>24</v>
      </c>
      <c r="BA12">
        <v>24</v>
      </c>
      <c r="BB12" s="65">
        <f>Table13[[#This Row],[Thermax 350 TPH (MT)]]/Table13[[#This Row],[Thermax 350 TPH (Running Hrs)]]</f>
        <v>189</v>
      </c>
      <c r="BC12" s="65">
        <f>Table13[[#This Row],[ISGEC 350 TPH (MT)]]/Table13[[#This Row],[ISGEC 350 TPH(Running Hrs)]]</f>
        <v>157.16666666666666</v>
      </c>
      <c r="BD12" s="65">
        <f>Table13[[#This Row],[Thermax AFBC-1 105 TPH (MT)]]/Table13[[#This Row],[Thermax AFBC-1 105 TPH(Running Hrs)]]</f>
        <v>120.41666666666667</v>
      </c>
      <c r="BE12" s="65">
        <f>Table13[[#This Row],[Thermax AFBC-2 105 TPH (MT)]]/Table13[[#This Row],[Thermax AFBC-2 105 TPH(Running Hrs)]]</f>
        <v>55.583333333333336</v>
      </c>
      <c r="BF12" s="65">
        <f>Table13[[#This Row],[Thermax 350 TPH (MT)]]/Table13[[#This Row],[Coal -  Thermax 350 TPH (MT)]]</f>
        <v>15.17056856187291</v>
      </c>
      <c r="BG12" s="65">
        <f>Table13[[#This Row],[ISGEC 350 TPH (MT)]]/Table13[[#This Row],[Coal - ISGEC 350 TPH (MT)]]</f>
        <v>14.507692307692308</v>
      </c>
      <c r="BH12" s="65">
        <f>Table13[[#This Row],[Thermax AFBC-1 105 TPH (MT)]]/Table13[[#This Row],[Coal - Thermax AFBC-1 105 TPH (MT)]]</f>
        <v>16.145251396648046</v>
      </c>
      <c r="BI12" s="65">
        <f>Table13[[#This Row],[Thermax AFBC-2 105 TPH (MT)]]/Table13[[#This Row],[Coal - Thermax AFBC-2 105 TPH (MT)]]</f>
        <v>8.2345679012345681</v>
      </c>
      <c r="BJ12" s="65">
        <f>Table13[[#This Row],[Thermax 350 TPH (MT)]]/Table13[[#This Row],[Lignite -  Thermax 350 TPH (MT)]]</f>
        <v>20.16</v>
      </c>
      <c r="BK12" s="65">
        <f>Table13[[#This Row],[ISGEC 350 TPH (MT)]]/Table13[[#This Row],[Lignite - ISGEC 350 TPH (MT)]]</f>
        <v>18.766169154228855</v>
      </c>
      <c r="BL12" s="65">
        <f>Table13[[#This Row],[Thermax AFBC-1 105 TPH (MT)]]/Table13[[#This Row],[Lignite - Thermax AFBC-1 105 TPH (MT)]]</f>
        <v>9.796610169491526</v>
      </c>
      <c r="BM12" s="65">
        <f>Table13[[#This Row],[Thermax AFBC-2 105 TPH (MT)]]/Table13[[#This Row],[Lignite - Thermax AFBC-2 105 TPH (MT)]]</f>
        <v>4.7137809187279149</v>
      </c>
      <c r="BN12">
        <v>192</v>
      </c>
      <c r="BO12">
        <v>191</v>
      </c>
      <c r="BP12">
        <v>196</v>
      </c>
      <c r="BQ12">
        <v>189</v>
      </c>
      <c r="BR12" s="96">
        <f>Table13[[#This Row],[WHRB-1 (MT)]]/Table13[[#This Row],[WHRB-1 Running Hr]]</f>
        <v>8</v>
      </c>
      <c r="BS12" s="96">
        <f>Table13[[#This Row],[WHRB-2 (MT)]]/Table13[[#This Row],[WHRB-2 Running Hr]]</f>
        <v>7.958333333333333</v>
      </c>
      <c r="BT12" s="96">
        <f>Table13[[#This Row],[WHRB-3 (MT)]]/Table13[[#This Row],[WHRB-3 Running Hr]]</f>
        <v>8.1666666666666661</v>
      </c>
      <c r="BU12" s="96">
        <f>Table13[[#This Row],[WHRB-4 (MT)]]/Table13[[#This Row],[WHRB-4 Running Hr]]</f>
        <v>7.875</v>
      </c>
      <c r="BV12" s="96">
        <f>SUM(Table13[[#This Row],[Pro(TPH)WHRB-1 (MT)]:[Pro(TPH)WHRB-4 (MT)]])</f>
        <v>32</v>
      </c>
      <c r="BW12" s="96">
        <f>SUM(Table13[[#This Row],[WHRB-1 (MT)]:[WHRB-4 (MT)]],BX12,BY12)</f>
        <v>1170</v>
      </c>
      <c r="BX12" s="83">
        <v>203</v>
      </c>
      <c r="BY12" s="83">
        <v>199</v>
      </c>
      <c r="BZ12">
        <v>24</v>
      </c>
      <c r="CA12">
        <v>15</v>
      </c>
      <c r="CB12" s="69">
        <f>Table13[[#This Row],[Steam 30TPH (MT)]]/Table13[[#This Row],[Steam 30TPH(running Hrs)]]</f>
        <v>8.4583333333333339</v>
      </c>
      <c r="CC12" s="69">
        <f>Table13[[#This Row],[Steam 20 TPH (MT)]]/Table13[[#This Row],[Steam 20 TPH(running Hrs)]]</f>
        <v>13.266666666666667</v>
      </c>
      <c r="CD12" s="83">
        <v>117</v>
      </c>
      <c r="CE12" s="83">
        <v>174</v>
      </c>
      <c r="CF12">
        <v>0</v>
      </c>
      <c r="CG12" s="65">
        <f>Table13[[#This Row],[Steam To Dearator (43MW)2]]/24</f>
        <v>3.3333333333333335</v>
      </c>
      <c r="CH12" s="65">
        <f>Table13[[#This Row],[Steam To Dearator (80MW)3]]/24</f>
        <v>0</v>
      </c>
      <c r="CI12">
        <v>80</v>
      </c>
      <c r="CJ12">
        <v>0</v>
      </c>
      <c r="CK12">
        <v>80.854735062006782</v>
      </c>
      <c r="CL12">
        <v>0</v>
      </c>
      <c r="CM12">
        <v>0</v>
      </c>
      <c r="CN12">
        <v>74.544782114006154</v>
      </c>
      <c r="CO12">
        <v>0</v>
      </c>
      <c r="CP12">
        <v>0</v>
      </c>
      <c r="CQ12">
        <v>614.72700000000009</v>
      </c>
      <c r="CR12">
        <v>0</v>
      </c>
      <c r="CV12" s="75">
        <v>24</v>
      </c>
      <c r="CW12" s="75">
        <v>24</v>
      </c>
      <c r="CX12" s="75">
        <v>24</v>
      </c>
      <c r="CY12" s="75">
        <v>24</v>
      </c>
    </row>
    <row r="13" spans="1:103" x14ac:dyDescent="0.35">
      <c r="A13" s="11">
        <v>44877</v>
      </c>
      <c r="B13" s="69">
        <v>144.84</v>
      </c>
      <c r="C13" s="69">
        <v>21.552</v>
      </c>
      <c r="D13">
        <v>0</v>
      </c>
      <c r="E13">
        <v>0</v>
      </c>
      <c r="F13">
        <v>1070</v>
      </c>
      <c r="G13">
        <v>178.26</v>
      </c>
      <c r="H13">
        <v>24</v>
      </c>
      <c r="I13">
        <v>0</v>
      </c>
      <c r="J13">
        <v>24</v>
      </c>
      <c r="K13" s="69">
        <f>Table13[[#This Row],[Gross Generation 80 (MW)]]/Table13[[#This Row],[80 MW STG Running Hours (Hours)]]</f>
        <v>44.583333333333336</v>
      </c>
      <c r="L13" s="69">
        <f>Table13[[#This Row],[Aux  80 MW (MW)]]/Table13[[#This Row],[80 MW STG Running Hours (Hours)]]</f>
        <v>7.4274999999999993</v>
      </c>
      <c r="M13" s="65">
        <f>Table13[[#This Row],[Aux  80 MW (MW)]]/Table13[[#This Row],[Gross Generation 80 (MW)]]*100</f>
        <v>16.659813084112148</v>
      </c>
      <c r="N13" s="65">
        <f>Table13[[#This Row],[Coal 80 and 43 MW (MT)]]/SUM(Table13[[#This Row],[80 MW STG Running Hours (Hours)]:[43 MW STG Running Hours (Hours)]])</f>
        <v>29.375</v>
      </c>
      <c r="O13" s="65">
        <f>Table13[[#This Row],[Steam 0f 80-43MW]]/Table13[[#This Row],[Coal 80 and 43 MW (MT)]]</f>
        <v>18.076595744680851</v>
      </c>
      <c r="P13" s="99">
        <f>SUM(Table13[[#This Row],[Coal -  Thermax 350 TPH (MT)]:[Coal - Thermax AFBC-2 105 TPH (MT)]])</f>
        <v>705</v>
      </c>
      <c r="Q13" s="83">
        <v>158</v>
      </c>
      <c r="R13" s="83">
        <v>245</v>
      </c>
      <c r="S13" s="83">
        <v>183</v>
      </c>
      <c r="T13" s="83">
        <v>119</v>
      </c>
      <c r="U13">
        <v>4301</v>
      </c>
      <c r="V13" s="83">
        <v>171</v>
      </c>
      <c r="W13" s="83">
        <v>270</v>
      </c>
      <c r="X13" s="83">
        <v>133</v>
      </c>
      <c r="Y13" s="83">
        <v>139</v>
      </c>
      <c r="Z13" s="83">
        <f>SUM(Table13[[#This Row],[Lignite -  Thermax 350 TPH (MT)]:[Lignite - Thermax AFBC-2 105 TPH (MT)]])</f>
        <v>713</v>
      </c>
      <c r="AA13" s="100">
        <f>Table13[[#This Row],[Lignite 80 and 43 MW (MT)]]/SUM(Table13[[#This Row],[80 MW STG Running Hours (Hours)]:[43 MW STG Running Hours (Hours)]])</f>
        <v>29.708333333333332</v>
      </c>
      <c r="AB13">
        <v>2720</v>
      </c>
      <c r="AC13">
        <v>0.2</v>
      </c>
      <c r="AH13" s="65">
        <f>Table13[[#This Row],[Coal -  Thermax 350 TPH (MT)]]/Table13[[#This Row],[Thermax 350 TPH (Running Hrs)]]</f>
        <v>6.583333333333333</v>
      </c>
      <c r="AI13" s="65">
        <f>Table13[[#This Row],[Coal - ISGEC 350 TPH (MT)]]/Table13[[#This Row],[ISGEC 350 TPH(Running Hrs)]]</f>
        <v>10.208333333333334</v>
      </c>
      <c r="AJ13" s="65">
        <f>Table13[[#This Row],[Coal - Thermax AFBC-1 105 TPH (MT)]]/Table13[[#This Row],[Thermax AFBC-1 105 TPH(Running Hrs)]]</f>
        <v>7.625</v>
      </c>
      <c r="AK13" s="65">
        <f>Table13[[#This Row],[Coal - Thermax AFBC-2 105 TPH (MT)]]/Table13[[#This Row],[Thermax AFBC-2 105 TPH(Running Hrs)]]</f>
        <v>4.958333333333333</v>
      </c>
      <c r="AL13" s="65">
        <f>Table13[[#This Row],[Lignite -  Thermax 350 TPH (MT)]]/Table13[[#This Row],[Thermax 350 TPH (Running Hrs)]]</f>
        <v>7.125</v>
      </c>
      <c r="AM13" s="65">
        <f>Table13[[#This Row],[Lignite - ISGEC 350 TPH (MT)]]/Table13[[#This Row],[ISGEC 350 TPH(Running Hrs)]]</f>
        <v>11.25</v>
      </c>
      <c r="AN13" s="65">
        <f>Table13[[#This Row],[Lignite - Thermax AFBC-1 105 TPH (MT)]]/Table13[[#This Row],[Thermax AFBC-1 105 TPH(Running Hrs)]]</f>
        <v>5.541666666666667</v>
      </c>
      <c r="AO13" s="65">
        <f>Table13[[#This Row],[Lignite - Thermax AFBC-2 105 TPH (MT)]]/Table13[[#This Row],[Thermax AFBC-2 105 TPH(Running Hrs)]]</f>
        <v>5.791666666666667</v>
      </c>
      <c r="AP13" s="69">
        <f>SUM(Table13[[#This Row],[WHRB-1 (MT)]:[Steam 20 TPH (MT)]])/Table13[[#This Row],[Gross Generation 12MW (MW)]]</f>
        <v>14.459058271195802</v>
      </c>
      <c r="AQ13">
        <v>0</v>
      </c>
      <c r="AR13">
        <v>4.0449999999999999</v>
      </c>
      <c r="AS13">
        <f>SUM(Table13[[#This Row],[Thermax 350 TPH (MT)]:[Thermax AFBC-2 105 TPH (MT)]])</f>
        <v>12744</v>
      </c>
      <c r="AT13">
        <v>4342</v>
      </c>
      <c r="AU13" s="83">
        <v>4564</v>
      </c>
      <c r="AV13" s="83">
        <v>2497</v>
      </c>
      <c r="AW13">
        <v>1341</v>
      </c>
      <c r="AX13">
        <v>24</v>
      </c>
      <c r="AY13" s="83">
        <v>24</v>
      </c>
      <c r="AZ13" s="83">
        <v>24</v>
      </c>
      <c r="BA13">
        <v>24</v>
      </c>
      <c r="BB13" s="65">
        <f>Table13[[#This Row],[Thermax 350 TPH (MT)]]/Table13[[#This Row],[Thermax 350 TPH (Running Hrs)]]</f>
        <v>180.91666666666666</v>
      </c>
      <c r="BC13" s="65">
        <f>Table13[[#This Row],[ISGEC 350 TPH (MT)]]/Table13[[#This Row],[ISGEC 350 TPH(Running Hrs)]]</f>
        <v>190.16666666666666</v>
      </c>
      <c r="BD13" s="65">
        <f>Table13[[#This Row],[Thermax AFBC-1 105 TPH (MT)]]/Table13[[#This Row],[Thermax AFBC-1 105 TPH(Running Hrs)]]</f>
        <v>104.04166666666667</v>
      </c>
      <c r="BE13" s="65">
        <f>Table13[[#This Row],[Thermax AFBC-2 105 TPH (MT)]]/Table13[[#This Row],[Thermax AFBC-2 105 TPH(Running Hrs)]]</f>
        <v>55.875</v>
      </c>
      <c r="BF13" s="65">
        <f>Table13[[#This Row],[Thermax 350 TPH (MT)]]/Table13[[#This Row],[Coal -  Thermax 350 TPH (MT)]]</f>
        <v>27.481012658227847</v>
      </c>
      <c r="BG13" s="65">
        <f>Table13[[#This Row],[ISGEC 350 TPH (MT)]]/Table13[[#This Row],[Coal - ISGEC 350 TPH (MT)]]</f>
        <v>18.62857142857143</v>
      </c>
      <c r="BH13" s="65">
        <f>Table13[[#This Row],[Thermax AFBC-1 105 TPH (MT)]]/Table13[[#This Row],[Coal - Thermax AFBC-1 105 TPH (MT)]]</f>
        <v>13.644808743169399</v>
      </c>
      <c r="BI13" s="65">
        <f>Table13[[#This Row],[Thermax AFBC-2 105 TPH (MT)]]/Table13[[#This Row],[Coal - Thermax AFBC-2 105 TPH (MT)]]</f>
        <v>11.268907563025211</v>
      </c>
      <c r="BJ13" s="65">
        <f>Table13[[#This Row],[Thermax 350 TPH (MT)]]/Table13[[#This Row],[Lignite -  Thermax 350 TPH (MT)]]</f>
        <v>25.391812865497077</v>
      </c>
      <c r="BK13" s="65">
        <f>Table13[[#This Row],[ISGEC 350 TPH (MT)]]/Table13[[#This Row],[Lignite - ISGEC 350 TPH (MT)]]</f>
        <v>16.903703703703705</v>
      </c>
      <c r="BL13" s="65">
        <f>Table13[[#This Row],[Thermax AFBC-1 105 TPH (MT)]]/Table13[[#This Row],[Lignite - Thermax AFBC-1 105 TPH (MT)]]</f>
        <v>18.774436090225564</v>
      </c>
      <c r="BM13" s="65">
        <f>Table13[[#This Row],[Thermax AFBC-2 105 TPH (MT)]]/Table13[[#This Row],[Lignite - Thermax AFBC-2 105 TPH (MT)]]</f>
        <v>9.6474820143884887</v>
      </c>
      <c r="BN13">
        <v>175</v>
      </c>
      <c r="BO13">
        <v>193</v>
      </c>
      <c r="BP13">
        <v>176</v>
      </c>
      <c r="BQ13">
        <v>179</v>
      </c>
      <c r="BR13" s="96">
        <f>Table13[[#This Row],[WHRB-1 (MT)]]/Table13[[#This Row],[WHRB-1 Running Hr]]</f>
        <v>7.291666666666667</v>
      </c>
      <c r="BS13" s="96">
        <f>Table13[[#This Row],[WHRB-2 (MT)]]/Table13[[#This Row],[WHRB-2 Running Hr]]</f>
        <v>8.0416666666666661</v>
      </c>
      <c r="BT13" s="96">
        <f>Table13[[#This Row],[WHRB-3 (MT)]]/Table13[[#This Row],[WHRB-3 Running Hr]]</f>
        <v>7.333333333333333</v>
      </c>
      <c r="BU13" s="96">
        <f>Table13[[#This Row],[WHRB-4 (MT)]]/Table13[[#This Row],[WHRB-4 Running Hr]]</f>
        <v>7.458333333333333</v>
      </c>
      <c r="BV13" s="96">
        <f>SUM(Table13[[#This Row],[Pro(TPH)WHRB-1 (MT)]:[Pro(TPH)WHRB-4 (MT)]])</f>
        <v>30.124999999999996</v>
      </c>
      <c r="BW13" s="96">
        <f>SUM(Table13[[#This Row],[WHRB-1 (MT)]:[WHRB-4 (MT)]],BX13,BY13)</f>
        <v>1017</v>
      </c>
      <c r="BX13" s="83">
        <v>144</v>
      </c>
      <c r="BY13" s="83">
        <v>150</v>
      </c>
      <c r="BZ13">
        <v>24</v>
      </c>
      <c r="CA13">
        <v>21</v>
      </c>
      <c r="CB13" s="69">
        <f>Table13[[#This Row],[Steam 30TPH (MT)]]/Table13[[#This Row],[Steam 30TPH(running Hrs)]]</f>
        <v>6</v>
      </c>
      <c r="CC13" s="69">
        <f>Table13[[#This Row],[Steam 20 TPH (MT)]]/Table13[[#This Row],[Steam 20 TPH(running Hrs)]]</f>
        <v>7.1428571428571432</v>
      </c>
      <c r="CD13" s="83">
        <v>138</v>
      </c>
      <c r="CE13" s="83">
        <v>117</v>
      </c>
      <c r="CF13">
        <v>8.33</v>
      </c>
      <c r="CG13" s="65">
        <f>Table13[[#This Row],[Steam To Dearator (43MW)2]]/24</f>
        <v>2.5833333333333335</v>
      </c>
      <c r="CH13" s="65">
        <f>Table13[[#This Row],[Steam To Dearator (80MW)3]]/24</f>
        <v>0</v>
      </c>
      <c r="CI13">
        <v>62</v>
      </c>
      <c r="CJ13">
        <v>0</v>
      </c>
      <c r="CK13">
        <v>80.311000265532186</v>
      </c>
      <c r="CL13">
        <v>0</v>
      </c>
      <c r="CM13">
        <v>0</v>
      </c>
      <c r="CN13">
        <v>74.551771914648199</v>
      </c>
      <c r="CO13">
        <v>0</v>
      </c>
      <c r="CP13">
        <v>0</v>
      </c>
      <c r="CQ13">
        <v>617.51400000000012</v>
      </c>
      <c r="CR13">
        <v>0</v>
      </c>
      <c r="CV13" s="75">
        <v>24</v>
      </c>
      <c r="CW13" s="75">
        <v>24</v>
      </c>
      <c r="CX13" s="75">
        <v>24</v>
      </c>
      <c r="CY13" s="75">
        <v>24</v>
      </c>
    </row>
    <row r="14" spans="1:103" x14ac:dyDescent="0.35">
      <c r="A14" s="11">
        <v>44878</v>
      </c>
      <c r="B14" s="69">
        <v>174.24</v>
      </c>
      <c r="C14" s="69">
        <v>23.844000000000001</v>
      </c>
      <c r="D14">
        <v>0</v>
      </c>
      <c r="E14">
        <v>0</v>
      </c>
      <c r="F14">
        <v>1427</v>
      </c>
      <c r="G14">
        <v>192.17000000000002</v>
      </c>
      <c r="H14">
        <v>24</v>
      </c>
      <c r="I14">
        <v>0</v>
      </c>
      <c r="J14">
        <v>24</v>
      </c>
      <c r="K14" s="69">
        <f>Table13[[#This Row],[Gross Generation 80 (MW)]]/Table13[[#This Row],[80 MW STG Running Hours (Hours)]]</f>
        <v>59.458333333333336</v>
      </c>
      <c r="L14" s="69">
        <f>Table13[[#This Row],[Aux  80 MW (MW)]]/Table13[[#This Row],[80 MW STG Running Hours (Hours)]]</f>
        <v>8.007083333333334</v>
      </c>
      <c r="M14" s="65">
        <f>Table13[[#This Row],[Aux  80 MW (MW)]]/Table13[[#This Row],[Gross Generation 80 (MW)]]*100</f>
        <v>13.466713384723198</v>
      </c>
      <c r="N14" s="65">
        <f>Table13[[#This Row],[Coal 80 and 43 MW (MT)]]/SUM(Table13[[#This Row],[80 MW STG Running Hours (Hours)]:[43 MW STG Running Hours (Hours)]])</f>
        <v>38.666666666666664</v>
      </c>
      <c r="O14" s="65">
        <f>Table13[[#This Row],[Steam 0f 80-43MW]]/Table13[[#This Row],[Coal 80 and 43 MW (MT)]]</f>
        <v>15.297413793103448</v>
      </c>
      <c r="P14" s="99">
        <f>SUM(Table13[[#This Row],[Coal -  Thermax 350 TPH (MT)]:[Coal - Thermax AFBC-2 105 TPH (MT)]])</f>
        <v>928</v>
      </c>
      <c r="Q14" s="83">
        <v>280</v>
      </c>
      <c r="R14" s="83">
        <v>164</v>
      </c>
      <c r="S14" s="83">
        <v>197</v>
      </c>
      <c r="T14" s="83">
        <v>287</v>
      </c>
      <c r="U14">
        <v>4275</v>
      </c>
      <c r="V14" s="83">
        <v>162</v>
      </c>
      <c r="W14" s="83">
        <v>270</v>
      </c>
      <c r="X14" s="83">
        <v>213</v>
      </c>
      <c r="Y14" s="83">
        <v>286</v>
      </c>
      <c r="Z14" s="83">
        <f>SUM(Table13[[#This Row],[Lignite -  Thermax 350 TPH (MT)]:[Lignite - Thermax AFBC-2 105 TPH (MT)]])</f>
        <v>931</v>
      </c>
      <c r="AA14" s="100">
        <f>Table13[[#This Row],[Lignite 80 and 43 MW (MT)]]/SUM(Table13[[#This Row],[80 MW STG Running Hours (Hours)]:[43 MW STG Running Hours (Hours)]])</f>
        <v>38.791666666666664</v>
      </c>
      <c r="AB14">
        <v>2869</v>
      </c>
      <c r="AC14">
        <v>19.62</v>
      </c>
      <c r="AH14" s="65">
        <f>Table13[[#This Row],[Coal -  Thermax 350 TPH (MT)]]/Table13[[#This Row],[Thermax 350 TPH (Running Hrs)]]</f>
        <v>11.666666666666666</v>
      </c>
      <c r="AI14" s="65">
        <f>Table13[[#This Row],[Coal - ISGEC 350 TPH (MT)]]/Table13[[#This Row],[ISGEC 350 TPH(Running Hrs)]]</f>
        <v>6.833333333333333</v>
      </c>
      <c r="AJ14" s="65">
        <f>Table13[[#This Row],[Coal - Thermax AFBC-1 105 TPH (MT)]]/Table13[[#This Row],[Thermax AFBC-1 105 TPH(Running Hrs)]]</f>
        <v>8.2083333333333339</v>
      </c>
      <c r="AK14" s="65">
        <f>Table13[[#This Row],[Coal - Thermax AFBC-2 105 TPH (MT)]]/Table13[[#This Row],[Thermax AFBC-2 105 TPH(Running Hrs)]]</f>
        <v>11.958333333333334</v>
      </c>
      <c r="AL14" s="65">
        <f>Table13[[#This Row],[Lignite -  Thermax 350 TPH (MT)]]/Table13[[#This Row],[Thermax 350 TPH (Running Hrs)]]</f>
        <v>6.75</v>
      </c>
      <c r="AM14" s="65">
        <f>Table13[[#This Row],[Lignite - ISGEC 350 TPH (MT)]]/Table13[[#This Row],[ISGEC 350 TPH(Running Hrs)]]</f>
        <v>11.25</v>
      </c>
      <c r="AN14" s="65">
        <f>Table13[[#This Row],[Lignite - Thermax AFBC-1 105 TPH (MT)]]/Table13[[#This Row],[Thermax AFBC-1 105 TPH(Running Hrs)]]</f>
        <v>8.875</v>
      </c>
      <c r="AO14" s="65">
        <f>Table13[[#This Row],[Lignite - Thermax AFBC-2 105 TPH (MT)]]/Table13[[#This Row],[Thermax AFBC-2 105 TPH(Running Hrs)]]</f>
        <v>11.916666666666666</v>
      </c>
      <c r="AP14" s="69">
        <f>SUM(Table13[[#This Row],[WHRB-1 (MT)]:[Steam 20 TPH (MT)]])/Table13[[#This Row],[Gross Generation 12MW (MW)]]</f>
        <v>14.04002142638506</v>
      </c>
      <c r="AQ14">
        <v>0</v>
      </c>
      <c r="AR14">
        <v>4.05</v>
      </c>
      <c r="AS14">
        <f>SUM(Table13[[#This Row],[Thermax 350 TPH (MT)]:[Thermax AFBC-2 105 TPH (MT)]])</f>
        <v>14196</v>
      </c>
      <c r="AT14">
        <v>5786</v>
      </c>
      <c r="AU14" s="83">
        <v>4057</v>
      </c>
      <c r="AV14" s="83">
        <v>2976</v>
      </c>
      <c r="AW14">
        <v>1377</v>
      </c>
      <c r="AX14">
        <v>24</v>
      </c>
      <c r="AY14" s="83">
        <v>24</v>
      </c>
      <c r="AZ14" s="83">
        <v>24</v>
      </c>
      <c r="BA14">
        <v>24</v>
      </c>
      <c r="BB14" s="65">
        <f>Table13[[#This Row],[Thermax 350 TPH (MT)]]/Table13[[#This Row],[Thermax 350 TPH (Running Hrs)]]</f>
        <v>241.08333333333334</v>
      </c>
      <c r="BC14" s="65">
        <f>Table13[[#This Row],[ISGEC 350 TPH (MT)]]/Table13[[#This Row],[ISGEC 350 TPH(Running Hrs)]]</f>
        <v>169.04166666666666</v>
      </c>
      <c r="BD14" s="65">
        <f>Table13[[#This Row],[Thermax AFBC-1 105 TPH (MT)]]/Table13[[#This Row],[Thermax AFBC-1 105 TPH(Running Hrs)]]</f>
        <v>124</v>
      </c>
      <c r="BE14" s="65">
        <f>Table13[[#This Row],[Thermax AFBC-2 105 TPH (MT)]]/Table13[[#This Row],[Thermax AFBC-2 105 TPH(Running Hrs)]]</f>
        <v>57.375</v>
      </c>
      <c r="BF14" s="65">
        <f>Table13[[#This Row],[Thermax 350 TPH (MT)]]/Table13[[#This Row],[Coal -  Thermax 350 TPH (MT)]]</f>
        <v>20.664285714285715</v>
      </c>
      <c r="BG14" s="65">
        <f>Table13[[#This Row],[ISGEC 350 TPH (MT)]]/Table13[[#This Row],[Coal - ISGEC 350 TPH (MT)]]</f>
        <v>24.737804878048781</v>
      </c>
      <c r="BH14" s="65">
        <f>Table13[[#This Row],[Thermax AFBC-1 105 TPH (MT)]]/Table13[[#This Row],[Coal - Thermax AFBC-1 105 TPH (MT)]]</f>
        <v>15.106598984771574</v>
      </c>
      <c r="BI14" s="65">
        <f>Table13[[#This Row],[Thermax AFBC-2 105 TPH (MT)]]/Table13[[#This Row],[Coal - Thermax AFBC-2 105 TPH (MT)]]</f>
        <v>4.7979094076655056</v>
      </c>
      <c r="BJ14" s="65">
        <f>Table13[[#This Row],[Thermax 350 TPH (MT)]]/Table13[[#This Row],[Lignite -  Thermax 350 TPH (MT)]]</f>
        <v>35.716049382716051</v>
      </c>
      <c r="BK14" s="65">
        <f>Table13[[#This Row],[ISGEC 350 TPH (MT)]]/Table13[[#This Row],[Lignite - ISGEC 350 TPH (MT)]]</f>
        <v>15.025925925925925</v>
      </c>
      <c r="BL14" s="65">
        <f>Table13[[#This Row],[Thermax AFBC-1 105 TPH (MT)]]/Table13[[#This Row],[Lignite - Thermax AFBC-1 105 TPH (MT)]]</f>
        <v>13.971830985915492</v>
      </c>
      <c r="BM14" s="65">
        <f>Table13[[#This Row],[Thermax AFBC-2 105 TPH (MT)]]/Table13[[#This Row],[Lignite - Thermax AFBC-2 105 TPH (MT)]]</f>
        <v>4.814685314685315</v>
      </c>
      <c r="BN14">
        <v>207</v>
      </c>
      <c r="BO14">
        <v>218</v>
      </c>
      <c r="BP14">
        <v>208</v>
      </c>
      <c r="BQ14">
        <v>211</v>
      </c>
      <c r="BR14" s="96">
        <f>Table13[[#This Row],[WHRB-1 (MT)]]/Table13[[#This Row],[WHRB-1 Running Hr]]</f>
        <v>8.625</v>
      </c>
      <c r="BS14" s="96">
        <f>Table13[[#This Row],[WHRB-2 (MT)]]/Table13[[#This Row],[WHRB-2 Running Hr]]</f>
        <v>9.0833333333333339</v>
      </c>
      <c r="BT14" s="96">
        <f>Table13[[#This Row],[WHRB-3 (MT)]]/Table13[[#This Row],[WHRB-3 Running Hr]]</f>
        <v>8.6666666666666661</v>
      </c>
      <c r="BU14" s="96">
        <f>Table13[[#This Row],[WHRB-4 (MT)]]/Table13[[#This Row],[WHRB-4 Running Hr]]</f>
        <v>8.7916666666666661</v>
      </c>
      <c r="BV14" s="96">
        <f>SUM(Table13[[#This Row],[Pro(TPH)WHRB-1 (MT)]:[Pro(TPH)WHRB-4 (MT)]])</f>
        <v>35.166666666666664</v>
      </c>
      <c r="BW14" s="96">
        <f>SUM(Table13[[#This Row],[WHRB-1 (MT)]:[WHRB-4 (MT)]],BX14,BY14)</f>
        <v>1188</v>
      </c>
      <c r="BX14" s="83">
        <v>227</v>
      </c>
      <c r="BY14" s="83">
        <v>117</v>
      </c>
      <c r="BZ14">
        <v>24</v>
      </c>
      <c r="CA14">
        <v>22</v>
      </c>
      <c r="CB14" s="69">
        <f>Table13[[#This Row],[Steam 30TPH (MT)]]/Table13[[#This Row],[Steam 30TPH(running Hrs)]]</f>
        <v>9.4583333333333339</v>
      </c>
      <c r="CC14" s="69">
        <f>Table13[[#This Row],[Steam 20 TPH (MT)]]/Table13[[#This Row],[Steam 20 TPH(running Hrs)]]</f>
        <v>5.3181818181818183</v>
      </c>
      <c r="CD14" s="83">
        <v>149</v>
      </c>
      <c r="CE14" s="83">
        <v>154</v>
      </c>
      <c r="CF14">
        <v>113.54</v>
      </c>
      <c r="CG14" s="65">
        <f>Table13[[#This Row],[Steam To Dearator (43MW)2]]/24</f>
        <v>2.5</v>
      </c>
      <c r="CH14" s="65">
        <f>Table13[[#This Row],[Steam To Dearator (80MW)3]]/24</f>
        <v>0</v>
      </c>
      <c r="CI14">
        <v>60</v>
      </c>
      <c r="CJ14">
        <v>0</v>
      </c>
      <c r="CK14">
        <v>82.548548301237773</v>
      </c>
      <c r="CL14">
        <v>0</v>
      </c>
      <c r="CM14">
        <v>0</v>
      </c>
      <c r="CN14">
        <v>74.628576147030827</v>
      </c>
      <c r="CO14">
        <v>0</v>
      </c>
      <c r="CP14">
        <v>0</v>
      </c>
      <c r="CQ14">
        <v>603.56200000000001</v>
      </c>
      <c r="CR14">
        <v>0</v>
      </c>
      <c r="CV14" s="75">
        <v>24</v>
      </c>
      <c r="CW14" s="75">
        <v>24</v>
      </c>
      <c r="CX14" s="75">
        <v>24</v>
      </c>
      <c r="CY14" s="75">
        <v>24</v>
      </c>
    </row>
    <row r="15" spans="1:103" x14ac:dyDescent="0.35">
      <c r="A15" s="11">
        <v>44879</v>
      </c>
      <c r="N15" s="65"/>
      <c r="O15" s="65"/>
      <c r="P15" s="65"/>
      <c r="BF15" s="65"/>
      <c r="BG15" s="65"/>
      <c r="BH15" s="65"/>
      <c r="BI15" s="65"/>
      <c r="BJ15" s="65"/>
      <c r="BK15" s="65"/>
      <c r="BL15" s="65"/>
      <c r="BM15" s="65"/>
      <c r="BV15" s="69"/>
      <c r="BW15" s="69"/>
    </row>
    <row r="16" spans="1:103" x14ac:dyDescent="0.35">
      <c r="A16" s="11">
        <v>44880</v>
      </c>
      <c r="B16" s="65"/>
      <c r="C16" s="65"/>
      <c r="N16" s="65"/>
      <c r="O16" s="65"/>
      <c r="P16" s="65"/>
      <c r="BF16" s="65"/>
      <c r="BG16" s="65"/>
      <c r="BH16" s="65"/>
      <c r="BI16" s="65"/>
      <c r="BJ16" s="65"/>
      <c r="BK16" s="65"/>
      <c r="BL16" s="65"/>
      <c r="BM16" s="65"/>
      <c r="BV16" s="69"/>
      <c r="BW16" s="69"/>
    </row>
    <row r="17" spans="1:103" x14ac:dyDescent="0.35">
      <c r="A17" s="11">
        <v>44881</v>
      </c>
      <c r="B17" s="65"/>
      <c r="N17" s="65"/>
      <c r="O17" s="65"/>
      <c r="P17" s="65"/>
      <c r="BF17" s="65"/>
      <c r="BG17" s="65"/>
      <c r="BH17" s="65"/>
      <c r="BI17" s="65"/>
      <c r="BJ17" s="65"/>
      <c r="BK17" s="65"/>
      <c r="BL17" s="65"/>
      <c r="BM17" s="65"/>
      <c r="BV17" s="69"/>
      <c r="BW17" s="69"/>
    </row>
    <row r="18" spans="1:103" x14ac:dyDescent="0.35">
      <c r="A18" s="11">
        <v>44882</v>
      </c>
      <c r="B18" s="65"/>
      <c r="C18" s="64"/>
      <c r="D18" s="64"/>
      <c r="E18" s="64"/>
      <c r="F18" s="64"/>
      <c r="G18" s="64"/>
      <c r="N18" s="65"/>
      <c r="O18" s="65"/>
      <c r="P18" s="65"/>
      <c r="BF18" s="65"/>
      <c r="BG18" s="65"/>
      <c r="BH18" s="65"/>
      <c r="BI18" s="65"/>
      <c r="BJ18" s="65"/>
      <c r="BK18" s="65"/>
      <c r="BL18" s="65"/>
      <c r="BM18" s="65"/>
      <c r="BV18" s="69"/>
      <c r="BW18" s="69"/>
    </row>
    <row r="19" spans="1:103" x14ac:dyDescent="0.35">
      <c r="A19" s="11">
        <v>44883</v>
      </c>
      <c r="N19" s="65"/>
      <c r="O19" s="65"/>
      <c r="P19" s="65"/>
      <c r="BF19" s="65"/>
      <c r="BG19" s="65"/>
      <c r="BH19" s="65"/>
      <c r="BI19" s="65"/>
      <c r="BJ19" s="65"/>
      <c r="BK19" s="65"/>
      <c r="BL19" s="65"/>
      <c r="BM19" s="65"/>
      <c r="BV19" s="69"/>
      <c r="BW19" s="69"/>
    </row>
    <row r="20" spans="1:103" x14ac:dyDescent="0.35">
      <c r="A20" s="11">
        <v>44884</v>
      </c>
      <c r="E20" s="63"/>
      <c r="N20" s="65"/>
      <c r="O20" s="65"/>
      <c r="P20" s="65"/>
      <c r="BF20" s="65"/>
      <c r="BG20" s="65"/>
      <c r="BH20" s="65"/>
      <c r="BI20" s="65"/>
      <c r="BJ20" s="65"/>
      <c r="BK20" s="65"/>
      <c r="BL20" s="65"/>
      <c r="BM20" s="65"/>
      <c r="BV20" s="69"/>
      <c r="BW20" s="69"/>
    </row>
    <row r="21" spans="1:103" x14ac:dyDescent="0.35">
      <c r="A21" s="11">
        <v>44885</v>
      </c>
      <c r="N21" s="65"/>
      <c r="O21" s="65"/>
      <c r="P21" s="65"/>
      <c r="BF21" s="65"/>
      <c r="BG21" s="65"/>
      <c r="BH21" s="65"/>
      <c r="BI21" s="65"/>
      <c r="BJ21" s="65"/>
      <c r="BK21" s="65"/>
      <c r="BL21" s="65"/>
      <c r="BM21" s="65"/>
      <c r="BV21" s="69"/>
      <c r="BW21" s="69"/>
    </row>
    <row r="23" spans="1:103" x14ac:dyDescent="0.35">
      <c r="A23" s="11" t="s">
        <v>142</v>
      </c>
      <c r="B23" s="67">
        <f>SUBTOTAL(9,B2:B21)</f>
        <v>1820.904</v>
      </c>
      <c r="C23" s="67">
        <f>SUBTOTAL(9,C2:C21)</f>
        <v>293.97899999999998</v>
      </c>
      <c r="D23" s="67">
        <f t="shared" ref="D23:I23" si="0">SUBTOTAL(9,D2:D21)</f>
        <v>1239</v>
      </c>
      <c r="E23" s="67">
        <f>SUBTOTAL(9,E2:E21)</f>
        <v>236.71999999999963</v>
      </c>
      <c r="F23" s="67">
        <f t="shared" si="0"/>
        <v>19197</v>
      </c>
      <c r="G23" s="67">
        <f t="shared" si="0"/>
        <v>2390.1399999999994</v>
      </c>
      <c r="H23" s="67">
        <f>SUBTOTAL(9,H2:H21)</f>
        <v>312</v>
      </c>
      <c r="I23" s="67">
        <f t="shared" si="0"/>
        <v>81</v>
      </c>
      <c r="J23" s="67">
        <f>SUBTOTAL(9,J2:J21)</f>
        <v>312</v>
      </c>
      <c r="K23" s="65"/>
      <c r="L23" s="65"/>
      <c r="N23" s="67">
        <f>SUBTOTAL(9,N2:N21)</f>
        <v>346.719696969697</v>
      </c>
      <c r="O23" s="65"/>
      <c r="P23" s="67"/>
      <c r="Q23" s="67">
        <f>SUBTOTAL(9,Q2:Q21)</f>
        <v>2667</v>
      </c>
      <c r="R23" s="67">
        <f>SUBTOTAL(9,R2:R21)</f>
        <v>2353</v>
      </c>
      <c r="S23" s="67">
        <f>SUBTOTAL(9,S2:S21)</f>
        <v>2224</v>
      </c>
      <c r="T23" s="67">
        <f>SUBTOTAL(9,T2:T21)</f>
        <v>2276</v>
      </c>
      <c r="V23" s="67">
        <f t="shared" ref="V23:Y23" si="1">SUBTOTAL(9,V2:V21)</f>
        <v>2540</v>
      </c>
      <c r="W23" s="67">
        <f t="shared" si="1"/>
        <v>3031</v>
      </c>
      <c r="X23" s="67">
        <f t="shared" si="1"/>
        <v>2023</v>
      </c>
      <c r="Y23" s="67">
        <f t="shared" si="1"/>
        <v>2571</v>
      </c>
      <c r="Z23" s="67"/>
      <c r="AA23" s="67">
        <f>SUBTOTAL(9,AA2:AA21)</f>
        <v>367.81628787878788</v>
      </c>
      <c r="AS23" t="s">
        <v>203</v>
      </c>
      <c r="AT23" s="67">
        <f>SUBTOTAL(9,AT2:AT21)</f>
        <v>62818</v>
      </c>
      <c r="AU23" s="67">
        <f>SUBTOTAL(9,AU2:AU21)</f>
        <v>63329</v>
      </c>
      <c r="AV23" s="67">
        <f>SUBTOTAL(9,AV2:AV21)</f>
        <v>42528</v>
      </c>
      <c r="AW23" s="67">
        <f>SUBTOTAL(9,AW2:AW21)</f>
        <v>18732</v>
      </c>
      <c r="AX23" s="67">
        <f t="shared" ref="AX23:BA23" si="2">SUBTOTAL(9,AX2:AX21)</f>
        <v>264</v>
      </c>
      <c r="AY23" s="67">
        <f t="shared" si="2"/>
        <v>312</v>
      </c>
      <c r="AZ23" s="67">
        <f t="shared" si="2"/>
        <v>264</v>
      </c>
      <c r="BA23" s="67">
        <f t="shared" si="2"/>
        <v>312</v>
      </c>
      <c r="BB23" s="67"/>
      <c r="BC23" s="67"/>
      <c r="BD23" s="67"/>
      <c r="BE23" s="67"/>
      <c r="BF23" s="67">
        <f>SUBTOTAL(9,BF2:BF21)</f>
        <v>340.36439657713606</v>
      </c>
      <c r="BG23" s="67">
        <f>SUBTOTAL(9,BG2:BG21)</f>
        <v>372.98667609996954</v>
      </c>
      <c r="BH23" s="67" t="e">
        <f>SUBTOTAL(9,BH2:BH21)</f>
        <v>#DIV/0!</v>
      </c>
      <c r="BI23" s="67">
        <f>SUBTOTAL(9,BI2:BI21)</f>
        <v>116.01701764542638</v>
      </c>
      <c r="BJ23" s="67">
        <f t="shared" ref="BJ23:BM23" si="3">SUBTOTAL(9,BJ2:BJ21)</f>
        <v>336.98929879920797</v>
      </c>
      <c r="BK23" s="67">
        <f t="shared" si="3"/>
        <v>296.88467812694182</v>
      </c>
      <c r="BL23" s="67" t="e">
        <f t="shared" si="3"/>
        <v>#DIV/0!</v>
      </c>
      <c r="BM23" s="67">
        <f t="shared" si="3"/>
        <v>104.47345478701841</v>
      </c>
      <c r="BN23" s="87">
        <f t="shared" ref="BN23:BQ23" si="4">SUBTOTAL(9,BN2:BN21)</f>
        <v>2614</v>
      </c>
      <c r="BO23" s="87">
        <f t="shared" si="4"/>
        <v>2896</v>
      </c>
      <c r="BP23" s="87">
        <f t="shared" si="4"/>
        <v>2897</v>
      </c>
      <c r="BQ23" s="87">
        <f t="shared" si="4"/>
        <v>2379</v>
      </c>
      <c r="BR23" s="87"/>
      <c r="BS23" s="87"/>
      <c r="BT23" s="87"/>
      <c r="BU23" s="87"/>
      <c r="BV23" s="87"/>
      <c r="BW23" s="67">
        <f>SUBTOTAL(9,BW2:BW21)</f>
        <v>15202</v>
      </c>
      <c r="BX23" s="67">
        <f t="shared" ref="BX23:CC23" si="5">SUBTOTAL(9,BX2:BX21)</f>
        <v>2226</v>
      </c>
      <c r="BY23" s="67">
        <f t="shared" si="5"/>
        <v>2190</v>
      </c>
      <c r="BZ23" s="67">
        <f t="shared" si="5"/>
        <v>312</v>
      </c>
      <c r="CA23" s="67">
        <f t="shared" si="5"/>
        <v>243</v>
      </c>
      <c r="CB23" s="67">
        <f t="shared" si="5"/>
        <v>92.749999999999986</v>
      </c>
      <c r="CC23" s="67">
        <f t="shared" si="5"/>
        <v>128.59669628616996</v>
      </c>
      <c r="CD23" s="67">
        <f>SUBTOTAL(9,CD2:CD21)</f>
        <v>1966</v>
      </c>
      <c r="CE23" s="67">
        <f>SUBTOTAL(9,CE2:CE21)</f>
        <v>1840</v>
      </c>
      <c r="CI23" s="90">
        <f t="shared" ref="CI23:CP23" si="6">SUBTOTAL(9,CI2:CI21)</f>
        <v>1062</v>
      </c>
      <c r="CJ23" s="90">
        <f t="shared" si="6"/>
        <v>549</v>
      </c>
      <c r="CK23" s="67">
        <f t="shared" si="6"/>
        <v>897.38775791515832</v>
      </c>
      <c r="CL23" s="67">
        <f t="shared" si="6"/>
        <v>320.9142595365945</v>
      </c>
      <c r="CM23" s="67">
        <f t="shared" si="6"/>
        <v>0</v>
      </c>
      <c r="CN23" s="67">
        <f t="shared" si="6"/>
        <v>969.02333692925629</v>
      </c>
      <c r="CO23" s="67">
        <f t="shared" si="6"/>
        <v>0</v>
      </c>
      <c r="CP23" s="67">
        <f t="shared" si="6"/>
        <v>0</v>
      </c>
      <c r="CV23" s="67">
        <f t="shared" ref="CV23:CY23" si="7">SUBTOTAL(9,CV2:CV21)</f>
        <v>312</v>
      </c>
      <c r="CW23" s="67">
        <f t="shared" si="7"/>
        <v>312</v>
      </c>
      <c r="CX23" s="67">
        <f t="shared" si="7"/>
        <v>312</v>
      </c>
      <c r="CY23" s="67">
        <f t="shared" si="7"/>
        <v>312</v>
      </c>
    </row>
    <row r="24" spans="1:103" x14ac:dyDescent="0.35">
      <c r="A24" s="11" t="s">
        <v>143</v>
      </c>
      <c r="B24" s="66">
        <f>B23/J23</f>
        <v>5.8362307692307693</v>
      </c>
      <c r="C24" s="68">
        <f>C23/J23</f>
        <v>0.94224038461538462</v>
      </c>
      <c r="D24" s="66">
        <f>D23/I23</f>
        <v>15.296296296296296</v>
      </c>
      <c r="E24" s="68">
        <f>E23/I23</f>
        <v>2.9224691358024644</v>
      </c>
      <c r="F24" s="66">
        <f>F23/H23</f>
        <v>61.528846153846153</v>
      </c>
      <c r="G24" s="68">
        <f>G23/H23</f>
        <v>7.6607051282051266</v>
      </c>
      <c r="M24" t="s">
        <v>307</v>
      </c>
      <c r="N24" s="65">
        <f>Q24/SUM(H23:I23)</f>
        <v>24.223918575063614</v>
      </c>
      <c r="P24" t="s">
        <v>296</v>
      </c>
      <c r="Q24" s="65">
        <f>SUM(Q23:T23)</f>
        <v>9520</v>
      </c>
      <c r="U24" t="s">
        <v>297</v>
      </c>
      <c r="V24" s="65">
        <f>SUM(V23:Y23)</f>
        <v>10165</v>
      </c>
      <c r="W24" s="88"/>
      <c r="Z24" s="69" t="s">
        <v>308</v>
      </c>
      <c r="AA24" s="69">
        <f>V24/SUM(H23:I23)</f>
        <v>25.865139949109416</v>
      </c>
      <c r="AS24" t="s">
        <v>204</v>
      </c>
      <c r="AT24" s="82">
        <f>AT23/AX23</f>
        <v>237.94696969696969</v>
      </c>
      <c r="AU24" s="82">
        <f>AU23/AY23</f>
        <v>202.97756410256412</v>
      </c>
      <c r="AV24" s="82">
        <f t="shared" ref="AV24" si="8">AV23/AZ23</f>
        <v>161.09090909090909</v>
      </c>
      <c r="AW24" s="82">
        <f>AW23/BA23</f>
        <v>60.03846153846154</v>
      </c>
      <c r="BN24" s="84">
        <f>SUM(BN23:BQ23)</f>
        <v>10786</v>
      </c>
      <c r="BO24" s="65">
        <f>BX23+BY23</f>
        <v>4416</v>
      </c>
      <c r="BQ24" t="s">
        <v>204</v>
      </c>
      <c r="BX24" s="69">
        <f>BX23/BZ23</f>
        <v>7.134615384615385</v>
      </c>
      <c r="BY24" s="69">
        <f>BY23/CA23</f>
        <v>9.0123456790123448</v>
      </c>
      <c r="CL24" s="65"/>
    </row>
    <row r="25" spans="1:103" x14ac:dyDescent="0.35">
      <c r="A25" s="11" t="s">
        <v>205</v>
      </c>
      <c r="B25" s="65">
        <f>B23/J23</f>
        <v>5.8362307692307693</v>
      </c>
      <c r="C25" s="65"/>
      <c r="D25" s="65">
        <f>D23/I23</f>
        <v>15.296296296296296</v>
      </c>
      <c r="E25" s="65"/>
      <c r="F25" s="65">
        <f>F23/H23</f>
        <v>61.528846153846153</v>
      </c>
      <c r="N25" s="65"/>
      <c r="P25" t="s">
        <v>317</v>
      </c>
      <c r="Q25" s="105">
        <f>AT23/Q23</f>
        <v>23.553805774278214</v>
      </c>
      <c r="R25" s="105">
        <f>AU23/R23</f>
        <v>26.914152146196344</v>
      </c>
      <c r="S25" s="105">
        <f>AV23/S23</f>
        <v>19.122302158273381</v>
      </c>
      <c r="T25" s="105">
        <f>AW23/T23</f>
        <v>8.230228471001757</v>
      </c>
      <c r="U25" s="106"/>
      <c r="V25" s="105">
        <f>AT23/V23</f>
        <v>24.731496062992125</v>
      </c>
      <c r="W25" s="105">
        <f t="shared" ref="W25" si="9">AU23/W23</f>
        <v>20.893764434180138</v>
      </c>
      <c r="X25" s="105">
        <f>AV23/X23</f>
        <v>21.022244191794364</v>
      </c>
      <c r="Y25" s="105">
        <f>AW23/Y23</f>
        <v>7.2858809801633608</v>
      </c>
      <c r="BM25" s="94" t="s">
        <v>284</v>
      </c>
      <c r="BN25" s="69">
        <f>BN23/CV23</f>
        <v>8.3782051282051277</v>
      </c>
      <c r="BO25" s="69">
        <f>BO23/CW23</f>
        <v>9.2820512820512828</v>
      </c>
      <c r="BP25" s="69">
        <f>BP23/CX23</f>
        <v>9.2852564102564106</v>
      </c>
      <c r="BQ25" s="69">
        <f>BQ23/CY23</f>
        <v>7.625</v>
      </c>
      <c r="BR25" s="69"/>
      <c r="BS25" s="69"/>
      <c r="BT25" s="69"/>
      <c r="BU25" s="69"/>
      <c r="BV25" s="69"/>
      <c r="BW25" s="69"/>
      <c r="CC25" t="s">
        <v>310</v>
      </c>
      <c r="CD25" s="69">
        <f>BW23/CD23</f>
        <v>7.7324516785350967</v>
      </c>
      <c r="CJ25" s="65">
        <f>SUM(CK23:CN23)</f>
        <v>2187.3253543810092</v>
      </c>
      <c r="CK25" s="65">
        <f>CK23/CJ25*100</f>
        <v>41.026715852663351</v>
      </c>
      <c r="CL25" s="65">
        <f>CL23/CJ25*100</f>
        <v>14.671537496414654</v>
      </c>
      <c r="CN25" s="65">
        <f>CN23/CJ25*100</f>
        <v>44.301746650921991</v>
      </c>
    </row>
    <row r="26" spans="1:103" ht="29" x14ac:dyDescent="0.35">
      <c r="A26" s="11" t="s">
        <v>152</v>
      </c>
      <c r="C26" s="70">
        <f>C23/B23*100</f>
        <v>16.144673195292008</v>
      </c>
      <c r="E26" s="70">
        <f>E23/D23*100</f>
        <v>19.105730427764296</v>
      </c>
      <c r="G26" s="70">
        <f>G23/F23*100</f>
        <v>12.450591238214301</v>
      </c>
      <c r="P26" t="s">
        <v>300</v>
      </c>
      <c r="Q26" s="65">
        <f>SUM(Q24,V24)</f>
        <v>19685</v>
      </c>
      <c r="R26" s="65">
        <f>R23+W23</f>
        <v>5384</v>
      </c>
      <c r="S26" s="65">
        <f>R23/R26*100</f>
        <v>43.703566121842499</v>
      </c>
      <c r="W26" s="65">
        <f>W23/R26*100</f>
        <v>56.296433878157501</v>
      </c>
      <c r="AS26" s="102" t="s">
        <v>299</v>
      </c>
      <c r="AT26" s="65">
        <f>SUM(AT23:AW23)</f>
        <v>187407</v>
      </c>
      <c r="BM26" t="s">
        <v>285</v>
      </c>
      <c r="BN26" s="69">
        <f>SUM(BN25:BQ25)</f>
        <v>34.570512820512818</v>
      </c>
      <c r="CC26" t="s">
        <v>311</v>
      </c>
      <c r="CD26" s="69">
        <f>BW23/CE23</f>
        <v>8.2619565217391298</v>
      </c>
    </row>
    <row r="27" spans="1:103" x14ac:dyDescent="0.35">
      <c r="P27" s="106" t="s">
        <v>318</v>
      </c>
      <c r="Q27" s="69">
        <f>Q23/AX23</f>
        <v>10.102272727272727</v>
      </c>
      <c r="R27" s="69">
        <f>R23/AY23</f>
        <v>7.541666666666667</v>
      </c>
      <c r="S27" s="69">
        <f>S23/AZ23</f>
        <v>8.4242424242424239</v>
      </c>
      <c r="T27" s="69">
        <f>T23/BA23</f>
        <v>7.2948717948717947</v>
      </c>
      <c r="V27" s="69">
        <f>V23/AX23</f>
        <v>9.6212121212121211</v>
      </c>
      <c r="W27" s="69">
        <f>W23/AY23</f>
        <v>9.7147435897435894</v>
      </c>
      <c r="X27" s="69">
        <f>X23/AZ23</f>
        <v>7.6628787878787881</v>
      </c>
      <c r="Y27" s="69">
        <f>Y23/BA23</f>
        <v>8.240384615384615</v>
      </c>
    </row>
    <row r="28" spans="1:103" x14ac:dyDescent="0.35">
      <c r="P28" t="s">
        <v>301</v>
      </c>
      <c r="Q28" s="69"/>
      <c r="R28" s="69"/>
      <c r="S28" s="69"/>
      <c r="T28" s="69"/>
      <c r="U28" t="s">
        <v>302</v>
      </c>
      <c r="V28" s="69">
        <f>AT26/V24</f>
        <v>18.436497786522381</v>
      </c>
    </row>
    <row r="31" spans="1:103" x14ac:dyDescent="0.35">
      <c r="BM31" t="s">
        <v>248</v>
      </c>
      <c r="BN31" s="69">
        <f>(BN24+BO24)/B23</f>
        <v>8.3486004753682792</v>
      </c>
    </row>
  </sheetData>
  <pageMargins left="0.7" right="0.7" top="0.75" bottom="0.75" header="0.3" footer="0.3"/>
  <pageSetup orientation="portrait" r:id="rId1"/>
  <ignoredErrors>
    <ignoredError sqref="K2:M14 Q2:T14 V2:Y14 BF2:BF14 BG2:BG14 BI2:BI14 BJ2:BJ14 BK2:BM14" calculatedColumn="1"/>
    <ignoredError sqref="BH2:BH3" evalError="1"/>
    <ignoredError sqref="BH4:BH14" evalError="1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showGridLines="0" tabSelected="1" topLeftCell="A2" zoomScale="90" zoomScaleNormal="90" workbookViewId="0">
      <selection activeCell="D24" sqref="D24"/>
    </sheetView>
  </sheetViews>
  <sheetFormatPr defaultRowHeight="14.5" x14ac:dyDescent="0.35"/>
  <cols>
    <col min="1" max="1" width="10.36328125" style="15" bestFit="1" customWidth="1"/>
    <col min="2" max="2" width="31.1796875" style="15" customWidth="1"/>
    <col min="3" max="3" width="61.26953125" style="15" customWidth="1"/>
    <col min="4" max="4" width="25.81640625" bestFit="1" customWidth="1"/>
    <col min="5" max="5" width="16.08984375" customWidth="1"/>
  </cols>
  <sheetData>
    <row r="1" spans="1:5" ht="203" x14ac:dyDescent="0.35">
      <c r="B1" s="71" t="s">
        <v>156</v>
      </c>
      <c r="C1" s="72" t="s">
        <v>157</v>
      </c>
    </row>
    <row r="4" spans="1:5" x14ac:dyDescent="0.35">
      <c r="A4" s="15" t="s">
        <v>158</v>
      </c>
      <c r="B4" s="15" t="s">
        <v>159</v>
      </c>
      <c r="C4" s="15" t="s">
        <v>160</v>
      </c>
      <c r="D4" s="15" t="s">
        <v>69</v>
      </c>
    </row>
    <row r="5" spans="1:5" x14ac:dyDescent="0.35">
      <c r="A5" s="77">
        <v>1</v>
      </c>
      <c r="B5" s="73" t="s">
        <v>161</v>
      </c>
      <c r="C5" s="15" t="s">
        <v>162</v>
      </c>
      <c r="D5" s="15"/>
      <c r="E5" s="76"/>
    </row>
    <row r="6" spans="1:5" x14ac:dyDescent="0.35">
      <c r="A6" s="77">
        <v>2</v>
      </c>
      <c r="B6" s="73" t="s">
        <v>163</v>
      </c>
      <c r="C6" s="15" t="s">
        <v>164</v>
      </c>
      <c r="D6" s="15"/>
      <c r="E6" s="76" t="s">
        <v>189</v>
      </c>
    </row>
    <row r="7" spans="1:5" x14ac:dyDescent="0.35">
      <c r="A7" s="77">
        <v>3</v>
      </c>
      <c r="B7" s="73" t="s">
        <v>165</v>
      </c>
      <c r="C7" s="15" t="s">
        <v>166</v>
      </c>
      <c r="D7" s="15"/>
      <c r="E7" s="76"/>
    </row>
    <row r="8" spans="1:5" x14ac:dyDescent="0.35">
      <c r="A8" s="15">
        <v>4</v>
      </c>
      <c r="B8" s="15" t="s">
        <v>167</v>
      </c>
      <c r="C8" s="15" t="s">
        <v>168</v>
      </c>
      <c r="D8" s="15"/>
    </row>
    <row r="9" spans="1:5" x14ac:dyDescent="0.35">
      <c r="A9" s="77">
        <v>5</v>
      </c>
      <c r="B9" s="15" t="s">
        <v>169</v>
      </c>
      <c r="C9" s="15" t="s">
        <v>170</v>
      </c>
      <c r="D9" s="15" t="s">
        <v>171</v>
      </c>
      <c r="E9" s="76" t="s">
        <v>189</v>
      </c>
    </row>
    <row r="10" spans="1:5" x14ac:dyDescent="0.35">
      <c r="A10" s="77">
        <v>6</v>
      </c>
      <c r="B10" s="15" t="s">
        <v>172</v>
      </c>
      <c r="C10" s="15" t="s">
        <v>173</v>
      </c>
      <c r="D10" s="15"/>
      <c r="E10" s="76" t="s">
        <v>189</v>
      </c>
    </row>
    <row r="11" spans="1:5" x14ac:dyDescent="0.35">
      <c r="A11" s="77">
        <v>7</v>
      </c>
      <c r="B11" s="15" t="s">
        <v>174</v>
      </c>
      <c r="C11" s="15" t="s">
        <v>175</v>
      </c>
      <c r="D11" s="15"/>
      <c r="E11" s="76" t="s">
        <v>189</v>
      </c>
    </row>
    <row r="12" spans="1:5" x14ac:dyDescent="0.35">
      <c r="A12" s="77">
        <v>8</v>
      </c>
      <c r="B12" s="15" t="s">
        <v>176</v>
      </c>
      <c r="C12" s="15" t="s">
        <v>177</v>
      </c>
      <c r="D12" s="15"/>
      <c r="E12" s="76" t="s">
        <v>189</v>
      </c>
    </row>
    <row r="13" spans="1:5" x14ac:dyDescent="0.35">
      <c r="A13" s="77">
        <v>9</v>
      </c>
      <c r="B13" s="15" t="s">
        <v>178</v>
      </c>
      <c r="C13" s="15" t="s">
        <v>84</v>
      </c>
      <c r="D13" s="15" t="s">
        <v>179</v>
      </c>
      <c r="E13" s="76" t="s">
        <v>189</v>
      </c>
    </row>
    <row r="14" spans="1:5" x14ac:dyDescent="0.35">
      <c r="A14" s="77">
        <v>10</v>
      </c>
      <c r="B14" s="15" t="s">
        <v>180</v>
      </c>
      <c r="C14" s="15" t="s">
        <v>181</v>
      </c>
      <c r="D14" s="15" t="s">
        <v>218</v>
      </c>
      <c r="E14" s="76" t="s">
        <v>189</v>
      </c>
    </row>
    <row r="15" spans="1:5" x14ac:dyDescent="0.35">
      <c r="A15" s="77">
        <v>11</v>
      </c>
      <c r="B15" s="15" t="s">
        <v>182</v>
      </c>
      <c r="C15" s="15" t="s">
        <v>181</v>
      </c>
      <c r="D15" s="15"/>
      <c r="E15" s="76" t="s">
        <v>189</v>
      </c>
    </row>
    <row r="16" spans="1:5" x14ac:dyDescent="0.35">
      <c r="A16" s="77">
        <v>12</v>
      </c>
      <c r="B16" s="15" t="s">
        <v>183</v>
      </c>
      <c r="C16" s="15" t="s">
        <v>184</v>
      </c>
      <c r="D16" s="15" t="s">
        <v>185</v>
      </c>
      <c r="E16" s="76" t="s">
        <v>189</v>
      </c>
    </row>
    <row r="17" spans="1:12" x14ac:dyDescent="0.35">
      <c r="A17" s="77">
        <v>13</v>
      </c>
      <c r="B17" s="15" t="s">
        <v>186</v>
      </c>
      <c r="C17" s="15" t="s">
        <v>181</v>
      </c>
      <c r="D17" s="15" t="s">
        <v>187</v>
      </c>
      <c r="E17" s="76" t="s">
        <v>189</v>
      </c>
      <c r="L17" s="74"/>
    </row>
    <row r="18" spans="1:12" x14ac:dyDescent="0.35">
      <c r="A18" s="77">
        <v>14</v>
      </c>
      <c r="B18" s="15" t="s">
        <v>188</v>
      </c>
      <c r="C18" s="15" t="s">
        <v>181</v>
      </c>
      <c r="D18" s="15" t="s">
        <v>187</v>
      </c>
      <c r="E18" s="76" t="s">
        <v>189</v>
      </c>
    </row>
    <row r="19" spans="1:12" x14ac:dyDescent="0.35">
      <c r="A19" s="77">
        <v>15</v>
      </c>
      <c r="B19" s="15" t="s">
        <v>219</v>
      </c>
      <c r="C19" s="15" t="s">
        <v>181</v>
      </c>
      <c r="D19" s="15" t="s">
        <v>220</v>
      </c>
      <c r="E19" s="76" t="s">
        <v>189</v>
      </c>
      <c r="I19" s="75"/>
    </row>
    <row r="20" spans="1:12" x14ac:dyDescent="0.35">
      <c r="A20" s="77">
        <v>16</v>
      </c>
      <c r="B20" s="15" t="s">
        <v>219</v>
      </c>
      <c r="C20" s="15" t="s">
        <v>221</v>
      </c>
      <c r="D20" s="15" t="s">
        <v>222</v>
      </c>
      <c r="E20" s="76" t="s">
        <v>189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2"/>
  <sheetViews>
    <sheetView showGridLines="0" topLeftCell="AD1" zoomScale="80" zoomScaleNormal="80" workbookViewId="0">
      <selection activeCell="AH13" sqref="AH13"/>
    </sheetView>
  </sheetViews>
  <sheetFormatPr defaultRowHeight="14.5" x14ac:dyDescent="0.35"/>
  <cols>
    <col min="1" max="1" width="11.7265625" style="15" customWidth="1"/>
    <col min="2" max="2" width="15.81640625" bestFit="1" customWidth="1"/>
    <col min="3" max="3" width="16.453125" bestFit="1" customWidth="1"/>
    <col min="4" max="4" width="18.453125" bestFit="1" customWidth="1"/>
    <col min="5" max="5" width="16.453125" bestFit="1" customWidth="1"/>
    <col min="6" max="6" width="18.453125" bestFit="1" customWidth="1"/>
    <col min="7" max="7" width="16.81640625" bestFit="1" customWidth="1"/>
    <col min="8" max="10" width="13.7265625" bestFit="1" customWidth="1"/>
    <col min="11" max="12" width="10.81640625" bestFit="1" customWidth="1"/>
    <col min="13" max="13" width="12.81640625" bestFit="1" customWidth="1"/>
    <col min="14" max="14" width="14.7265625" bestFit="1" customWidth="1"/>
    <col min="15" max="15" width="10.81640625" bestFit="1" customWidth="1"/>
    <col min="16" max="16" width="12" bestFit="1" customWidth="1"/>
    <col min="17" max="19" width="10.453125" bestFit="1" customWidth="1"/>
    <col min="20" max="20" width="10.54296875" bestFit="1" customWidth="1"/>
    <col min="21" max="21" width="8.54296875" bestFit="1" customWidth="1"/>
    <col min="22" max="22" width="9.54296875" bestFit="1" customWidth="1"/>
    <col min="23" max="24" width="10.54296875" bestFit="1" customWidth="1"/>
    <col min="25" max="25" width="6.453125" bestFit="1" customWidth="1"/>
    <col min="26" max="29" width="8.1796875" bestFit="1" customWidth="1"/>
    <col min="30" max="30" width="6.453125" bestFit="1" customWidth="1"/>
    <col min="31" max="31" width="9.1796875" bestFit="1" customWidth="1"/>
    <col min="32" max="32" width="10.81640625" bestFit="1" customWidth="1"/>
    <col min="34" max="34" width="10.453125" bestFit="1" customWidth="1"/>
    <col min="35" max="36" width="12.7265625" bestFit="1" customWidth="1"/>
    <col min="37" max="37" width="14.7265625" bestFit="1" customWidth="1"/>
    <col min="38" max="38" width="14.1796875" bestFit="1" customWidth="1"/>
    <col min="39" max="42" width="14.7265625" bestFit="1" customWidth="1"/>
    <col min="43" max="43" width="13.81640625" bestFit="1" customWidth="1"/>
    <col min="44" max="44" width="12.1796875" bestFit="1" customWidth="1"/>
  </cols>
  <sheetData>
    <row r="1" spans="1:44" ht="54.65" customHeight="1" x14ac:dyDescent="0.35">
      <c r="A1" s="78" t="s">
        <v>0</v>
      </c>
      <c r="B1" s="79" t="s">
        <v>1</v>
      </c>
      <c r="C1" s="79" t="s">
        <v>2</v>
      </c>
      <c r="D1" s="79" t="s">
        <v>3</v>
      </c>
      <c r="E1" s="79" t="s">
        <v>4</v>
      </c>
      <c r="F1" s="79" t="s">
        <v>5</v>
      </c>
      <c r="G1" s="79" t="s">
        <v>6</v>
      </c>
      <c r="H1" s="79" t="s">
        <v>7</v>
      </c>
      <c r="I1" s="79" t="s">
        <v>8</v>
      </c>
      <c r="J1" s="79" t="s">
        <v>9</v>
      </c>
      <c r="K1" s="80" t="s">
        <v>190</v>
      </c>
      <c r="L1" s="80" t="s">
        <v>191</v>
      </c>
      <c r="M1" s="80" t="s">
        <v>192</v>
      </c>
      <c r="N1" s="80" t="s">
        <v>193</v>
      </c>
      <c r="O1" s="80" t="s">
        <v>14</v>
      </c>
      <c r="P1" s="80" t="s">
        <v>194</v>
      </c>
      <c r="Q1" s="80" t="s">
        <v>195</v>
      </c>
      <c r="R1" s="80" t="s">
        <v>196</v>
      </c>
      <c r="S1" s="80" t="s">
        <v>197</v>
      </c>
      <c r="T1" s="80" t="s">
        <v>198</v>
      </c>
      <c r="U1" s="80" t="s">
        <v>199</v>
      </c>
      <c r="V1" s="80" t="s">
        <v>56</v>
      </c>
      <c r="W1" s="80" t="s">
        <v>57</v>
      </c>
      <c r="X1" s="80" t="s">
        <v>58</v>
      </c>
      <c r="Y1" s="80" t="s">
        <v>200</v>
      </c>
      <c r="Z1" s="80" t="s">
        <v>31</v>
      </c>
      <c r="AA1" s="80" t="s">
        <v>32</v>
      </c>
      <c r="AB1" s="80" t="s">
        <v>33</v>
      </c>
      <c r="AC1" s="80" t="s">
        <v>34</v>
      </c>
      <c r="AD1" s="80" t="s">
        <v>37</v>
      </c>
      <c r="AE1" s="80" t="s">
        <v>38</v>
      </c>
      <c r="AF1" s="80" t="s">
        <v>39</v>
      </c>
      <c r="AG1" s="80" t="s">
        <v>40</v>
      </c>
      <c r="AH1" s="80" t="s">
        <v>41</v>
      </c>
      <c r="AI1" s="80" t="s">
        <v>201</v>
      </c>
      <c r="AJ1" s="80" t="s">
        <v>202</v>
      </c>
      <c r="AK1" s="80" t="s">
        <v>44</v>
      </c>
      <c r="AL1" s="80" t="s">
        <v>45</v>
      </c>
      <c r="AM1" s="80" t="s">
        <v>46</v>
      </c>
      <c r="AN1" s="80" t="s">
        <v>47</v>
      </c>
      <c r="AO1" s="80" t="s">
        <v>48</v>
      </c>
      <c r="AP1" s="80" t="s">
        <v>49</v>
      </c>
      <c r="AQ1" s="80" t="s">
        <v>50</v>
      </c>
      <c r="AR1" s="80" t="s">
        <v>51</v>
      </c>
    </row>
    <row r="2" spans="1:44" x14ac:dyDescent="0.35">
      <c r="A2" s="81">
        <v>44866</v>
      </c>
      <c r="B2">
        <v>126.672</v>
      </c>
      <c r="C2">
        <v>23.718</v>
      </c>
      <c r="D2">
        <v>352</v>
      </c>
      <c r="E2">
        <v>58.870000000000104</v>
      </c>
      <c r="F2">
        <v>1469</v>
      </c>
      <c r="G2">
        <v>144.92999999999984</v>
      </c>
      <c r="H2">
        <v>24</v>
      </c>
      <c r="I2">
        <v>24</v>
      </c>
      <c r="J2">
        <v>24</v>
      </c>
      <c r="K2">
        <v>1163.375</v>
      </c>
      <c r="L2">
        <v>550</v>
      </c>
      <c r="M2">
        <v>0</v>
      </c>
      <c r="N2">
        <v>0</v>
      </c>
      <c r="O2">
        <v>4431</v>
      </c>
      <c r="P2">
        <v>3325</v>
      </c>
      <c r="Q2">
        <v>4.6676136363636367</v>
      </c>
      <c r="R2">
        <v>4.57</v>
      </c>
      <c r="S2">
        <v>5.0682076544145511</v>
      </c>
      <c r="T2">
        <f>Table15[[#This Row],[Thermax 350 TPH  (MT)]]+Table15[[#This Row],[ISGEC 350 TPH (MT)]]+Table15[[#This Row],[Thermax AFBC-1 105 TPH (MT)]]+Table15[[#This Row],[Thermax AFBC-2 105 TPH (MT)]]</f>
        <v>9157</v>
      </c>
      <c r="U2">
        <v>0</v>
      </c>
      <c r="V2">
        <v>7494</v>
      </c>
      <c r="W2">
        <v>0</v>
      </c>
      <c r="X2">
        <v>1663</v>
      </c>
      <c r="Y2">
        <f>Table15[[#This Row],[WHRB-1 (MT)]]+Table15[[#This Row],[WHRB-2 (MT)]]+Table15[[#This Row],[WHRB-3 (MT)]]+Table15[[#This Row],[WHRB-4 (MT)]]</f>
        <v>642</v>
      </c>
      <c r="Z2">
        <v>210</v>
      </c>
      <c r="AA2">
        <v>225</v>
      </c>
      <c r="AB2">
        <v>207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22</v>
      </c>
      <c r="AJ2">
        <v>130</v>
      </c>
      <c r="AK2">
        <v>0</v>
      </c>
      <c r="AL2">
        <v>82.423076157421832</v>
      </c>
      <c r="AM2">
        <v>0</v>
      </c>
      <c r="AN2">
        <v>74.114211537813134</v>
      </c>
      <c r="AO2">
        <v>0</v>
      </c>
      <c r="AP2">
        <v>0</v>
      </c>
      <c r="AQ2">
        <v>0</v>
      </c>
      <c r="AR2">
        <v>591.16999999999996</v>
      </c>
    </row>
    <row r="3" spans="1:44" x14ac:dyDescent="0.35">
      <c r="A3" s="81">
        <v>44867</v>
      </c>
      <c r="B3">
        <v>123.864</v>
      </c>
      <c r="C3">
        <v>20.922000000000001</v>
      </c>
      <c r="D3">
        <v>436</v>
      </c>
      <c r="E3">
        <v>60.499999999999389</v>
      </c>
      <c r="F3">
        <v>1326</v>
      </c>
      <c r="G3">
        <v>147</v>
      </c>
      <c r="H3">
        <v>24</v>
      </c>
      <c r="I3">
        <v>24</v>
      </c>
      <c r="J3">
        <v>24</v>
      </c>
      <c r="K3">
        <v>1276.125</v>
      </c>
      <c r="L3">
        <v>563</v>
      </c>
      <c r="M3">
        <v>0</v>
      </c>
      <c r="N3">
        <v>0</v>
      </c>
      <c r="O3">
        <v>4343</v>
      </c>
      <c r="P3">
        <v>2882</v>
      </c>
      <c r="Q3">
        <v>4.318807339449541</v>
      </c>
      <c r="R3">
        <v>4.4000000000000004</v>
      </c>
      <c r="S3">
        <v>5.1508105664276949</v>
      </c>
      <c r="T3">
        <f>Table15[[#This Row],[Thermax 350 TPH  (MT)]]+Table15[[#This Row],[ISGEC 350 TPH (MT)]]+Table15[[#This Row],[Thermax AFBC-1 105 TPH (MT)]]+Table15[[#This Row],[Thermax AFBC-2 105 TPH (MT)]]</f>
        <v>9174</v>
      </c>
      <c r="U3">
        <v>0</v>
      </c>
      <c r="V3">
        <v>7271</v>
      </c>
      <c r="W3">
        <v>0</v>
      </c>
      <c r="X3">
        <v>1903</v>
      </c>
      <c r="Y3">
        <f>Table15[[#This Row],[WHRB-1 (MT)]]+Table15[[#This Row],[WHRB-2 (MT)]]+Table15[[#This Row],[WHRB-3 (MT)]]+Table15[[#This Row],[WHRB-4 (MT)]]</f>
        <v>638</v>
      </c>
      <c r="Z3">
        <v>192</v>
      </c>
      <c r="AA3">
        <v>229</v>
      </c>
      <c r="AB3">
        <v>217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119</v>
      </c>
      <c r="AJ3">
        <v>195</v>
      </c>
      <c r="AK3">
        <v>0</v>
      </c>
      <c r="AL3">
        <v>81.302854623449932</v>
      </c>
      <c r="AM3">
        <v>0</v>
      </c>
      <c r="AN3">
        <v>74.396097263292887</v>
      </c>
      <c r="AO3">
        <v>0</v>
      </c>
      <c r="AP3">
        <v>0</v>
      </c>
      <c r="AQ3">
        <v>0</v>
      </c>
      <c r="AR3">
        <v>598.40499999999997</v>
      </c>
    </row>
    <row r="4" spans="1:44" x14ac:dyDescent="0.35">
      <c r="A4" s="81">
        <v>44868</v>
      </c>
      <c r="B4">
        <v>122.376</v>
      </c>
      <c r="C4">
        <v>20.811</v>
      </c>
      <c r="D4">
        <v>347</v>
      </c>
      <c r="E4">
        <v>58.99</v>
      </c>
      <c r="F4">
        <v>1328</v>
      </c>
      <c r="G4">
        <v>175.91</v>
      </c>
      <c r="H4">
        <v>24</v>
      </c>
      <c r="I4">
        <v>24</v>
      </c>
      <c r="J4">
        <v>24</v>
      </c>
      <c r="K4">
        <v>1404.2499999999998</v>
      </c>
      <c r="L4">
        <v>315</v>
      </c>
      <c r="M4">
        <v>0</v>
      </c>
      <c r="N4">
        <v>0</v>
      </c>
      <c r="O4">
        <v>4284</v>
      </c>
      <c r="P4">
        <v>3024</v>
      </c>
      <c r="Q4">
        <v>4.3899999999999997</v>
      </c>
      <c r="R4">
        <v>4.32</v>
      </c>
      <c r="S4">
        <v>5.2134405438974998</v>
      </c>
      <c r="T4">
        <f>Table15[[#This Row],[Thermax 350 TPH  (MT)]]+Table15[[#This Row],[ISGEC 350 TPH (MT)]]+Table15[[#This Row],[Thermax AFBC-1 105 TPH (MT)]]+Table15[[#This Row],[Thermax AFBC-2 105 TPH (MT)]]</f>
        <v>8660</v>
      </c>
      <c r="U4">
        <v>2387</v>
      </c>
      <c r="V4">
        <v>4782</v>
      </c>
      <c r="W4">
        <v>0</v>
      </c>
      <c r="X4">
        <v>1491</v>
      </c>
      <c r="Y4">
        <f>Table15[[#This Row],[WHRB-1 (MT)]]+Table15[[#This Row],[WHRB-2 (MT)]]+Table15[[#This Row],[WHRB-3 (MT)]]+Table15[[#This Row],[WHRB-4 (MT)]]</f>
        <v>638</v>
      </c>
      <c r="Z4">
        <v>189</v>
      </c>
      <c r="AA4">
        <v>219</v>
      </c>
      <c r="AB4">
        <v>230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93</v>
      </c>
      <c r="AJ4">
        <v>192</v>
      </c>
      <c r="AK4">
        <v>73.062618659575691</v>
      </c>
      <c r="AL4">
        <v>80.799160688495874</v>
      </c>
      <c r="AM4">
        <v>0</v>
      </c>
      <c r="AN4">
        <v>74.506845809341016</v>
      </c>
      <c r="AO4">
        <v>0</v>
      </c>
      <c r="AP4">
        <v>0</v>
      </c>
      <c r="AQ4">
        <v>599.48199999999997</v>
      </c>
      <c r="AR4">
        <v>599.47299999999996</v>
      </c>
    </row>
    <row r="5" spans="1:44" x14ac:dyDescent="0.35">
      <c r="A5" s="81">
        <v>44869</v>
      </c>
      <c r="B5">
        <v>133.99199999999999</v>
      </c>
      <c r="C5">
        <v>21.294</v>
      </c>
      <c r="D5">
        <v>104</v>
      </c>
      <c r="E5">
        <v>58.360000000000127</v>
      </c>
      <c r="F5">
        <v>1595</v>
      </c>
      <c r="G5">
        <v>163.07999999999993</v>
      </c>
      <c r="H5">
        <v>24</v>
      </c>
      <c r="I5">
        <v>9</v>
      </c>
      <c r="J5">
        <v>24</v>
      </c>
      <c r="K5">
        <v>1133.6499999999999</v>
      </c>
      <c r="L5">
        <v>540</v>
      </c>
      <c r="M5">
        <v>5.75</v>
      </c>
      <c r="N5">
        <v>9638.2582400683659</v>
      </c>
      <c r="O5">
        <v>4284</v>
      </c>
      <c r="P5">
        <v>3397</v>
      </c>
      <c r="Q5">
        <v>4.3942307692307692</v>
      </c>
      <c r="R5">
        <v>4.17</v>
      </c>
      <c r="S5">
        <v>5.2316556212311189</v>
      </c>
      <c r="T5">
        <f>Table15[[#This Row],[Thermax 350 TPH  (MT)]]+Table15[[#This Row],[ISGEC 350 TPH (MT)]]+Table15[[#This Row],[Thermax AFBC-1 105 TPH (MT)]]+Table15[[#This Row],[Thermax AFBC-2 105 TPH (MT)]]</f>
        <v>8518</v>
      </c>
      <c r="U5">
        <v>5652</v>
      </c>
      <c r="V5">
        <v>1503</v>
      </c>
      <c r="W5">
        <v>0</v>
      </c>
      <c r="X5">
        <v>1363</v>
      </c>
      <c r="Y5">
        <f>Table15[[#This Row],[WHRB-1 (MT)]]+Table15[[#This Row],[WHRB-2 (MT)]]+Table15[[#This Row],[WHRB-3 (MT)]]+Table15[[#This Row],[WHRB-4 (MT)]]</f>
        <v>701</v>
      </c>
      <c r="Z5">
        <v>215</v>
      </c>
      <c r="AA5">
        <v>240</v>
      </c>
      <c r="AB5">
        <v>246</v>
      </c>
      <c r="AC5">
        <v>0</v>
      </c>
      <c r="AD5">
        <v>0</v>
      </c>
      <c r="AE5">
        <v>0</v>
      </c>
      <c r="AF5">
        <v>0</v>
      </c>
      <c r="AG5">
        <v>0</v>
      </c>
      <c r="AH5">
        <v>14.38</v>
      </c>
      <c r="AI5">
        <v>100</v>
      </c>
      <c r="AJ5">
        <v>32</v>
      </c>
      <c r="AK5">
        <v>82.726937047405301</v>
      </c>
      <c r="AL5">
        <v>76.389168067226876</v>
      </c>
      <c r="AM5">
        <v>0</v>
      </c>
      <c r="AN5">
        <v>74.575566318980307</v>
      </c>
      <c r="AO5">
        <v>0</v>
      </c>
      <c r="AP5">
        <v>0</v>
      </c>
      <c r="AQ5">
        <v>597.84899999999993</v>
      </c>
      <c r="AR5">
        <v>544.32999999999993</v>
      </c>
    </row>
    <row r="6" spans="1:44" x14ac:dyDescent="0.35">
      <c r="A6" s="81">
        <v>44870</v>
      </c>
      <c r="B6">
        <v>136.77600000000001</v>
      </c>
      <c r="C6">
        <v>23.007000000000001</v>
      </c>
      <c r="D6">
        <v>0</v>
      </c>
      <c r="E6">
        <v>0</v>
      </c>
      <c r="F6">
        <v>1668</v>
      </c>
      <c r="G6">
        <v>212.51</v>
      </c>
      <c r="H6">
        <v>24</v>
      </c>
      <c r="I6">
        <v>0</v>
      </c>
      <c r="J6">
        <v>24</v>
      </c>
      <c r="K6">
        <v>854.84999999999991</v>
      </c>
      <c r="L6">
        <v>910</v>
      </c>
      <c r="M6">
        <v>12</v>
      </c>
      <c r="N6">
        <v>5534.416666666667</v>
      </c>
      <c r="O6">
        <v>4247</v>
      </c>
      <c r="P6">
        <v>3655</v>
      </c>
      <c r="Q6">
        <v>0</v>
      </c>
      <c r="R6">
        <v>4.0999999999999996</v>
      </c>
      <c r="S6">
        <v>5.2202140726443229</v>
      </c>
      <c r="T6">
        <f>Table15[[#This Row],[Thermax 350 TPH  (MT)]]+Table15[[#This Row],[ISGEC 350 TPH (MT)]]+Table15[[#This Row],[Thermax AFBC-1 105 TPH (MT)]]+Table15[[#This Row],[Thermax AFBC-2 105 TPH (MT)]]</f>
        <v>8203</v>
      </c>
      <c r="U6">
        <v>6849</v>
      </c>
      <c r="V6">
        <v>0</v>
      </c>
      <c r="W6">
        <v>0</v>
      </c>
      <c r="X6">
        <v>1354</v>
      </c>
      <c r="Y6">
        <f>Table15[[#This Row],[WHRB-1 (MT)]]+Table15[[#This Row],[WHRB-2 (MT)]]+Table15[[#This Row],[WHRB-3 (MT)]]+Table15[[#This Row],[WHRB-4 (MT)]]</f>
        <v>714</v>
      </c>
      <c r="Z6">
        <v>219</v>
      </c>
      <c r="AA6">
        <v>242</v>
      </c>
      <c r="AB6">
        <v>253</v>
      </c>
      <c r="AC6">
        <v>0</v>
      </c>
      <c r="AD6">
        <v>0</v>
      </c>
      <c r="AE6">
        <v>0</v>
      </c>
      <c r="AF6">
        <v>0</v>
      </c>
      <c r="AG6">
        <v>0</v>
      </c>
      <c r="AH6">
        <v>160</v>
      </c>
      <c r="AI6">
        <v>140</v>
      </c>
      <c r="AJ6">
        <v>0</v>
      </c>
      <c r="AK6">
        <v>83.053298801785573</v>
      </c>
      <c r="AL6">
        <v>0</v>
      </c>
      <c r="AM6">
        <v>0</v>
      </c>
      <c r="AN6">
        <v>74.566797988298305</v>
      </c>
      <c r="AO6">
        <v>0</v>
      </c>
      <c r="AP6">
        <v>0</v>
      </c>
      <c r="AQ6">
        <v>593.51199999999994</v>
      </c>
      <c r="AR6">
        <v>0</v>
      </c>
    </row>
    <row r="7" spans="1:44" x14ac:dyDescent="0.35">
      <c r="A7" s="81">
        <v>44871</v>
      </c>
      <c r="B7">
        <v>136.80000000000001</v>
      </c>
      <c r="C7">
        <v>22.643999999999998</v>
      </c>
      <c r="D7">
        <v>0</v>
      </c>
      <c r="E7">
        <v>0</v>
      </c>
      <c r="F7">
        <v>1681</v>
      </c>
      <c r="G7">
        <v>211.01</v>
      </c>
      <c r="H7">
        <v>24</v>
      </c>
      <c r="I7">
        <v>0</v>
      </c>
      <c r="J7">
        <v>24</v>
      </c>
      <c r="K7">
        <v>920.96249999999986</v>
      </c>
      <c r="L7">
        <v>802</v>
      </c>
      <c r="M7">
        <v>21.5</v>
      </c>
      <c r="N7">
        <v>9216.6976744186049</v>
      </c>
      <c r="O7">
        <v>4372</v>
      </c>
      <c r="P7">
        <v>3246</v>
      </c>
      <c r="Q7">
        <v>0</v>
      </c>
      <c r="R7">
        <v>4.07</v>
      </c>
      <c r="S7">
        <v>5.2192982456140342</v>
      </c>
      <c r="T7">
        <f>Table15[[#This Row],[Thermax 350 TPH  (MT)]]+Table15[[#This Row],[ISGEC 350 TPH (MT)]]+Table15[[#This Row],[Thermax AFBC-1 105 TPH (MT)]]+Table15[[#This Row],[Thermax AFBC-2 105 TPH (MT)]]</f>
        <v>8174</v>
      </c>
      <c r="U7">
        <v>6846</v>
      </c>
      <c r="V7">
        <v>0</v>
      </c>
      <c r="W7">
        <v>0</v>
      </c>
      <c r="X7">
        <v>1328</v>
      </c>
      <c r="Y7">
        <f>Table15[[#This Row],[WHRB-1 (MT)]]+Table15[[#This Row],[WHRB-2 (MT)]]+Table15[[#This Row],[WHRB-3 (MT)]]+Table15[[#This Row],[WHRB-4 (MT)]]</f>
        <v>714</v>
      </c>
      <c r="Z7">
        <v>204</v>
      </c>
      <c r="AA7">
        <v>248</v>
      </c>
      <c r="AB7">
        <v>262</v>
      </c>
      <c r="AC7">
        <v>0</v>
      </c>
      <c r="AD7">
        <v>0</v>
      </c>
      <c r="AE7">
        <v>0</v>
      </c>
      <c r="AF7">
        <v>0</v>
      </c>
      <c r="AG7">
        <v>0</v>
      </c>
      <c r="AH7">
        <v>50.21</v>
      </c>
      <c r="AI7">
        <v>94</v>
      </c>
      <c r="AJ7">
        <v>0</v>
      </c>
      <c r="AK7">
        <v>83.008371426134801</v>
      </c>
      <c r="AL7">
        <v>0</v>
      </c>
      <c r="AM7">
        <v>0</v>
      </c>
      <c r="AN7">
        <v>74.367671841291994</v>
      </c>
      <c r="AO7">
        <v>0</v>
      </c>
      <c r="AP7">
        <v>0</v>
      </c>
      <c r="AQ7">
        <v>595.00300000000004</v>
      </c>
      <c r="AR7">
        <v>0</v>
      </c>
    </row>
    <row r="8" spans="1:44" x14ac:dyDescent="0.35">
      <c r="A8" s="81">
        <v>44872</v>
      </c>
      <c r="B8">
        <v>132.33600000000001</v>
      </c>
      <c r="C8">
        <v>22.550999999999998</v>
      </c>
      <c r="D8">
        <v>0</v>
      </c>
      <c r="E8">
        <v>0</v>
      </c>
      <c r="F8">
        <v>1772</v>
      </c>
      <c r="G8">
        <v>205.47</v>
      </c>
      <c r="H8">
        <v>24</v>
      </c>
      <c r="I8">
        <v>0</v>
      </c>
      <c r="J8">
        <v>24</v>
      </c>
      <c r="K8">
        <v>1012.6999999999999</v>
      </c>
      <c r="L8">
        <v>745.17499999999995</v>
      </c>
      <c r="M8">
        <v>20.38</v>
      </c>
      <c r="N8">
        <v>9912.07065750736</v>
      </c>
      <c r="O8">
        <v>4314</v>
      </c>
      <c r="P8">
        <v>3248</v>
      </c>
      <c r="Q8">
        <v>0</v>
      </c>
      <c r="R8">
        <v>4.0599999999999996</v>
      </c>
      <c r="S8">
        <v>5.236670293797606</v>
      </c>
      <c r="T8">
        <f>Table15[[#This Row],[Thermax 350 TPH  (MT)]]+Table15[[#This Row],[ISGEC 350 TPH (MT)]]+Table15[[#This Row],[Thermax AFBC-1 105 TPH (MT)]]+Table15[[#This Row],[Thermax AFBC-2 105 TPH (MT)]]</f>
        <v>8555</v>
      </c>
      <c r="U8">
        <v>7204</v>
      </c>
      <c r="V8">
        <v>0</v>
      </c>
      <c r="W8">
        <v>0</v>
      </c>
      <c r="X8">
        <v>1351</v>
      </c>
      <c r="Y8">
        <f>Table15[[#This Row],[WHRB-1 (MT)]]+Table15[[#This Row],[WHRB-2 (MT)]]+Table15[[#This Row],[WHRB-3 (MT)]]+Table15[[#This Row],[WHRB-4 (MT)]]</f>
        <v>693</v>
      </c>
      <c r="Z8">
        <v>214</v>
      </c>
      <c r="AA8">
        <v>236</v>
      </c>
      <c r="AB8">
        <v>243</v>
      </c>
      <c r="AC8">
        <v>0</v>
      </c>
      <c r="AD8">
        <v>0</v>
      </c>
      <c r="AE8">
        <v>0</v>
      </c>
      <c r="AF8">
        <v>0</v>
      </c>
      <c r="AG8">
        <v>0</v>
      </c>
      <c r="AH8">
        <v>59.79</v>
      </c>
      <c r="AI8">
        <v>66</v>
      </c>
      <c r="AJ8">
        <v>0</v>
      </c>
      <c r="AK8">
        <v>83.160408352536294</v>
      </c>
      <c r="AL8">
        <v>0</v>
      </c>
      <c r="AM8">
        <v>0</v>
      </c>
      <c r="AN8">
        <v>74.387028869286269</v>
      </c>
      <c r="AO8">
        <v>0</v>
      </c>
      <c r="AP8">
        <v>0</v>
      </c>
      <c r="AQ8">
        <v>592.84799999999996</v>
      </c>
      <c r="AR8">
        <v>0</v>
      </c>
    </row>
    <row r="9" spans="1:44" x14ac:dyDescent="0.35">
      <c r="A9" s="81">
        <v>44873</v>
      </c>
      <c r="B9">
        <v>121.416</v>
      </c>
      <c r="C9">
        <v>20.222999999999999</v>
      </c>
      <c r="D9">
        <v>0</v>
      </c>
      <c r="E9">
        <v>0</v>
      </c>
      <c r="F9">
        <v>1691</v>
      </c>
      <c r="G9">
        <v>203.73</v>
      </c>
      <c r="H9">
        <v>24</v>
      </c>
      <c r="I9">
        <v>0</v>
      </c>
      <c r="J9">
        <v>24</v>
      </c>
      <c r="K9">
        <v>936.84999999999991</v>
      </c>
      <c r="L9">
        <v>775.92499999999995</v>
      </c>
      <c r="M9">
        <v>19.86</v>
      </c>
      <c r="N9">
        <v>9110.5740181268884</v>
      </c>
      <c r="O9">
        <v>4249</v>
      </c>
      <c r="P9">
        <v>3034</v>
      </c>
      <c r="Q9">
        <v>0</v>
      </c>
      <c r="R9">
        <v>4.03</v>
      </c>
      <c r="S9">
        <v>5.2711339526915726</v>
      </c>
      <c r="T9">
        <f>Table15[[#This Row],[Thermax 350 TPH  (MT)]]+Table15[[#This Row],[ISGEC 350 TPH (MT)]]+Table15[[#This Row],[Thermax AFBC-1 105 TPH (MT)]]+Table15[[#This Row],[Thermax AFBC-2 105 TPH (MT)]]</f>
        <v>8204</v>
      </c>
      <c r="U9">
        <v>6828</v>
      </c>
      <c r="V9">
        <v>0</v>
      </c>
      <c r="W9">
        <v>0</v>
      </c>
      <c r="X9">
        <v>1376</v>
      </c>
      <c r="Y9">
        <f>Table15[[#This Row],[WHRB-1 (MT)]]+Table15[[#This Row],[WHRB-2 (MT)]]+Table15[[#This Row],[WHRB-3 (MT)]]+Table15[[#This Row],[WHRB-4 (MT)]]</f>
        <v>640</v>
      </c>
      <c r="Z9">
        <v>203</v>
      </c>
      <c r="AA9">
        <v>214</v>
      </c>
      <c r="AB9">
        <v>223</v>
      </c>
      <c r="AC9">
        <v>0</v>
      </c>
      <c r="AD9">
        <v>0</v>
      </c>
      <c r="AE9">
        <v>0</v>
      </c>
      <c r="AF9">
        <v>0</v>
      </c>
      <c r="AG9">
        <v>0</v>
      </c>
      <c r="AH9">
        <v>345.63</v>
      </c>
      <c r="AI9">
        <v>69</v>
      </c>
      <c r="AJ9">
        <v>0</v>
      </c>
      <c r="AK9">
        <v>83.057879453688273</v>
      </c>
      <c r="AL9">
        <v>0</v>
      </c>
      <c r="AM9">
        <v>0</v>
      </c>
      <c r="AN9">
        <v>74.4109139892809</v>
      </c>
      <c r="AO9">
        <v>0</v>
      </c>
      <c r="AP9">
        <v>0</v>
      </c>
      <c r="AQ9">
        <v>594.93600000000004</v>
      </c>
      <c r="AR9">
        <v>0</v>
      </c>
    </row>
    <row r="10" spans="1:44" x14ac:dyDescent="0.35">
      <c r="A10" s="81">
        <v>44874</v>
      </c>
      <c r="B10">
        <v>152.352</v>
      </c>
      <c r="C10">
        <v>23.946000000000002</v>
      </c>
      <c r="D10">
        <v>0</v>
      </c>
      <c r="E10">
        <v>0</v>
      </c>
      <c r="F10">
        <v>1487</v>
      </c>
      <c r="G10">
        <v>187.3</v>
      </c>
      <c r="H10">
        <v>24</v>
      </c>
      <c r="I10">
        <v>0</v>
      </c>
      <c r="J10">
        <v>24</v>
      </c>
      <c r="K10">
        <v>791.3</v>
      </c>
      <c r="L10">
        <v>760.55</v>
      </c>
      <c r="M10">
        <v>23.16</v>
      </c>
      <c r="N10">
        <v>8965.6735751295328</v>
      </c>
      <c r="O10">
        <v>4308</v>
      </c>
      <c r="P10">
        <v>2943</v>
      </c>
      <c r="Q10">
        <v>0</v>
      </c>
      <c r="R10">
        <v>4.04</v>
      </c>
      <c r="S10">
        <v>5.0869040117622344</v>
      </c>
      <c r="T10">
        <f>Table15[[#This Row],[Thermax 350 TPH  (MT)]]+Table15[[#This Row],[ISGEC 350 TPH (MT)]]+Table15[[#This Row],[Thermax AFBC-1 105 TPH (MT)]]+Table15[[#This Row],[Thermax AFBC-2 105 TPH (MT)]]</f>
        <v>7467</v>
      </c>
      <c r="U10">
        <v>6024</v>
      </c>
      <c r="V10">
        <v>0</v>
      </c>
      <c r="W10">
        <v>0</v>
      </c>
      <c r="X10">
        <v>1443</v>
      </c>
      <c r="Y10">
        <f>Table15[[#This Row],[WHRB-1 (MT)]]+Table15[[#This Row],[WHRB-2 (MT)]]+Table15[[#This Row],[WHRB-3 (MT)]]+Table15[[#This Row],[WHRB-4 (MT)]]</f>
        <v>775</v>
      </c>
      <c r="Z10">
        <v>204</v>
      </c>
      <c r="AA10">
        <v>231</v>
      </c>
      <c r="AB10">
        <v>231</v>
      </c>
      <c r="AC10">
        <v>109</v>
      </c>
      <c r="AD10">
        <v>0</v>
      </c>
      <c r="AE10">
        <v>0</v>
      </c>
      <c r="AF10">
        <v>0</v>
      </c>
      <c r="AG10">
        <v>0</v>
      </c>
      <c r="AH10">
        <v>169.79</v>
      </c>
      <c r="AI10">
        <v>73</v>
      </c>
      <c r="AJ10">
        <v>0</v>
      </c>
      <c r="AK10">
        <v>82.707689316293738</v>
      </c>
      <c r="AL10">
        <v>0</v>
      </c>
      <c r="AM10">
        <v>0</v>
      </c>
      <c r="AN10">
        <v>75.4109139892809</v>
      </c>
      <c r="AO10">
        <v>0</v>
      </c>
      <c r="AP10">
        <v>0</v>
      </c>
      <c r="AQ10">
        <v>601.60699999999997</v>
      </c>
      <c r="AR10">
        <v>0</v>
      </c>
    </row>
    <row r="11" spans="1:44" x14ac:dyDescent="0.35">
      <c r="A11" s="81">
        <v>44875</v>
      </c>
      <c r="B11">
        <v>158.85599999999999</v>
      </c>
      <c r="C11">
        <v>24.954000000000001</v>
      </c>
      <c r="D11">
        <v>0</v>
      </c>
      <c r="E11">
        <v>0</v>
      </c>
      <c r="F11">
        <v>1564</v>
      </c>
      <c r="G11">
        <v>198.37</v>
      </c>
      <c r="H11">
        <v>24</v>
      </c>
      <c r="I11">
        <v>0</v>
      </c>
      <c r="J11">
        <v>24</v>
      </c>
      <c r="K11">
        <v>884.57499999999993</v>
      </c>
      <c r="L11">
        <v>764.65</v>
      </c>
      <c r="M11">
        <v>7.75</v>
      </c>
      <c r="N11">
        <v>9042.5806451612898</v>
      </c>
      <c r="O11">
        <v>4308</v>
      </c>
      <c r="P11">
        <v>2823</v>
      </c>
      <c r="Q11">
        <v>0</v>
      </c>
      <c r="R11">
        <v>4.0599999999999996</v>
      </c>
      <c r="S11">
        <v>4.9793523694415072</v>
      </c>
      <c r="T11">
        <f>Table15[[#This Row],[Thermax 350 TPH  (MT)]]+Table15[[#This Row],[ISGEC 350 TPH (MT)]]+Table15[[#This Row],[Thermax AFBC-1 105 TPH (MT)]]+Table15[[#This Row],[Thermax AFBC-2 105 TPH (MT)]]</f>
        <v>7772</v>
      </c>
      <c r="U11">
        <v>6364</v>
      </c>
      <c r="V11">
        <v>0</v>
      </c>
      <c r="W11">
        <v>0</v>
      </c>
      <c r="X11">
        <v>1408</v>
      </c>
      <c r="Y11">
        <f>Table15[[#This Row],[WHRB-1 (MT)]]+Table15[[#This Row],[WHRB-2 (MT)]]+Table15[[#This Row],[WHRB-3 (MT)]]+Table15[[#This Row],[WHRB-4 (MT)]]</f>
        <v>791</v>
      </c>
      <c r="Z11">
        <v>190</v>
      </c>
      <c r="AA11">
        <v>210</v>
      </c>
      <c r="AB11">
        <v>205</v>
      </c>
      <c r="AC11">
        <v>186</v>
      </c>
      <c r="AD11">
        <v>0</v>
      </c>
      <c r="AE11">
        <v>0</v>
      </c>
      <c r="AF11">
        <v>0</v>
      </c>
      <c r="AG11">
        <v>0</v>
      </c>
      <c r="AH11">
        <v>49.58</v>
      </c>
      <c r="AI11">
        <v>84</v>
      </c>
      <c r="AJ11">
        <v>0</v>
      </c>
      <c r="AK11">
        <v>82.896271228961851</v>
      </c>
      <c r="AL11">
        <v>0</v>
      </c>
      <c r="AM11">
        <v>0</v>
      </c>
      <c r="AN11">
        <v>74.562159146705525</v>
      </c>
      <c r="AO11">
        <v>0</v>
      </c>
      <c r="AP11">
        <v>0</v>
      </c>
      <c r="AQ11">
        <v>598.13599999999997</v>
      </c>
      <c r="AR11">
        <v>0</v>
      </c>
    </row>
    <row r="12" spans="1:44" x14ac:dyDescent="0.35">
      <c r="A12" s="81">
        <v>44876</v>
      </c>
      <c r="B12">
        <v>156.38399999999999</v>
      </c>
      <c r="C12">
        <v>24.513000000000002</v>
      </c>
      <c r="D12">
        <v>0</v>
      </c>
      <c r="E12">
        <v>0</v>
      </c>
      <c r="F12">
        <v>1119</v>
      </c>
      <c r="G12">
        <v>170.4</v>
      </c>
      <c r="H12">
        <v>24</v>
      </c>
      <c r="I12">
        <v>0</v>
      </c>
      <c r="J12">
        <v>24</v>
      </c>
      <c r="K12">
        <v>588.34999999999991</v>
      </c>
      <c r="L12">
        <v>698.02499999999998</v>
      </c>
      <c r="M12">
        <v>0</v>
      </c>
      <c r="N12">
        <v>0</v>
      </c>
      <c r="O12">
        <v>4360</v>
      </c>
      <c r="P12">
        <v>3196</v>
      </c>
      <c r="Q12">
        <v>0</v>
      </c>
      <c r="R12">
        <v>4.04</v>
      </c>
      <c r="S12">
        <v>4.9109883364027018</v>
      </c>
      <c r="T12">
        <f>Table15[[#This Row],[Thermax 350 TPH  (MT)]]+Table15[[#This Row],[ISGEC 350 TPH (MT)]]+Table15[[#This Row],[Thermax AFBC-1 105 TPH (MT)]]+Table15[[#This Row],[Thermax AFBC-2 105 TPH (MT)]]</f>
        <v>5870</v>
      </c>
      <c r="U12">
        <v>4536</v>
      </c>
      <c r="V12">
        <v>0</v>
      </c>
      <c r="W12">
        <v>0</v>
      </c>
      <c r="X12">
        <v>1334</v>
      </c>
      <c r="Y12">
        <f>Table15[[#This Row],[WHRB-1 (MT)]]+Table15[[#This Row],[WHRB-2 (MT)]]+Table15[[#This Row],[WHRB-3 (MT)]]+Table15[[#This Row],[WHRB-4 (MT)]]</f>
        <v>768</v>
      </c>
      <c r="Z12">
        <v>192</v>
      </c>
      <c r="AA12">
        <v>191</v>
      </c>
      <c r="AB12">
        <v>196</v>
      </c>
      <c r="AC12">
        <v>189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80</v>
      </c>
      <c r="AJ12">
        <v>0</v>
      </c>
      <c r="AK12">
        <v>80.854735062006782</v>
      </c>
      <c r="AL12">
        <v>0</v>
      </c>
      <c r="AM12">
        <v>0</v>
      </c>
      <c r="AN12">
        <v>74.544782114006154</v>
      </c>
      <c r="AO12">
        <v>0</v>
      </c>
      <c r="AP12">
        <v>0</v>
      </c>
      <c r="AQ12">
        <v>614.72700000000009</v>
      </c>
      <c r="AR12">
        <v>0</v>
      </c>
    </row>
    <row r="13" spans="1:44" x14ac:dyDescent="0.35">
      <c r="A13" s="81">
        <v>44877</v>
      </c>
      <c r="B13">
        <v>144.84</v>
      </c>
      <c r="C13">
        <v>21.552</v>
      </c>
      <c r="D13">
        <v>0</v>
      </c>
      <c r="E13">
        <v>0</v>
      </c>
      <c r="F13">
        <v>1070</v>
      </c>
      <c r="G13">
        <v>178.26</v>
      </c>
      <c r="H13">
        <v>24</v>
      </c>
      <c r="I13">
        <v>0</v>
      </c>
      <c r="J13">
        <v>24</v>
      </c>
      <c r="K13">
        <v>620.125</v>
      </c>
      <c r="L13">
        <v>747.22499999999991</v>
      </c>
      <c r="M13">
        <v>0.2</v>
      </c>
      <c r="N13">
        <v>10330</v>
      </c>
      <c r="O13">
        <v>4301</v>
      </c>
      <c r="P13">
        <v>2720</v>
      </c>
      <c r="Q13">
        <v>0</v>
      </c>
      <c r="R13">
        <v>4.0449999999999999</v>
      </c>
      <c r="S13">
        <v>4.9917149958574978</v>
      </c>
      <c r="T13">
        <f>Table15[[#This Row],[Thermax 350 TPH  (MT)]]+Table15[[#This Row],[ISGEC 350 TPH (MT)]]+Table15[[#This Row],[Thermax AFBC-1 105 TPH (MT)]]+Table15[[#This Row],[Thermax AFBC-2 105 TPH (MT)]]</f>
        <v>5683</v>
      </c>
      <c r="U13">
        <v>4342</v>
      </c>
      <c r="V13">
        <v>0</v>
      </c>
      <c r="W13">
        <v>0</v>
      </c>
      <c r="X13">
        <v>1341</v>
      </c>
      <c r="Y13">
        <f>Table15[[#This Row],[WHRB-1 (MT)]]+Table15[[#This Row],[WHRB-2 (MT)]]+Table15[[#This Row],[WHRB-3 (MT)]]+Table15[[#This Row],[WHRB-4 (MT)]]</f>
        <v>723</v>
      </c>
      <c r="Z13">
        <v>175</v>
      </c>
      <c r="AA13">
        <v>193</v>
      </c>
      <c r="AB13">
        <v>176</v>
      </c>
      <c r="AC13">
        <v>179</v>
      </c>
      <c r="AD13">
        <v>0</v>
      </c>
      <c r="AE13">
        <v>0</v>
      </c>
      <c r="AF13">
        <v>0</v>
      </c>
      <c r="AG13">
        <v>0</v>
      </c>
      <c r="AH13">
        <v>8.33</v>
      </c>
      <c r="AI13">
        <v>62</v>
      </c>
      <c r="AJ13">
        <v>0</v>
      </c>
      <c r="AK13">
        <v>80.311000265532186</v>
      </c>
      <c r="AL13">
        <v>0</v>
      </c>
      <c r="AM13">
        <v>0</v>
      </c>
      <c r="AN13">
        <v>74.551771914648199</v>
      </c>
      <c r="AO13">
        <v>0</v>
      </c>
      <c r="AP13">
        <v>0</v>
      </c>
      <c r="AQ13">
        <v>617.51400000000012</v>
      </c>
      <c r="AR13">
        <v>0</v>
      </c>
    </row>
    <row r="14" spans="1:44" x14ac:dyDescent="0.35">
      <c r="A14" s="81">
        <v>44878</v>
      </c>
      <c r="B14">
        <v>174.24</v>
      </c>
      <c r="C14">
        <v>23.844000000000001</v>
      </c>
      <c r="D14">
        <v>0</v>
      </c>
      <c r="E14">
        <v>0</v>
      </c>
      <c r="F14">
        <v>1427</v>
      </c>
      <c r="G14">
        <v>192.17000000000002</v>
      </c>
      <c r="H14">
        <v>24</v>
      </c>
      <c r="I14">
        <v>0</v>
      </c>
      <c r="J14">
        <v>24</v>
      </c>
      <c r="K14">
        <v>661.12499999999989</v>
      </c>
      <c r="L14">
        <v>759.52499999999998</v>
      </c>
      <c r="M14">
        <v>19.62</v>
      </c>
      <c r="N14">
        <v>9229.7655453618809</v>
      </c>
      <c r="O14">
        <v>4275</v>
      </c>
      <c r="P14">
        <v>2869</v>
      </c>
      <c r="Q14">
        <v>0</v>
      </c>
      <c r="R14">
        <v>4.05</v>
      </c>
      <c r="S14">
        <v>4.8438934802571163</v>
      </c>
      <c r="T14">
        <f>Table15[[#This Row],[Thermax 350 TPH  (MT)]]+Table15[[#This Row],[ISGEC 350 TPH (MT)]]+Table15[[#This Row],[Thermax AFBC-1 105 TPH (MT)]]+Table15[[#This Row],[Thermax AFBC-2 105 TPH (MT)]]</f>
        <v>7163</v>
      </c>
      <c r="U14">
        <v>5786</v>
      </c>
      <c r="V14">
        <v>0</v>
      </c>
      <c r="W14">
        <v>0</v>
      </c>
      <c r="X14">
        <v>1377</v>
      </c>
      <c r="Y14">
        <f>Table15[[#This Row],[WHRB-1 (MT)]]+Table15[[#This Row],[WHRB-2 (MT)]]+Table15[[#This Row],[WHRB-3 (MT)]]+Table15[[#This Row],[WHRB-4 (MT)]]</f>
        <v>844</v>
      </c>
      <c r="Z14">
        <v>207</v>
      </c>
      <c r="AA14">
        <v>218</v>
      </c>
      <c r="AB14">
        <v>208</v>
      </c>
      <c r="AC14">
        <v>211</v>
      </c>
      <c r="AD14">
        <v>0</v>
      </c>
      <c r="AE14">
        <v>0</v>
      </c>
      <c r="AF14">
        <v>0</v>
      </c>
      <c r="AG14">
        <v>0</v>
      </c>
      <c r="AH14">
        <v>113.54</v>
      </c>
      <c r="AI14">
        <v>60</v>
      </c>
      <c r="AJ14">
        <v>0</v>
      </c>
      <c r="AK14">
        <v>82.548548301237773</v>
      </c>
      <c r="AL14">
        <v>0</v>
      </c>
      <c r="AM14">
        <v>0</v>
      </c>
      <c r="AN14">
        <v>74.628576147030827</v>
      </c>
      <c r="AO14">
        <v>0</v>
      </c>
      <c r="AP14">
        <v>0</v>
      </c>
      <c r="AQ14">
        <v>603.56200000000001</v>
      </c>
      <c r="AR14">
        <v>0</v>
      </c>
    </row>
    <row r="15" spans="1:44" x14ac:dyDescent="0.35">
      <c r="A15" s="81">
        <v>44879</v>
      </c>
      <c r="T15">
        <f>Table15[[#This Row],[Thermax 350 TPH  (MT)]]+Table15[[#This Row],[ISGEC 350 TPH (MT)]]+Table15[[#This Row],[Thermax AFBC-1 105 TPH (MT)]]+Table15[[#This Row],[Thermax AFBC-2 105 TPH (MT)]]</f>
        <v>0</v>
      </c>
      <c r="Y15">
        <f>Table15[[#This Row],[WHRB-1 (MT)]]+Table15[[#This Row],[WHRB-2 (MT)]]+Table15[[#This Row],[WHRB-3 (MT)]]+Table15[[#This Row],[WHRB-4 (MT)]]</f>
        <v>0</v>
      </c>
    </row>
    <row r="16" spans="1:44" x14ac:dyDescent="0.35">
      <c r="A16" s="81">
        <v>44880</v>
      </c>
      <c r="T16">
        <f>Table15[[#This Row],[Thermax 350 TPH  (MT)]]+Table15[[#This Row],[ISGEC 350 TPH (MT)]]+Table15[[#This Row],[Thermax AFBC-1 105 TPH (MT)]]+Table15[[#This Row],[Thermax AFBC-2 105 TPH (MT)]]</f>
        <v>0</v>
      </c>
      <c r="Y16">
        <f>Table15[[#This Row],[WHRB-1 (MT)]]+Table15[[#This Row],[WHRB-2 (MT)]]+Table15[[#This Row],[WHRB-3 (MT)]]+Table15[[#This Row],[WHRB-4 (MT)]]</f>
        <v>0</v>
      </c>
    </row>
    <row r="17" spans="1:25" x14ac:dyDescent="0.35">
      <c r="A17" s="81">
        <v>44881</v>
      </c>
      <c r="T17">
        <f>Table15[[#This Row],[Thermax 350 TPH  (MT)]]+Table15[[#This Row],[ISGEC 350 TPH (MT)]]+Table15[[#This Row],[Thermax AFBC-1 105 TPH (MT)]]+Table15[[#This Row],[Thermax AFBC-2 105 TPH (MT)]]</f>
        <v>0</v>
      </c>
      <c r="Y17">
        <f>Table15[[#This Row],[WHRB-1 (MT)]]+Table15[[#This Row],[WHRB-2 (MT)]]+Table15[[#This Row],[WHRB-3 (MT)]]+Table15[[#This Row],[WHRB-4 (MT)]]</f>
        <v>0</v>
      </c>
    </row>
    <row r="18" spans="1:25" x14ac:dyDescent="0.35">
      <c r="A18" s="81">
        <v>44882</v>
      </c>
      <c r="T18">
        <f>Table15[[#This Row],[Thermax 350 TPH  (MT)]]+Table15[[#This Row],[ISGEC 350 TPH (MT)]]+Table15[[#This Row],[Thermax AFBC-1 105 TPH (MT)]]+Table15[[#This Row],[Thermax AFBC-2 105 TPH (MT)]]</f>
        <v>0</v>
      </c>
      <c r="Y18">
        <f>Table15[[#This Row],[WHRB-1 (MT)]]+Table15[[#This Row],[WHRB-2 (MT)]]+Table15[[#This Row],[WHRB-3 (MT)]]+Table15[[#This Row],[WHRB-4 (MT)]]</f>
        <v>0</v>
      </c>
    </row>
    <row r="19" spans="1:25" x14ac:dyDescent="0.35">
      <c r="A19" s="81">
        <v>44883</v>
      </c>
      <c r="T19">
        <f>Table15[[#This Row],[Thermax 350 TPH  (MT)]]+Table15[[#This Row],[ISGEC 350 TPH (MT)]]+Table15[[#This Row],[Thermax AFBC-1 105 TPH (MT)]]+Table15[[#This Row],[Thermax AFBC-2 105 TPH (MT)]]</f>
        <v>0</v>
      </c>
      <c r="Y19">
        <f>Table15[[#This Row],[WHRB-1 (MT)]]+Table15[[#This Row],[WHRB-2 (MT)]]+Table15[[#This Row],[WHRB-3 (MT)]]+Table15[[#This Row],[WHRB-4 (MT)]]</f>
        <v>0</v>
      </c>
    </row>
    <row r="20" spans="1:25" x14ac:dyDescent="0.35">
      <c r="A20" s="81">
        <v>44884</v>
      </c>
      <c r="T20">
        <f>Table15[[#This Row],[Thermax 350 TPH  (MT)]]+Table15[[#This Row],[ISGEC 350 TPH (MT)]]+Table15[[#This Row],[Thermax AFBC-1 105 TPH (MT)]]+Table15[[#This Row],[Thermax AFBC-2 105 TPH (MT)]]</f>
        <v>0</v>
      </c>
      <c r="Y20">
        <f>Table15[[#This Row],[WHRB-1 (MT)]]+Table15[[#This Row],[WHRB-2 (MT)]]+Table15[[#This Row],[WHRB-3 (MT)]]+Table15[[#This Row],[WHRB-4 (MT)]]</f>
        <v>0</v>
      </c>
    </row>
    <row r="21" spans="1:25" x14ac:dyDescent="0.35">
      <c r="A21" s="81">
        <v>44885</v>
      </c>
      <c r="T21">
        <f>Table15[[#This Row],[Thermax 350 TPH  (MT)]]+Table15[[#This Row],[ISGEC 350 TPH (MT)]]+Table15[[#This Row],[Thermax AFBC-1 105 TPH (MT)]]+Table15[[#This Row],[Thermax AFBC-2 105 TPH (MT)]]</f>
        <v>0</v>
      </c>
      <c r="Y21">
        <f>Table15[[#This Row],[WHRB-1 (MT)]]+Table15[[#This Row],[WHRB-2 (MT)]]+Table15[[#This Row],[WHRB-3 (MT)]]+Table15[[#This Row],[WHRB-4 (MT)]]</f>
        <v>0</v>
      </c>
    </row>
    <row r="22" spans="1:25" x14ac:dyDescent="0.35">
      <c r="A22" s="81">
        <v>44886</v>
      </c>
      <c r="T22">
        <f>Table15[[#This Row],[Thermax 350 TPH  (MT)]]+Table15[[#This Row],[ISGEC 350 TPH (MT)]]+Table15[[#This Row],[Thermax AFBC-1 105 TPH (MT)]]+Table15[[#This Row],[Thermax AFBC-2 105 TPH (MT)]]</f>
        <v>0</v>
      </c>
      <c r="Y22">
        <f>Table15[[#This Row],[WHRB-1 (MT)]]+Table15[[#This Row],[WHRB-2 (MT)]]+Table15[[#This Row],[WHRB-3 (MT)]]+Table15[[#This Row],[WHRB-4 (MT)]]</f>
        <v>0</v>
      </c>
    </row>
  </sheetData>
  <printOptions horizontalCentered="1"/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74"/>
  <sheetViews>
    <sheetView workbookViewId="0">
      <pane xSplit="3" ySplit="1" topLeftCell="D35" activePane="bottomRight" state="frozen"/>
      <selection pane="topRight" activeCell="C1" sqref="C1"/>
      <selection pane="bottomLeft" activeCell="A2" sqref="A2"/>
      <selection pane="bottomRight" activeCell="B50" sqref="B50"/>
    </sheetView>
  </sheetViews>
  <sheetFormatPr defaultColWidth="9.1796875" defaultRowHeight="14.5" x14ac:dyDescent="0.35"/>
  <cols>
    <col min="1" max="1" width="30.81640625" style="15" customWidth="1"/>
    <col min="2" max="2" width="15.26953125" style="15" customWidth="1"/>
    <col min="3" max="3" width="9.1796875" style="15"/>
    <col min="4" max="34" width="11.54296875" style="15" customWidth="1"/>
    <col min="35" max="16384" width="9.1796875" style="15"/>
  </cols>
  <sheetData>
    <row r="1" spans="1:50" ht="16" thickBot="1" x14ac:dyDescent="0.4">
      <c r="A1" s="13" t="s">
        <v>68</v>
      </c>
      <c r="B1" s="13" t="s">
        <v>69</v>
      </c>
      <c r="C1" s="13" t="s">
        <v>70</v>
      </c>
      <c r="D1" s="14">
        <v>44835</v>
      </c>
      <c r="E1" s="14">
        <v>44836</v>
      </c>
      <c r="F1" s="14">
        <v>44837</v>
      </c>
      <c r="G1" s="14">
        <v>44838</v>
      </c>
      <c r="H1" s="14">
        <v>44839</v>
      </c>
      <c r="I1" s="14">
        <v>44840</v>
      </c>
      <c r="J1" s="14">
        <v>44841</v>
      </c>
      <c r="K1" s="14">
        <v>44842</v>
      </c>
      <c r="L1" s="14">
        <v>44843</v>
      </c>
      <c r="M1" s="14">
        <v>44844</v>
      </c>
      <c r="N1" s="14">
        <v>44845</v>
      </c>
      <c r="O1" s="14">
        <v>44846</v>
      </c>
      <c r="P1" s="14">
        <v>44847</v>
      </c>
      <c r="Q1" s="14">
        <v>44848</v>
      </c>
      <c r="R1" s="14">
        <v>44849</v>
      </c>
      <c r="S1" s="14">
        <v>44850</v>
      </c>
      <c r="T1" s="14">
        <v>44851</v>
      </c>
      <c r="U1" s="14">
        <v>44852</v>
      </c>
      <c r="V1" s="14">
        <v>44853</v>
      </c>
      <c r="W1" s="14">
        <v>44854</v>
      </c>
      <c r="X1" s="14">
        <v>44855</v>
      </c>
      <c r="Y1" s="14">
        <v>44856</v>
      </c>
      <c r="Z1" s="14">
        <v>44857</v>
      </c>
      <c r="AA1" s="14">
        <v>44858</v>
      </c>
      <c r="AB1" s="14">
        <v>44859</v>
      </c>
      <c r="AC1" s="14">
        <v>44860</v>
      </c>
      <c r="AD1" s="14">
        <v>44861</v>
      </c>
      <c r="AE1" s="14">
        <v>44862</v>
      </c>
      <c r="AF1" s="14">
        <v>44863</v>
      </c>
      <c r="AG1" s="14">
        <v>44864</v>
      </c>
      <c r="AH1" s="14">
        <v>44865</v>
      </c>
    </row>
    <row r="2" spans="1:50" x14ac:dyDescent="0.35">
      <c r="A2" s="16" t="s">
        <v>71</v>
      </c>
      <c r="B2" s="17"/>
      <c r="C2" s="18" t="s">
        <v>72</v>
      </c>
      <c r="D2" s="19">
        <v>112.29600000000001</v>
      </c>
      <c r="E2" s="19">
        <v>114.072</v>
      </c>
      <c r="F2" s="19">
        <v>115.512</v>
      </c>
      <c r="G2" s="19">
        <v>111.648</v>
      </c>
      <c r="H2" s="19">
        <v>112.224</v>
      </c>
      <c r="I2" s="19">
        <v>110.328</v>
      </c>
      <c r="J2" s="19">
        <v>110.44799999999999</v>
      </c>
      <c r="K2" s="19">
        <v>125.4</v>
      </c>
      <c r="L2" s="19">
        <v>135.47999999999999</v>
      </c>
      <c r="M2" s="19">
        <v>92.808000000000007</v>
      </c>
      <c r="N2" s="19">
        <v>109.968</v>
      </c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</row>
    <row r="3" spans="1:50" x14ac:dyDescent="0.35">
      <c r="A3" s="22" t="s">
        <v>73</v>
      </c>
      <c r="B3" s="22"/>
      <c r="C3" s="23" t="s">
        <v>72</v>
      </c>
      <c r="D3" s="24">
        <v>20.594999999999999</v>
      </c>
      <c r="E3" s="24">
        <v>21.207000000000001</v>
      </c>
      <c r="F3" s="24">
        <v>21.143999999999998</v>
      </c>
      <c r="G3" s="24">
        <v>21.564</v>
      </c>
      <c r="H3" s="24">
        <v>21.207000000000001</v>
      </c>
      <c r="I3" s="24">
        <v>21.161999999999999</v>
      </c>
      <c r="J3" s="24">
        <v>21.579000000000001</v>
      </c>
      <c r="K3" s="24">
        <v>22.652999999999999</v>
      </c>
      <c r="L3" s="24">
        <v>22.881</v>
      </c>
      <c r="M3" s="24">
        <v>21.975000000000001</v>
      </c>
      <c r="N3" s="24">
        <v>22.323</v>
      </c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</row>
    <row r="4" spans="1:50" x14ac:dyDescent="0.35">
      <c r="A4" s="22" t="s">
        <v>74</v>
      </c>
      <c r="B4" s="22"/>
      <c r="C4" s="23" t="s">
        <v>72</v>
      </c>
      <c r="D4" s="24">
        <v>0</v>
      </c>
      <c r="E4" s="24">
        <v>0</v>
      </c>
      <c r="F4" s="24">
        <v>0</v>
      </c>
      <c r="G4" s="24">
        <v>0</v>
      </c>
      <c r="H4" s="24">
        <v>0</v>
      </c>
      <c r="I4" s="24">
        <v>0</v>
      </c>
      <c r="J4" s="24">
        <v>0</v>
      </c>
      <c r="K4" s="24">
        <v>0</v>
      </c>
      <c r="L4" s="24">
        <v>0</v>
      </c>
      <c r="M4" s="24">
        <v>0</v>
      </c>
      <c r="N4" s="24">
        <v>0</v>
      </c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</row>
    <row r="5" spans="1:50" x14ac:dyDescent="0.35">
      <c r="A5" s="22" t="s">
        <v>75</v>
      </c>
      <c r="B5" s="22"/>
      <c r="C5" s="23" t="s">
        <v>72</v>
      </c>
      <c r="D5" s="26">
        <v>3.8400000000000141</v>
      </c>
      <c r="E5" s="26">
        <v>2.940000000000059</v>
      </c>
      <c r="F5" s="26">
        <v>3.7799999999999727</v>
      </c>
      <c r="G5" s="26">
        <v>3.34</v>
      </c>
      <c r="H5" s="26">
        <v>3.600000000000005</v>
      </c>
      <c r="I5" s="26">
        <v>3.239999999999986</v>
      </c>
      <c r="J5" s="26">
        <v>3.8700000000000863</v>
      </c>
      <c r="K5" s="26">
        <v>4.1400000000005601</v>
      </c>
      <c r="L5" s="26">
        <v>3.5099999999992679</v>
      </c>
      <c r="M5" s="26">
        <v>4.1600000000002684</v>
      </c>
      <c r="N5" s="26">
        <v>3.7900000000000187</v>
      </c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</row>
    <row r="6" spans="1:50" x14ac:dyDescent="0.35">
      <c r="A6" s="22" t="s">
        <v>76</v>
      </c>
      <c r="B6" s="22"/>
      <c r="C6" s="23" t="s">
        <v>72</v>
      </c>
      <c r="D6" s="28">
        <v>1204</v>
      </c>
      <c r="E6" s="28">
        <v>306</v>
      </c>
      <c r="F6" s="28">
        <v>785</v>
      </c>
      <c r="G6" s="28">
        <v>1135</v>
      </c>
      <c r="H6" s="28">
        <v>1182</v>
      </c>
      <c r="I6" s="28">
        <v>1168</v>
      </c>
      <c r="J6" s="28">
        <v>1086</v>
      </c>
      <c r="K6" s="28">
        <v>1162</v>
      </c>
      <c r="L6" s="28">
        <v>1061</v>
      </c>
      <c r="M6" s="28">
        <v>1198</v>
      </c>
      <c r="N6" s="28">
        <v>1186</v>
      </c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</row>
    <row r="7" spans="1:50" x14ac:dyDescent="0.35">
      <c r="A7" s="22" t="s">
        <v>77</v>
      </c>
      <c r="B7" s="22"/>
      <c r="C7" s="23" t="s">
        <v>72</v>
      </c>
      <c r="D7" s="28">
        <v>135.96000000000004</v>
      </c>
      <c r="E7" s="28">
        <v>56.110000000000127</v>
      </c>
      <c r="F7" s="28">
        <v>108.03999999999996</v>
      </c>
      <c r="G7" s="28">
        <v>134.44</v>
      </c>
      <c r="H7" s="28">
        <v>136.07000000000016</v>
      </c>
      <c r="I7" s="28">
        <v>141.0300000000002</v>
      </c>
      <c r="J7" s="28">
        <v>136.23000000000002</v>
      </c>
      <c r="K7" s="28">
        <v>136.01999999999998</v>
      </c>
      <c r="L7" s="28">
        <v>134.13999999999987</v>
      </c>
      <c r="M7" s="28">
        <v>144.04999999999973</v>
      </c>
      <c r="N7" s="28">
        <v>145.88000000000011</v>
      </c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</row>
    <row r="8" spans="1:50" x14ac:dyDescent="0.35">
      <c r="A8" s="22" t="s">
        <v>78</v>
      </c>
      <c r="B8" s="22"/>
      <c r="C8" s="23" t="s">
        <v>79</v>
      </c>
      <c r="D8" s="26">
        <v>24</v>
      </c>
      <c r="E8" s="26">
        <v>7.48</v>
      </c>
      <c r="F8" s="26">
        <v>17.600000000000001</v>
      </c>
      <c r="G8" s="26">
        <v>24</v>
      </c>
      <c r="H8" s="26">
        <v>24</v>
      </c>
      <c r="I8" s="26">
        <v>24</v>
      </c>
      <c r="J8" s="26">
        <v>24</v>
      </c>
      <c r="K8" s="26">
        <v>24</v>
      </c>
      <c r="L8" s="26">
        <v>24</v>
      </c>
      <c r="M8" s="26">
        <v>24</v>
      </c>
      <c r="N8" s="26">
        <v>24</v>
      </c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50" x14ac:dyDescent="0.35">
      <c r="A9" s="22" t="s">
        <v>80</v>
      </c>
      <c r="B9" s="22"/>
      <c r="C9" s="23" t="s">
        <v>79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</row>
    <row r="10" spans="1:50" x14ac:dyDescent="0.35">
      <c r="A10" s="22" t="s">
        <v>81</v>
      </c>
      <c r="B10" s="22"/>
      <c r="C10" s="23" t="s">
        <v>79</v>
      </c>
      <c r="D10" s="26">
        <v>24</v>
      </c>
      <c r="E10" s="26">
        <v>24</v>
      </c>
      <c r="F10" s="26">
        <v>24</v>
      </c>
      <c r="G10" s="26">
        <v>24</v>
      </c>
      <c r="H10" s="26">
        <v>24</v>
      </c>
      <c r="I10" s="26">
        <v>24</v>
      </c>
      <c r="J10" s="26">
        <v>24</v>
      </c>
      <c r="K10" s="26">
        <v>24</v>
      </c>
      <c r="L10" s="26">
        <v>24</v>
      </c>
      <c r="M10" s="26">
        <v>24</v>
      </c>
      <c r="N10" s="26">
        <v>24</v>
      </c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50" x14ac:dyDescent="0.35">
      <c r="A11" s="30" t="s">
        <v>82</v>
      </c>
      <c r="B11" s="31"/>
      <c r="C11" s="32" t="s">
        <v>83</v>
      </c>
      <c r="D11" s="25">
        <v>1326</v>
      </c>
      <c r="E11" s="25">
        <v>367</v>
      </c>
      <c r="F11" s="25">
        <v>850</v>
      </c>
      <c r="G11" s="25">
        <v>1033</v>
      </c>
      <c r="H11" s="25">
        <v>1050</v>
      </c>
      <c r="I11" s="25">
        <v>1041</v>
      </c>
      <c r="J11" s="25">
        <v>1088</v>
      </c>
      <c r="K11" s="25">
        <v>1136</v>
      </c>
      <c r="L11" s="25">
        <v>952</v>
      </c>
      <c r="M11" s="25">
        <v>1098</v>
      </c>
      <c r="N11" s="25">
        <v>1076</v>
      </c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</row>
    <row r="12" spans="1:50" ht="18.5" customHeight="1" x14ac:dyDescent="0.35">
      <c r="A12" s="33" t="s">
        <v>84</v>
      </c>
      <c r="B12" s="34" t="s">
        <v>85</v>
      </c>
      <c r="C12" s="32" t="s">
        <v>83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</row>
    <row r="13" spans="1:50" x14ac:dyDescent="0.35">
      <c r="A13" s="33" t="s">
        <v>86</v>
      </c>
      <c r="B13" s="34" t="s">
        <v>85</v>
      </c>
      <c r="C13" s="32" t="s">
        <v>83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</row>
    <row r="14" spans="1:50" x14ac:dyDescent="0.35">
      <c r="A14" s="33" t="s">
        <v>87</v>
      </c>
      <c r="B14" s="34" t="s">
        <v>85</v>
      </c>
      <c r="C14" s="32" t="s">
        <v>83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</row>
    <row r="15" spans="1:50" x14ac:dyDescent="0.35">
      <c r="A15" s="33" t="s">
        <v>88</v>
      </c>
      <c r="B15" s="34" t="s">
        <v>85</v>
      </c>
      <c r="C15" s="32" t="s">
        <v>83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</row>
    <row r="16" spans="1:50" x14ac:dyDescent="0.35">
      <c r="A16" s="35" t="s">
        <v>89</v>
      </c>
      <c r="B16" s="36" t="s">
        <v>90</v>
      </c>
      <c r="C16" s="32" t="s">
        <v>91</v>
      </c>
      <c r="D16" s="25">
        <v>3761</v>
      </c>
      <c r="E16" s="25">
        <v>4068</v>
      </c>
      <c r="F16" s="25">
        <v>4168</v>
      </c>
      <c r="G16" s="25">
        <v>4168</v>
      </c>
      <c r="H16" s="25">
        <v>4124</v>
      </c>
      <c r="I16" s="25">
        <v>3830</v>
      </c>
      <c r="J16" s="25">
        <v>4022</v>
      </c>
      <c r="K16" s="25">
        <v>4129</v>
      </c>
      <c r="L16" s="25">
        <v>4085</v>
      </c>
      <c r="M16" s="25">
        <v>3985</v>
      </c>
      <c r="N16" s="25">
        <v>4023</v>
      </c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</row>
    <row r="17" spans="1:50" x14ac:dyDescent="0.35">
      <c r="A17" s="30" t="s">
        <v>92</v>
      </c>
      <c r="B17" s="36"/>
      <c r="C17" s="32" t="s">
        <v>83</v>
      </c>
      <c r="D17" s="25">
        <v>1326</v>
      </c>
      <c r="E17" s="25">
        <v>367</v>
      </c>
      <c r="F17" s="25">
        <v>850</v>
      </c>
      <c r="G17" s="25">
        <v>1033</v>
      </c>
      <c r="H17" s="25">
        <v>1050</v>
      </c>
      <c r="I17" s="25">
        <v>1041</v>
      </c>
      <c r="J17" s="25">
        <v>1088</v>
      </c>
      <c r="K17" s="25">
        <v>1136</v>
      </c>
      <c r="L17" s="25">
        <v>952</v>
      </c>
      <c r="M17" s="25">
        <v>1098</v>
      </c>
      <c r="N17" s="25">
        <v>1076</v>
      </c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</row>
    <row r="18" spans="1:50" x14ac:dyDescent="0.35">
      <c r="A18" s="33" t="s">
        <v>93</v>
      </c>
      <c r="B18" s="34" t="s">
        <v>85</v>
      </c>
      <c r="C18" s="32" t="s">
        <v>83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</row>
    <row r="19" spans="1:50" x14ac:dyDescent="0.35">
      <c r="A19" s="33" t="s">
        <v>94</v>
      </c>
      <c r="B19" s="34" t="s">
        <v>85</v>
      </c>
      <c r="C19" s="32" t="s">
        <v>83</v>
      </c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</row>
    <row r="20" spans="1:50" x14ac:dyDescent="0.35">
      <c r="A20" s="33" t="s">
        <v>95</v>
      </c>
      <c r="B20" s="34" t="s">
        <v>85</v>
      </c>
      <c r="C20" s="32" t="s">
        <v>83</v>
      </c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</row>
    <row r="21" spans="1:50" x14ac:dyDescent="0.35">
      <c r="A21" s="33" t="s">
        <v>96</v>
      </c>
      <c r="B21" s="34" t="s">
        <v>85</v>
      </c>
      <c r="C21" s="32" t="s">
        <v>83</v>
      </c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</row>
    <row r="22" spans="1:50" x14ac:dyDescent="0.35">
      <c r="A22" s="35" t="s">
        <v>97</v>
      </c>
      <c r="B22" s="31" t="s">
        <v>90</v>
      </c>
      <c r="C22" s="32" t="s">
        <v>91</v>
      </c>
      <c r="D22" s="25">
        <v>2867</v>
      </c>
      <c r="E22" s="25">
        <v>2864</v>
      </c>
      <c r="F22" s="25">
        <v>2630</v>
      </c>
      <c r="G22" s="25">
        <v>2630</v>
      </c>
      <c r="H22" s="25">
        <v>2934</v>
      </c>
      <c r="I22" s="25">
        <v>3212</v>
      </c>
      <c r="J22" s="25">
        <v>2918</v>
      </c>
      <c r="K22" s="25">
        <v>2514</v>
      </c>
      <c r="L22" s="25">
        <v>3680</v>
      </c>
      <c r="M22" s="25">
        <v>3529</v>
      </c>
      <c r="N22" s="25">
        <v>2969</v>
      </c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</row>
    <row r="23" spans="1:50" x14ac:dyDescent="0.35">
      <c r="A23" s="30" t="s">
        <v>20</v>
      </c>
      <c r="B23" s="31"/>
      <c r="C23" s="32" t="s">
        <v>83</v>
      </c>
      <c r="D23" s="25">
        <v>1326</v>
      </c>
      <c r="E23" s="25">
        <v>367</v>
      </c>
      <c r="F23" s="25">
        <v>850</v>
      </c>
      <c r="G23" s="25">
        <v>1033</v>
      </c>
      <c r="H23" s="25">
        <v>1050</v>
      </c>
      <c r="I23" s="25">
        <v>1041</v>
      </c>
      <c r="J23" s="25">
        <v>1088</v>
      </c>
      <c r="K23" s="25">
        <v>1136</v>
      </c>
      <c r="L23" s="25">
        <v>952</v>
      </c>
      <c r="M23" s="25">
        <v>1098</v>
      </c>
      <c r="N23" s="25">
        <v>1076</v>
      </c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</row>
    <row r="24" spans="1:50" x14ac:dyDescent="0.35">
      <c r="A24" s="107" t="s">
        <v>98</v>
      </c>
      <c r="B24" s="31"/>
      <c r="C24" s="37" t="s">
        <v>99</v>
      </c>
      <c r="D24" s="25">
        <v>0</v>
      </c>
      <c r="E24" s="25">
        <v>0</v>
      </c>
      <c r="F24" s="25">
        <v>0</v>
      </c>
      <c r="G24" s="25">
        <v>0</v>
      </c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</row>
    <row r="25" spans="1:50" x14ac:dyDescent="0.35">
      <c r="A25" s="108"/>
      <c r="B25" s="34" t="s">
        <v>85</v>
      </c>
      <c r="C25" s="37" t="s">
        <v>100</v>
      </c>
      <c r="D25" s="25">
        <v>0</v>
      </c>
      <c r="E25" s="25">
        <v>0</v>
      </c>
      <c r="F25" s="25">
        <v>0</v>
      </c>
      <c r="G25" s="25">
        <v>0</v>
      </c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</row>
    <row r="26" spans="1:50" x14ac:dyDescent="0.35">
      <c r="A26" s="108"/>
      <c r="B26" s="31"/>
      <c r="C26" s="37" t="s">
        <v>101</v>
      </c>
      <c r="D26" s="25">
        <v>0</v>
      </c>
      <c r="E26" s="25">
        <v>0</v>
      </c>
      <c r="F26" s="25">
        <v>0</v>
      </c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</row>
    <row r="27" spans="1:50" ht="26" x14ac:dyDescent="0.35">
      <c r="A27" s="109"/>
      <c r="B27" s="31"/>
      <c r="C27" s="37" t="s">
        <v>102</v>
      </c>
      <c r="D27" s="25">
        <v>0</v>
      </c>
      <c r="E27" s="25">
        <v>0</v>
      </c>
      <c r="F27" s="25">
        <v>0</v>
      </c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</row>
    <row r="28" spans="1:50" x14ac:dyDescent="0.35">
      <c r="A28" s="31" t="s">
        <v>25</v>
      </c>
      <c r="B28" s="31"/>
      <c r="C28" s="32" t="s">
        <v>103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0</v>
      </c>
      <c r="N28" s="29">
        <v>0</v>
      </c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</row>
    <row r="29" spans="1:50" x14ac:dyDescent="0.35">
      <c r="A29" s="31" t="s">
        <v>26</v>
      </c>
      <c r="B29" s="31"/>
      <c r="C29" s="32" t="s">
        <v>103</v>
      </c>
      <c r="D29" s="29">
        <v>4.2956810631229203</v>
      </c>
      <c r="E29" s="29">
        <v>4.8071895424836599</v>
      </c>
      <c r="F29" s="29">
        <v>4.77579617834395</v>
      </c>
      <c r="G29" s="29">
        <v>4.5365638766519822</v>
      </c>
      <c r="H29" s="29">
        <v>4.3824027072757996</v>
      </c>
      <c r="I29" s="29">
        <v>4.3955479452054798</v>
      </c>
      <c r="J29" s="29">
        <v>4.5764272559852701</v>
      </c>
      <c r="K29" s="29">
        <v>4.4750430292598971</v>
      </c>
      <c r="L29" s="29">
        <v>4.5155513666352496</v>
      </c>
      <c r="M29" s="29">
        <v>4.4808013355592653</v>
      </c>
      <c r="N29" s="29">
        <v>4.4789207419898815</v>
      </c>
      <c r="O29" s="29"/>
      <c r="P29" s="29"/>
      <c r="Q29" s="29"/>
      <c r="R29" s="29"/>
      <c r="S29" s="29"/>
      <c r="T29" s="29"/>
      <c r="U29" s="29"/>
      <c r="V29" s="29"/>
      <c r="W29" s="38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</row>
    <row r="30" spans="1:50" x14ac:dyDescent="0.35">
      <c r="A30" s="31" t="s">
        <v>104</v>
      </c>
      <c r="B30" s="40" t="s">
        <v>105</v>
      </c>
      <c r="C30" s="41" t="s">
        <v>103</v>
      </c>
      <c r="D30" s="42">
        <f>(D40+D45+D46)/D2</f>
        <v>5.4587874902044593</v>
      </c>
      <c r="E30" s="42">
        <f t="shared" ref="E30:N30" si="0">(E40+E45+E46)/E2</f>
        <v>5.47899572200014</v>
      </c>
      <c r="F30" s="42">
        <f t="shared" si="0"/>
        <v>5.4453216981785442</v>
      </c>
      <c r="G30" s="42">
        <f>(G40+G45+G46)/G2</f>
        <v>5.3829893952421903</v>
      </c>
      <c r="H30" s="29">
        <f>(H40+H45+H46)/H2</f>
        <v>5.4979327060165382</v>
      </c>
      <c r="I30" s="29">
        <f>(I40+I45+I46)/I2</f>
        <v>5.4927126386773981</v>
      </c>
      <c r="J30" s="29">
        <f t="shared" si="0"/>
        <v>5.4686368245690282</v>
      </c>
      <c r="K30" s="29">
        <f t="shared" si="0"/>
        <v>5.4066985645933014</v>
      </c>
      <c r="L30" s="29">
        <f t="shared" si="0"/>
        <v>5.3956303513433719</v>
      </c>
      <c r="M30" s="29">
        <f t="shared" si="0"/>
        <v>5.8184639255236617</v>
      </c>
      <c r="N30" s="29">
        <f t="shared" si="0"/>
        <v>5.4925069111014109</v>
      </c>
      <c r="O30" s="29"/>
      <c r="P30" s="29"/>
      <c r="Q30" s="29"/>
      <c r="R30" s="29"/>
      <c r="S30" s="29"/>
      <c r="T30" s="29"/>
      <c r="U30" s="29"/>
      <c r="V30" s="29"/>
      <c r="W30" s="38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</row>
    <row r="31" spans="1:50" x14ac:dyDescent="0.35">
      <c r="A31" s="35" t="s">
        <v>106</v>
      </c>
      <c r="B31" s="35"/>
      <c r="C31" s="32" t="s">
        <v>83</v>
      </c>
      <c r="D31" s="25">
        <v>6491</v>
      </c>
      <c r="E31" s="25">
        <v>1878</v>
      </c>
      <c r="F31" s="25">
        <v>4503</v>
      </c>
      <c r="G31" s="25">
        <v>6411</v>
      </c>
      <c r="H31" s="25">
        <v>6470</v>
      </c>
      <c r="I31" s="25">
        <v>6466</v>
      </c>
      <c r="J31" s="25">
        <v>6165</v>
      </c>
      <c r="K31" s="25">
        <v>6520</v>
      </c>
      <c r="L31" s="25">
        <v>6132</v>
      </c>
      <c r="M31" s="25">
        <v>6730</v>
      </c>
      <c r="N31" s="25">
        <v>6683</v>
      </c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</row>
    <row r="32" spans="1:50" x14ac:dyDescent="0.35">
      <c r="A32" s="31" t="s">
        <v>107</v>
      </c>
      <c r="B32" s="31"/>
      <c r="C32" s="32" t="s">
        <v>83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</row>
    <row r="33" spans="1:34" x14ac:dyDescent="0.35">
      <c r="A33" s="31" t="s">
        <v>108</v>
      </c>
      <c r="B33" s="31"/>
      <c r="C33" s="32" t="s">
        <v>83</v>
      </c>
      <c r="D33" s="43">
        <v>6491</v>
      </c>
      <c r="E33" s="25">
        <v>1878</v>
      </c>
      <c r="F33" s="25">
        <v>4503</v>
      </c>
      <c r="G33" s="25">
        <v>6411</v>
      </c>
      <c r="H33" s="25">
        <v>6470</v>
      </c>
      <c r="I33" s="25">
        <v>6466</v>
      </c>
      <c r="J33" s="25">
        <v>6165</v>
      </c>
      <c r="K33" s="25">
        <v>6520</v>
      </c>
      <c r="L33" s="25">
        <v>6132</v>
      </c>
      <c r="M33" s="25">
        <v>6730</v>
      </c>
      <c r="N33" s="25">
        <v>6683</v>
      </c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</row>
    <row r="34" spans="1:34" x14ac:dyDescent="0.35">
      <c r="A34" s="31" t="s">
        <v>109</v>
      </c>
      <c r="B34" s="31"/>
      <c r="C34" s="32" t="s">
        <v>83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29">
        <v>0</v>
      </c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</row>
    <row r="35" spans="1:34" x14ac:dyDescent="0.35">
      <c r="A35" s="31" t="s">
        <v>110</v>
      </c>
      <c r="B35" s="31"/>
      <c r="C35" s="32" t="s">
        <v>83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9">
        <v>0</v>
      </c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</row>
    <row r="36" spans="1:34" x14ac:dyDescent="0.35">
      <c r="A36" s="44" t="s">
        <v>27</v>
      </c>
      <c r="B36" s="31"/>
      <c r="C36" s="32" t="s">
        <v>99</v>
      </c>
      <c r="D36" s="29">
        <v>0</v>
      </c>
      <c r="E36" s="29">
        <v>0</v>
      </c>
      <c r="F36" s="29"/>
      <c r="G36" s="29"/>
      <c r="H36" s="29"/>
      <c r="I36" s="29"/>
      <c r="J36" s="29"/>
      <c r="K36" s="29"/>
      <c r="L36" s="29"/>
      <c r="M36" s="29"/>
      <c r="N36" s="29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</row>
    <row r="37" spans="1:34" x14ac:dyDescent="0.35">
      <c r="A37" s="44" t="s">
        <v>28</v>
      </c>
      <c r="B37" s="31"/>
      <c r="C37" s="32" t="s">
        <v>99</v>
      </c>
      <c r="D37" s="29">
        <v>24</v>
      </c>
      <c r="E37" s="29">
        <v>24</v>
      </c>
      <c r="F37" s="29"/>
      <c r="G37" s="29"/>
      <c r="H37" s="29"/>
      <c r="I37" s="29"/>
      <c r="J37" s="29"/>
      <c r="K37" s="29"/>
      <c r="L37" s="29"/>
      <c r="M37" s="29"/>
      <c r="N37" s="29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</row>
    <row r="38" spans="1:34" x14ac:dyDescent="0.35">
      <c r="A38" s="44" t="s">
        <v>29</v>
      </c>
      <c r="B38" s="31"/>
      <c r="C38" s="32" t="s">
        <v>99</v>
      </c>
      <c r="D38" s="29">
        <v>0</v>
      </c>
      <c r="E38" s="29">
        <v>0</v>
      </c>
      <c r="F38" s="29"/>
      <c r="G38" s="29"/>
      <c r="H38" s="29"/>
      <c r="I38" s="29"/>
      <c r="J38" s="29"/>
      <c r="K38" s="29"/>
      <c r="L38" s="29"/>
      <c r="M38" s="29"/>
      <c r="N38" s="29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</row>
    <row r="39" spans="1:34" x14ac:dyDescent="0.35">
      <c r="A39" s="44" t="s">
        <v>30</v>
      </c>
      <c r="B39" s="31"/>
      <c r="C39" s="32" t="s">
        <v>99</v>
      </c>
      <c r="D39" s="29">
        <v>0</v>
      </c>
      <c r="E39" s="29">
        <v>0</v>
      </c>
      <c r="F39" s="29"/>
      <c r="G39" s="29"/>
      <c r="H39" s="29"/>
      <c r="I39" s="29"/>
      <c r="J39" s="29"/>
      <c r="K39" s="29"/>
      <c r="L39" s="29"/>
      <c r="M39" s="29"/>
      <c r="N39" s="29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</row>
    <row r="40" spans="1:34" s="46" customFormat="1" x14ac:dyDescent="0.35">
      <c r="A40" s="35" t="s">
        <v>111</v>
      </c>
      <c r="B40" s="35"/>
      <c r="C40" s="32" t="s">
        <v>83</v>
      </c>
      <c r="D40" s="45">
        <f>SUM(D41:D44)</f>
        <v>613</v>
      </c>
      <c r="E40" s="25">
        <v>625</v>
      </c>
      <c r="F40" s="25">
        <v>629</v>
      </c>
      <c r="G40" s="25">
        <v>601</v>
      </c>
      <c r="H40" s="25">
        <v>617</v>
      </c>
      <c r="I40" s="25">
        <v>606</v>
      </c>
      <c r="J40" s="25">
        <v>604</v>
      </c>
      <c r="K40" s="25">
        <v>678</v>
      </c>
      <c r="L40" s="25">
        <v>731</v>
      </c>
      <c r="M40" s="25">
        <v>540</v>
      </c>
      <c r="N40" s="25">
        <v>604</v>
      </c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</row>
    <row r="41" spans="1:34" s="50" customFormat="1" x14ac:dyDescent="0.35">
      <c r="A41" s="47" t="s">
        <v>112</v>
      </c>
      <c r="B41" s="48"/>
      <c r="C41" s="32" t="s">
        <v>83</v>
      </c>
      <c r="D41" s="25">
        <v>613</v>
      </c>
      <c r="E41" s="25">
        <v>625</v>
      </c>
      <c r="F41" s="25">
        <v>629</v>
      </c>
      <c r="G41" s="25">
        <v>601</v>
      </c>
      <c r="H41" s="25">
        <v>617</v>
      </c>
      <c r="I41" s="25">
        <v>606</v>
      </c>
      <c r="J41" s="25">
        <v>604</v>
      </c>
      <c r="K41" s="25">
        <v>678</v>
      </c>
      <c r="L41" s="25">
        <v>731</v>
      </c>
      <c r="M41" s="25">
        <v>540</v>
      </c>
      <c r="N41" s="25">
        <v>604</v>
      </c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</row>
    <row r="42" spans="1:34" s="50" customFormat="1" x14ac:dyDescent="0.35">
      <c r="A42" s="47" t="s">
        <v>113</v>
      </c>
      <c r="B42" s="48"/>
      <c r="C42" s="32" t="s">
        <v>83</v>
      </c>
      <c r="D42" s="29">
        <v>0</v>
      </c>
      <c r="E42" s="29">
        <v>0</v>
      </c>
      <c r="F42" s="29">
        <v>0</v>
      </c>
      <c r="G42" s="29">
        <v>0</v>
      </c>
      <c r="H42" s="29">
        <v>0</v>
      </c>
      <c r="I42" s="29">
        <v>0</v>
      </c>
      <c r="J42" s="29">
        <v>0</v>
      </c>
      <c r="K42" s="29">
        <v>0</v>
      </c>
      <c r="L42" s="29">
        <v>0</v>
      </c>
      <c r="M42" s="29">
        <v>0</v>
      </c>
      <c r="N42" s="29">
        <v>0</v>
      </c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</row>
    <row r="43" spans="1:34" s="50" customFormat="1" x14ac:dyDescent="0.35">
      <c r="A43" s="47" t="s">
        <v>114</v>
      </c>
      <c r="B43" s="48"/>
      <c r="C43" s="32" t="s">
        <v>83</v>
      </c>
      <c r="D43" s="29">
        <v>0</v>
      </c>
      <c r="E43" s="29">
        <v>0</v>
      </c>
      <c r="F43" s="29">
        <v>0</v>
      </c>
      <c r="G43" s="29">
        <v>0</v>
      </c>
      <c r="H43" s="29">
        <v>0</v>
      </c>
      <c r="I43" s="29">
        <v>0</v>
      </c>
      <c r="J43" s="29">
        <v>0</v>
      </c>
      <c r="K43" s="29">
        <v>0</v>
      </c>
      <c r="L43" s="29">
        <v>0</v>
      </c>
      <c r="M43" s="29">
        <v>0</v>
      </c>
      <c r="N43" s="29">
        <v>0</v>
      </c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</row>
    <row r="44" spans="1:34" s="50" customFormat="1" x14ac:dyDescent="0.35">
      <c r="A44" s="47" t="s">
        <v>115</v>
      </c>
      <c r="B44" s="48"/>
      <c r="C44" s="32" t="s">
        <v>83</v>
      </c>
      <c r="D44" s="29">
        <v>0</v>
      </c>
      <c r="E44" s="29">
        <v>0</v>
      </c>
      <c r="F44" s="29">
        <v>0</v>
      </c>
      <c r="G44" s="29">
        <v>0</v>
      </c>
      <c r="H44" s="29">
        <v>0</v>
      </c>
      <c r="I44" s="29">
        <v>0</v>
      </c>
      <c r="J44" s="29">
        <v>0</v>
      </c>
      <c r="K44" s="29">
        <v>0</v>
      </c>
      <c r="L44" s="29">
        <v>0</v>
      </c>
      <c r="M44" s="29">
        <v>0</v>
      </c>
      <c r="N44" s="29">
        <v>0</v>
      </c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</row>
    <row r="45" spans="1:34" x14ac:dyDescent="0.35">
      <c r="A45" s="48" t="s">
        <v>116</v>
      </c>
      <c r="B45" s="48"/>
      <c r="C45" s="51" t="s">
        <v>83</v>
      </c>
      <c r="D45" s="49">
        <v>0</v>
      </c>
      <c r="E45" s="49">
        <v>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</row>
    <row r="46" spans="1:34" x14ac:dyDescent="0.35">
      <c r="A46" s="52" t="s">
        <v>117</v>
      </c>
      <c r="B46" s="53"/>
      <c r="C46" s="54" t="s">
        <v>83</v>
      </c>
      <c r="D46" s="25">
        <v>0</v>
      </c>
      <c r="E46" s="25">
        <v>0</v>
      </c>
      <c r="F46" s="49">
        <v>0</v>
      </c>
      <c r="G46" s="49">
        <v>0</v>
      </c>
      <c r="H46" s="49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</row>
    <row r="47" spans="1:34" x14ac:dyDescent="0.35">
      <c r="A47" s="55" t="s">
        <v>35</v>
      </c>
      <c r="B47" s="56"/>
      <c r="C47" s="57" t="s">
        <v>99</v>
      </c>
      <c r="D47" s="25">
        <v>0</v>
      </c>
      <c r="E47" s="25">
        <v>0</v>
      </c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</row>
    <row r="48" spans="1:34" x14ac:dyDescent="0.35">
      <c r="A48" s="58" t="s">
        <v>36</v>
      </c>
      <c r="B48" s="56"/>
      <c r="C48" s="57" t="s">
        <v>99</v>
      </c>
      <c r="D48" s="25">
        <v>0</v>
      </c>
      <c r="E48" s="25">
        <v>0</v>
      </c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</row>
    <row r="49" spans="1:34" x14ac:dyDescent="0.35">
      <c r="A49" s="48" t="s">
        <v>118</v>
      </c>
      <c r="B49" s="48" t="s">
        <v>85</v>
      </c>
      <c r="C49" s="51" t="s">
        <v>83</v>
      </c>
      <c r="D49" s="25">
        <v>0</v>
      </c>
      <c r="E49" s="25">
        <v>0</v>
      </c>
      <c r="F49" s="25">
        <v>0</v>
      </c>
      <c r="G49" s="25">
        <v>0</v>
      </c>
      <c r="H49" s="25">
        <v>0</v>
      </c>
      <c r="I49" s="25">
        <v>0</v>
      </c>
      <c r="J49" s="25">
        <v>0</v>
      </c>
      <c r="K49" s="25">
        <v>0</v>
      </c>
      <c r="L49" s="25">
        <v>0</v>
      </c>
      <c r="M49" s="25">
        <v>0</v>
      </c>
      <c r="N49" s="25">
        <v>0</v>
      </c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</row>
    <row r="50" spans="1:34" x14ac:dyDescent="0.35">
      <c r="A50" s="31" t="s">
        <v>119</v>
      </c>
      <c r="B50" s="48" t="s">
        <v>85</v>
      </c>
      <c r="C50" s="32" t="s">
        <v>83</v>
      </c>
      <c r="D50" s="25">
        <v>0</v>
      </c>
      <c r="E50" s="25">
        <v>0</v>
      </c>
      <c r="F50" s="25">
        <v>0</v>
      </c>
      <c r="G50" s="25">
        <v>0</v>
      </c>
      <c r="H50" s="25">
        <v>0</v>
      </c>
      <c r="I50" s="25">
        <v>0</v>
      </c>
      <c r="J50" s="25">
        <v>0</v>
      </c>
      <c r="K50" s="25">
        <v>0</v>
      </c>
      <c r="L50" s="25">
        <v>0</v>
      </c>
      <c r="M50" s="25">
        <v>0</v>
      </c>
      <c r="N50" s="25">
        <v>0</v>
      </c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</row>
    <row r="51" spans="1:34" x14ac:dyDescent="0.35">
      <c r="A51" s="59" t="s">
        <v>120</v>
      </c>
      <c r="B51" s="59" t="s">
        <v>121</v>
      </c>
      <c r="C51" s="60" t="s">
        <v>122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</row>
    <row r="52" spans="1:34" x14ac:dyDescent="0.35">
      <c r="A52" s="31" t="s">
        <v>42</v>
      </c>
      <c r="B52" s="31"/>
      <c r="C52" s="32" t="s">
        <v>83</v>
      </c>
      <c r="D52" s="25">
        <v>0</v>
      </c>
      <c r="E52" s="25">
        <v>0</v>
      </c>
      <c r="F52" s="25">
        <v>0</v>
      </c>
      <c r="G52" s="25">
        <v>0</v>
      </c>
      <c r="H52" s="25">
        <v>0</v>
      </c>
      <c r="I52" s="25">
        <v>0</v>
      </c>
      <c r="J52" s="25">
        <v>0</v>
      </c>
      <c r="K52" s="25">
        <v>0</v>
      </c>
      <c r="L52" s="25">
        <v>0</v>
      </c>
      <c r="M52" s="25">
        <v>0</v>
      </c>
      <c r="N52" s="25">
        <v>0</v>
      </c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</row>
    <row r="53" spans="1:34" x14ac:dyDescent="0.35">
      <c r="A53" s="31" t="s">
        <v>43</v>
      </c>
      <c r="B53" s="31"/>
      <c r="C53" s="32" t="s">
        <v>83</v>
      </c>
      <c r="D53" s="61">
        <v>127</v>
      </c>
      <c r="E53" s="25">
        <v>57</v>
      </c>
      <c r="F53" s="25">
        <v>26</v>
      </c>
      <c r="G53" s="25">
        <v>150</v>
      </c>
      <c r="H53" s="25">
        <v>179</v>
      </c>
      <c r="I53" s="25">
        <v>183</v>
      </c>
      <c r="J53" s="25">
        <v>108</v>
      </c>
      <c r="K53" s="25">
        <v>177</v>
      </c>
      <c r="L53" s="25">
        <v>192</v>
      </c>
      <c r="M53" s="25">
        <v>171</v>
      </c>
      <c r="N53" s="25">
        <v>168</v>
      </c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</row>
    <row r="54" spans="1:34" x14ac:dyDescent="0.35">
      <c r="A54" s="31" t="s">
        <v>42</v>
      </c>
      <c r="B54" s="40" t="s">
        <v>123</v>
      </c>
      <c r="C54" s="32" t="s">
        <v>124</v>
      </c>
      <c r="D54" s="61">
        <f>D52/24</f>
        <v>0</v>
      </c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</row>
    <row r="55" spans="1:34" x14ac:dyDescent="0.35">
      <c r="A55" s="31" t="s">
        <v>43</v>
      </c>
      <c r="B55" s="40" t="s">
        <v>123</v>
      </c>
      <c r="C55" s="32" t="s">
        <v>124</v>
      </c>
      <c r="D55" s="61">
        <f>D53/24</f>
        <v>5.291666666666667</v>
      </c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</row>
    <row r="56" spans="1:34" ht="25.5" customHeight="1" x14ac:dyDescent="0.35">
      <c r="A56" s="31" t="s">
        <v>125</v>
      </c>
      <c r="B56" s="31"/>
      <c r="C56" s="32" t="s">
        <v>126</v>
      </c>
      <c r="D56" s="25">
        <v>0</v>
      </c>
      <c r="E56" s="25">
        <v>0</v>
      </c>
      <c r="F56" s="25">
        <v>0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</row>
    <row r="57" spans="1:34" x14ac:dyDescent="0.35">
      <c r="A57" s="31" t="s">
        <v>127</v>
      </c>
      <c r="B57" s="31"/>
      <c r="C57" s="32" t="s">
        <v>126</v>
      </c>
      <c r="D57" s="25">
        <v>81.213543740773673</v>
      </c>
      <c r="E57" s="25">
        <v>79.599105398953469</v>
      </c>
      <c r="F57" s="25">
        <v>79.579572245058358</v>
      </c>
      <c r="G57" s="25">
        <v>80.832396494531608</v>
      </c>
      <c r="H57" s="25">
        <v>80.92883038164814</v>
      </c>
      <c r="I57" s="25">
        <v>80.56</v>
      </c>
      <c r="J57" s="25">
        <v>80.209999999999994</v>
      </c>
      <c r="K57" s="25">
        <v>81.007463570762127</v>
      </c>
      <c r="L57" s="25">
        <v>80.885196934592756</v>
      </c>
      <c r="M57" s="25">
        <v>80.999834022694998</v>
      </c>
      <c r="N57" s="25">
        <v>80.431208636088812</v>
      </c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</row>
    <row r="58" spans="1:34" x14ac:dyDescent="0.35">
      <c r="A58" s="31" t="s">
        <v>128</v>
      </c>
      <c r="B58" s="31"/>
      <c r="C58" s="32"/>
      <c r="D58" s="25">
        <v>0</v>
      </c>
      <c r="E58" s="25">
        <v>0</v>
      </c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25">
        <v>0</v>
      </c>
      <c r="L58" s="25">
        <v>0</v>
      </c>
      <c r="M58" s="25">
        <v>0</v>
      </c>
      <c r="N58" s="25">
        <v>0</v>
      </c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</row>
    <row r="59" spans="1:34" x14ac:dyDescent="0.35">
      <c r="A59" s="31" t="s">
        <v>129</v>
      </c>
      <c r="B59" s="31"/>
      <c r="C59" s="32" t="s">
        <v>126</v>
      </c>
      <c r="D59" s="25">
        <v>0</v>
      </c>
      <c r="E59" s="25">
        <v>0</v>
      </c>
      <c r="F59" s="25">
        <v>0</v>
      </c>
      <c r="G59" s="25">
        <v>0</v>
      </c>
      <c r="H59" s="25">
        <v>0</v>
      </c>
      <c r="I59" s="25">
        <v>0</v>
      </c>
      <c r="J59" s="25">
        <v>0</v>
      </c>
      <c r="K59" s="25">
        <v>0</v>
      </c>
      <c r="L59" s="25">
        <v>0</v>
      </c>
      <c r="M59" s="25">
        <v>0</v>
      </c>
      <c r="N59" s="25">
        <v>0</v>
      </c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</row>
    <row r="60" spans="1:34" x14ac:dyDescent="0.35">
      <c r="A60" s="31" t="s">
        <v>130</v>
      </c>
      <c r="B60" s="31"/>
      <c r="C60" s="32" t="s">
        <v>126</v>
      </c>
      <c r="D60" s="25">
        <v>0</v>
      </c>
      <c r="E60" s="25">
        <v>0</v>
      </c>
      <c r="F60" s="25">
        <v>0</v>
      </c>
      <c r="G60" s="25">
        <v>0</v>
      </c>
      <c r="H60" s="25">
        <v>0</v>
      </c>
      <c r="I60" s="25">
        <v>0</v>
      </c>
      <c r="J60" s="25">
        <v>0</v>
      </c>
      <c r="K60" s="25">
        <v>0</v>
      </c>
      <c r="L60" s="25">
        <v>0</v>
      </c>
      <c r="M60" s="25">
        <v>0</v>
      </c>
      <c r="N60" s="25">
        <v>0</v>
      </c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</row>
    <row r="61" spans="1:34" x14ac:dyDescent="0.35">
      <c r="A61" s="31" t="s">
        <v>131</v>
      </c>
      <c r="B61" s="31"/>
      <c r="C61" s="32" t="s">
        <v>126</v>
      </c>
      <c r="D61" s="25">
        <v>0</v>
      </c>
      <c r="E61" s="25">
        <v>0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</row>
    <row r="62" spans="1:34" x14ac:dyDescent="0.35">
      <c r="A62" s="31" t="s">
        <v>132</v>
      </c>
      <c r="B62" s="31"/>
      <c r="C62" s="32" t="s">
        <v>91</v>
      </c>
      <c r="D62" s="25">
        <v>0</v>
      </c>
      <c r="E62" s="25">
        <v>0</v>
      </c>
      <c r="F62" s="25">
        <v>0</v>
      </c>
      <c r="G62" s="25">
        <v>0</v>
      </c>
      <c r="H62" s="25">
        <v>0</v>
      </c>
      <c r="I62" s="25">
        <v>0</v>
      </c>
      <c r="J62" s="25">
        <v>0</v>
      </c>
      <c r="K62" s="25">
        <v>0</v>
      </c>
      <c r="L62" s="25">
        <v>0</v>
      </c>
      <c r="M62" s="25">
        <v>0</v>
      </c>
      <c r="N62" s="25">
        <v>0</v>
      </c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</row>
    <row r="63" spans="1:34" x14ac:dyDescent="0.35">
      <c r="A63" s="31" t="s">
        <v>133</v>
      </c>
      <c r="B63" s="31"/>
      <c r="C63" s="32" t="s">
        <v>91</v>
      </c>
      <c r="D63" s="25">
        <v>623.97</v>
      </c>
      <c r="E63" s="25">
        <v>632.79</v>
      </c>
      <c r="F63" s="25">
        <v>647.48399999999992</v>
      </c>
      <c r="G63" s="25">
        <v>622.44399999999996</v>
      </c>
      <c r="H63" s="25">
        <v>620.90600000000006</v>
      </c>
      <c r="I63" s="25">
        <v>621.56999999999994</v>
      </c>
      <c r="J63" s="25">
        <v>623.63599999999997</v>
      </c>
      <c r="K63" s="25">
        <v>618.69499999999994</v>
      </c>
      <c r="L63" s="25">
        <v>621.70799999999997</v>
      </c>
      <c r="M63" s="25">
        <v>618.14300000000003</v>
      </c>
      <c r="N63" s="25">
        <v>618.51700000000005</v>
      </c>
      <c r="O63" s="25"/>
      <c r="P63" s="25"/>
      <c r="Q63" s="25"/>
      <c r="R63" s="25"/>
      <c r="S63" s="25"/>
      <c r="T63" s="25"/>
      <c r="U63" s="25"/>
      <c r="V63" s="25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</row>
    <row r="64" spans="1:34" x14ac:dyDescent="0.35">
      <c r="A64" s="31" t="s">
        <v>134</v>
      </c>
      <c r="B64" s="31"/>
      <c r="C64" s="32" t="s">
        <v>91</v>
      </c>
      <c r="D64" s="25">
        <v>0</v>
      </c>
      <c r="E64" s="25">
        <v>0</v>
      </c>
      <c r="F64" s="25">
        <v>0</v>
      </c>
      <c r="G64" s="25">
        <v>0</v>
      </c>
      <c r="H64" s="25">
        <v>0</v>
      </c>
      <c r="I64" s="25">
        <v>0</v>
      </c>
      <c r="J64" s="25">
        <v>0</v>
      </c>
      <c r="K64" s="25">
        <v>0</v>
      </c>
      <c r="L64" s="25">
        <v>0</v>
      </c>
      <c r="M64" s="25">
        <v>0</v>
      </c>
      <c r="N64" s="25">
        <v>0</v>
      </c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</row>
    <row r="65" spans="1:34" x14ac:dyDescent="0.35">
      <c r="A65" s="31" t="s">
        <v>135</v>
      </c>
      <c r="B65" s="31"/>
      <c r="C65" s="32" t="s">
        <v>91</v>
      </c>
      <c r="D65" s="25">
        <v>623.97</v>
      </c>
      <c r="E65" s="25">
        <v>632.79</v>
      </c>
      <c r="F65" s="25">
        <v>647.48399999999992</v>
      </c>
      <c r="G65" s="25">
        <v>622.44399999999996</v>
      </c>
      <c r="H65" s="25">
        <v>620.90600000000006</v>
      </c>
      <c r="I65" s="25">
        <v>621.56999999999994</v>
      </c>
      <c r="J65" s="25">
        <v>623.63599999999997</v>
      </c>
      <c r="K65" s="25">
        <v>618.69499999999994</v>
      </c>
      <c r="L65" s="25">
        <v>621.70799999999997</v>
      </c>
      <c r="M65" s="25">
        <v>618.14300000000003</v>
      </c>
      <c r="N65" s="25">
        <v>618.51700000000005</v>
      </c>
      <c r="O65" s="25"/>
      <c r="P65" s="25"/>
      <c r="Q65" s="25"/>
      <c r="R65" s="25"/>
      <c r="S65" s="25"/>
      <c r="T65" s="25"/>
      <c r="U65" s="25"/>
      <c r="V65" s="25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</row>
    <row r="66" spans="1:34" x14ac:dyDescent="0.35">
      <c r="A66" s="31" t="s">
        <v>136</v>
      </c>
      <c r="C66" s="32" t="s">
        <v>91</v>
      </c>
    </row>
    <row r="67" spans="1:34" x14ac:dyDescent="0.35">
      <c r="D67" s="62"/>
      <c r="E67" s="62"/>
      <c r="F67" s="62"/>
      <c r="G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2"/>
      <c r="AE67" s="62"/>
      <c r="AF67" s="62"/>
      <c r="AG67" s="62"/>
      <c r="AH67" s="62"/>
    </row>
    <row r="68" spans="1:34" x14ac:dyDescent="0.35"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2"/>
      <c r="AD68" s="62"/>
      <c r="AE68" s="62"/>
      <c r="AF68" s="62"/>
      <c r="AG68" s="62"/>
      <c r="AH68" s="62"/>
    </row>
    <row r="69" spans="1:34" x14ac:dyDescent="0.35"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  <c r="AE69" s="62"/>
      <c r="AF69" s="62"/>
      <c r="AG69" s="62"/>
      <c r="AH69" s="62"/>
    </row>
    <row r="70" spans="1:34" x14ac:dyDescent="0.35"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2"/>
      <c r="AD70" s="62"/>
      <c r="AE70" s="62"/>
      <c r="AF70" s="62"/>
      <c r="AG70" s="62"/>
      <c r="AH70" s="62"/>
    </row>
    <row r="71" spans="1:34" x14ac:dyDescent="0.35"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/>
      <c r="AE71" s="62"/>
      <c r="AF71" s="62"/>
      <c r="AG71" s="62"/>
      <c r="AH71" s="62"/>
    </row>
    <row r="72" spans="1:34" x14ac:dyDescent="0.35"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2"/>
      <c r="AD72" s="62"/>
      <c r="AE72" s="62"/>
      <c r="AF72" s="62"/>
      <c r="AG72" s="62"/>
      <c r="AH72" s="62"/>
    </row>
    <row r="73" spans="1:34" x14ac:dyDescent="0.35"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2"/>
      <c r="AD73" s="62"/>
      <c r="AE73" s="62"/>
      <c r="AF73" s="62"/>
      <c r="AG73" s="62"/>
      <c r="AH73" s="62"/>
    </row>
    <row r="74" spans="1:34" x14ac:dyDescent="0.35"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2"/>
      <c r="AD74" s="62"/>
      <c r="AE74" s="62"/>
      <c r="AF74" s="62"/>
      <c r="AG74" s="62"/>
      <c r="AH74" s="62"/>
    </row>
  </sheetData>
  <mergeCells count="1">
    <mergeCell ref="A24:A27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'Power Data'!E5:L5</xm:f>
              <xm:sqref>D5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A55"/>
  <sheetViews>
    <sheetView topLeftCell="K31" workbookViewId="0">
      <selection activeCell="Y35" sqref="Y35"/>
    </sheetView>
  </sheetViews>
  <sheetFormatPr defaultRowHeight="14.5" x14ac:dyDescent="0.35"/>
  <cols>
    <col min="4" max="4" width="6.81640625" bestFit="1" customWidth="1"/>
    <col min="5" max="5" width="26.54296875" bestFit="1" customWidth="1"/>
  </cols>
  <sheetData>
    <row r="1" spans="4:23" x14ac:dyDescent="0.35">
      <c r="D1" s="12" t="s">
        <v>59</v>
      </c>
      <c r="E1" s="12" t="s">
        <v>63</v>
      </c>
      <c r="F1" s="12" t="s">
        <v>64</v>
      </c>
      <c r="I1" s="12" t="s">
        <v>144</v>
      </c>
      <c r="J1" s="12" t="s">
        <v>137</v>
      </c>
      <c r="K1">
        <v>6.05</v>
      </c>
      <c r="L1" t="s">
        <v>139</v>
      </c>
      <c r="M1">
        <v>5.38</v>
      </c>
      <c r="Q1" t="s">
        <v>217</v>
      </c>
    </row>
    <row r="2" spans="4:23" x14ac:dyDescent="0.35">
      <c r="D2" t="s">
        <v>60</v>
      </c>
      <c r="E2" t="s">
        <v>55</v>
      </c>
      <c r="F2" t="s">
        <v>65</v>
      </c>
      <c r="J2" t="s">
        <v>138</v>
      </c>
      <c r="K2">
        <v>3.05</v>
      </c>
      <c r="L2" t="s">
        <v>140</v>
      </c>
      <c r="M2">
        <v>7.2</v>
      </c>
      <c r="P2" t="s">
        <v>137</v>
      </c>
      <c r="Q2">
        <v>281</v>
      </c>
      <c r="R2" t="s">
        <v>139</v>
      </c>
      <c r="S2">
        <v>682</v>
      </c>
    </row>
    <row r="3" spans="4:23" x14ac:dyDescent="0.35">
      <c r="D3" t="s">
        <v>61</v>
      </c>
      <c r="E3" t="s">
        <v>56</v>
      </c>
      <c r="F3" t="s">
        <v>66</v>
      </c>
      <c r="P3" t="s">
        <v>138</v>
      </c>
      <c r="Q3">
        <v>201</v>
      </c>
      <c r="R3" t="s">
        <v>140</v>
      </c>
      <c r="S3">
        <v>240</v>
      </c>
    </row>
    <row r="4" spans="4:23" x14ac:dyDescent="0.35">
      <c r="D4" t="s">
        <v>62</v>
      </c>
      <c r="E4" t="s">
        <v>57</v>
      </c>
      <c r="F4" t="s">
        <v>67</v>
      </c>
      <c r="I4" t="s">
        <v>145</v>
      </c>
      <c r="J4" s="12" t="s">
        <v>137</v>
      </c>
      <c r="K4">
        <v>12.6</v>
      </c>
      <c r="L4" t="s">
        <v>139</v>
      </c>
      <c r="M4">
        <v>5.38</v>
      </c>
    </row>
    <row r="5" spans="4:23" x14ac:dyDescent="0.35">
      <c r="E5" t="s">
        <v>58</v>
      </c>
      <c r="J5" t="s">
        <v>138</v>
      </c>
      <c r="K5">
        <v>3.05</v>
      </c>
      <c r="L5" t="s">
        <v>140</v>
      </c>
      <c r="M5">
        <v>7.2</v>
      </c>
    </row>
    <row r="6" spans="4:23" x14ac:dyDescent="0.35">
      <c r="E6" t="s">
        <v>31</v>
      </c>
    </row>
    <row r="7" spans="4:23" x14ac:dyDescent="0.35">
      <c r="E7" t="s">
        <v>32</v>
      </c>
      <c r="I7" t="s">
        <v>146</v>
      </c>
      <c r="J7" s="12" t="s">
        <v>137</v>
      </c>
      <c r="K7">
        <v>19.239999999999998</v>
      </c>
      <c r="L7" t="s">
        <v>139</v>
      </c>
      <c r="M7">
        <v>5.38</v>
      </c>
    </row>
    <row r="8" spans="4:23" x14ac:dyDescent="0.35">
      <c r="E8" t="s">
        <v>33</v>
      </c>
      <c r="J8" t="s">
        <v>138</v>
      </c>
      <c r="K8">
        <v>3.05</v>
      </c>
      <c r="L8" t="s">
        <v>140</v>
      </c>
      <c r="M8">
        <v>7.2</v>
      </c>
    </row>
    <row r="9" spans="4:23" x14ac:dyDescent="0.35">
      <c r="E9" t="s">
        <v>34</v>
      </c>
      <c r="Q9" t="s">
        <v>229</v>
      </c>
    </row>
    <row r="10" spans="4:23" x14ac:dyDescent="0.35">
      <c r="E10" t="s">
        <v>37</v>
      </c>
      <c r="I10" t="s">
        <v>147</v>
      </c>
      <c r="J10" s="12" t="s">
        <v>137</v>
      </c>
      <c r="K10">
        <v>26.1</v>
      </c>
      <c r="L10" t="s">
        <v>139</v>
      </c>
      <c r="M10">
        <v>5.38</v>
      </c>
      <c r="Q10" t="s">
        <v>137</v>
      </c>
      <c r="R10" t="s">
        <v>138</v>
      </c>
      <c r="V10" t="s">
        <v>241</v>
      </c>
      <c r="W10" t="s">
        <v>242</v>
      </c>
    </row>
    <row r="11" spans="4:23" x14ac:dyDescent="0.35">
      <c r="E11" t="s">
        <v>38</v>
      </c>
      <c r="J11" t="s">
        <v>138</v>
      </c>
      <c r="K11">
        <v>3.05</v>
      </c>
      <c r="L11" t="s">
        <v>140</v>
      </c>
      <c r="M11">
        <v>7.2</v>
      </c>
      <c r="Q11">
        <v>234</v>
      </c>
      <c r="R11">
        <v>195</v>
      </c>
      <c r="V11" t="s">
        <v>244</v>
      </c>
      <c r="W11" t="s">
        <v>243</v>
      </c>
    </row>
    <row r="12" spans="4:23" x14ac:dyDescent="0.35">
      <c r="V12" t="s">
        <v>245</v>
      </c>
      <c r="W12" t="s">
        <v>246</v>
      </c>
    </row>
    <row r="13" spans="4:23" x14ac:dyDescent="0.35">
      <c r="Q13" t="s">
        <v>140</v>
      </c>
      <c r="R13" t="s">
        <v>139</v>
      </c>
    </row>
    <row r="14" spans="4:23" x14ac:dyDescent="0.35">
      <c r="Q14">
        <v>508</v>
      </c>
      <c r="R14">
        <v>1026</v>
      </c>
    </row>
    <row r="17" spans="5:27" x14ac:dyDescent="0.35">
      <c r="E17" t="s">
        <v>141</v>
      </c>
      <c r="F17" t="s">
        <v>137</v>
      </c>
      <c r="G17">
        <v>133</v>
      </c>
      <c r="I17" t="s">
        <v>148</v>
      </c>
      <c r="J17" t="s">
        <v>137</v>
      </c>
      <c r="K17">
        <v>130</v>
      </c>
      <c r="U17" t="s">
        <v>253</v>
      </c>
    </row>
    <row r="18" spans="5:27" x14ac:dyDescent="0.35">
      <c r="F18" t="s">
        <v>138</v>
      </c>
      <c r="G18">
        <v>409</v>
      </c>
      <c r="J18" t="s">
        <v>138</v>
      </c>
      <c r="K18">
        <v>410</v>
      </c>
      <c r="Z18" t="s">
        <v>259</v>
      </c>
      <c r="AA18" t="s">
        <v>260</v>
      </c>
    </row>
    <row r="19" spans="5:27" x14ac:dyDescent="0.35">
      <c r="U19" t="s">
        <v>254</v>
      </c>
      <c r="V19" t="s">
        <v>137</v>
      </c>
      <c r="W19">
        <v>6.05</v>
      </c>
    </row>
    <row r="20" spans="5:27" x14ac:dyDescent="0.35">
      <c r="V20" t="s">
        <v>138</v>
      </c>
      <c r="W20">
        <v>3.05</v>
      </c>
      <c r="Z20" t="s">
        <v>261</v>
      </c>
    </row>
    <row r="21" spans="5:27" x14ac:dyDescent="0.35">
      <c r="E21" t="s">
        <v>149</v>
      </c>
      <c r="F21" t="s">
        <v>137</v>
      </c>
      <c r="G21">
        <v>49</v>
      </c>
      <c r="H21" t="s">
        <v>140</v>
      </c>
      <c r="I21">
        <v>75</v>
      </c>
      <c r="N21" t="s">
        <v>258</v>
      </c>
      <c r="O21" t="s">
        <v>140</v>
      </c>
      <c r="P21">
        <v>271</v>
      </c>
      <c r="Z21" t="s">
        <v>262</v>
      </c>
      <c r="AA21" t="s">
        <v>263</v>
      </c>
    </row>
    <row r="22" spans="5:27" x14ac:dyDescent="0.35">
      <c r="F22" t="s">
        <v>138</v>
      </c>
      <c r="G22">
        <v>410</v>
      </c>
      <c r="H22" t="s">
        <v>139</v>
      </c>
      <c r="I22">
        <v>67</v>
      </c>
      <c r="O22" t="s">
        <v>139</v>
      </c>
      <c r="P22">
        <v>1120</v>
      </c>
      <c r="U22" t="s">
        <v>255</v>
      </c>
      <c r="V22" t="s">
        <v>137</v>
      </c>
      <c r="W22">
        <v>12.6</v>
      </c>
      <c r="AA22" t="s">
        <v>264</v>
      </c>
    </row>
    <row r="23" spans="5:27" x14ac:dyDescent="0.35">
      <c r="V23" t="s">
        <v>138</v>
      </c>
      <c r="W23">
        <v>3.05</v>
      </c>
    </row>
    <row r="24" spans="5:27" x14ac:dyDescent="0.35">
      <c r="E24" t="s">
        <v>150</v>
      </c>
      <c r="F24" t="s">
        <v>137</v>
      </c>
      <c r="G24">
        <v>49</v>
      </c>
      <c r="H24" t="s">
        <v>140</v>
      </c>
      <c r="I24">
        <v>75</v>
      </c>
      <c r="O24" t="s">
        <v>137</v>
      </c>
      <c r="P24">
        <v>125</v>
      </c>
      <c r="Z24">
        <v>690</v>
      </c>
    </row>
    <row r="25" spans="5:27" x14ac:dyDescent="0.35">
      <c r="F25" t="s">
        <v>138</v>
      </c>
      <c r="G25">
        <v>495</v>
      </c>
      <c r="H25" t="s">
        <v>139</v>
      </c>
      <c r="I25">
        <v>67</v>
      </c>
      <c r="O25" t="s">
        <v>138</v>
      </c>
      <c r="P25">
        <v>422</v>
      </c>
      <c r="U25" t="s">
        <v>256</v>
      </c>
      <c r="V25" t="s">
        <v>137</v>
      </c>
      <c r="W25">
        <v>19.239999999999998</v>
      </c>
    </row>
    <row r="26" spans="5:27" x14ac:dyDescent="0.35">
      <c r="V26" t="s">
        <v>138</v>
      </c>
      <c r="W26">
        <v>3.05</v>
      </c>
    </row>
    <row r="27" spans="5:27" x14ac:dyDescent="0.35">
      <c r="E27" t="s">
        <v>151</v>
      </c>
      <c r="F27" t="s">
        <v>137</v>
      </c>
      <c r="G27">
        <v>49</v>
      </c>
      <c r="H27" t="s">
        <v>140</v>
      </c>
      <c r="I27">
        <v>75</v>
      </c>
    </row>
    <row r="28" spans="5:27" x14ac:dyDescent="0.35">
      <c r="F28" t="s">
        <v>138</v>
      </c>
      <c r="G28">
        <v>495</v>
      </c>
      <c r="H28" t="s">
        <v>139</v>
      </c>
      <c r="I28">
        <v>67</v>
      </c>
      <c r="U28" t="s">
        <v>257</v>
      </c>
      <c r="V28" t="s">
        <v>137</v>
      </c>
      <c r="W28">
        <v>26.1</v>
      </c>
    </row>
    <row r="29" spans="5:27" x14ac:dyDescent="0.35">
      <c r="Q29" t="s">
        <v>265</v>
      </c>
      <c r="R29">
        <v>738</v>
      </c>
      <c r="V29" t="s">
        <v>138</v>
      </c>
    </row>
    <row r="30" spans="5:27" x14ac:dyDescent="0.35">
      <c r="R30">
        <v>187</v>
      </c>
    </row>
    <row r="31" spans="5:27" x14ac:dyDescent="0.35">
      <c r="E31" t="s">
        <v>206</v>
      </c>
      <c r="F31" t="s">
        <v>137</v>
      </c>
      <c r="G31">
        <v>2.2999999999999998</v>
      </c>
      <c r="I31" t="s">
        <v>208</v>
      </c>
      <c r="J31" t="s">
        <v>137</v>
      </c>
      <c r="K31">
        <v>2.08</v>
      </c>
      <c r="L31" t="s">
        <v>140</v>
      </c>
      <c r="M31">
        <v>6.47</v>
      </c>
    </row>
    <row r="32" spans="5:27" x14ac:dyDescent="0.35">
      <c r="F32" t="s">
        <v>138</v>
      </c>
      <c r="G32">
        <v>10.97</v>
      </c>
      <c r="J32" t="s">
        <v>138</v>
      </c>
      <c r="K32">
        <v>3.8</v>
      </c>
      <c r="L32" t="s">
        <v>139</v>
      </c>
      <c r="M32">
        <v>2.99</v>
      </c>
      <c r="Q32" t="s">
        <v>266</v>
      </c>
      <c r="R32">
        <v>738</v>
      </c>
    </row>
    <row r="33" spans="5:25" x14ac:dyDescent="0.35">
      <c r="R33">
        <v>437</v>
      </c>
    </row>
    <row r="34" spans="5:25" x14ac:dyDescent="0.35">
      <c r="E34" t="s">
        <v>207</v>
      </c>
      <c r="F34" t="s">
        <v>137</v>
      </c>
      <c r="G34">
        <v>2.2999999999999998</v>
      </c>
      <c r="U34" t="s">
        <v>267</v>
      </c>
      <c r="V34">
        <v>743</v>
      </c>
    </row>
    <row r="35" spans="5:25" x14ac:dyDescent="0.35">
      <c r="F35" t="s">
        <v>138</v>
      </c>
      <c r="G35">
        <v>15.44</v>
      </c>
      <c r="V35">
        <v>187</v>
      </c>
      <c r="Y35" t="s">
        <v>298</v>
      </c>
    </row>
    <row r="36" spans="5:25" x14ac:dyDescent="0.35">
      <c r="O36" t="s">
        <v>137</v>
      </c>
      <c r="P36" t="s">
        <v>138</v>
      </c>
    </row>
    <row r="37" spans="5:25" x14ac:dyDescent="0.35">
      <c r="N37" t="s">
        <v>291</v>
      </c>
      <c r="O37">
        <v>342</v>
      </c>
      <c r="P37">
        <v>140</v>
      </c>
      <c r="U37" t="s">
        <v>268</v>
      </c>
      <c r="V37">
        <v>223</v>
      </c>
    </row>
    <row r="38" spans="5:25" x14ac:dyDescent="0.35">
      <c r="N38">
        <v>20</v>
      </c>
      <c r="O38">
        <v>709</v>
      </c>
      <c r="P38">
        <v>10</v>
      </c>
      <c r="V38">
        <v>187</v>
      </c>
    </row>
    <row r="39" spans="5:25" x14ac:dyDescent="0.35">
      <c r="N39">
        <v>30</v>
      </c>
      <c r="O39">
        <v>1074</v>
      </c>
      <c r="P39">
        <v>140</v>
      </c>
    </row>
    <row r="40" spans="5:25" x14ac:dyDescent="0.35">
      <c r="U40" t="s">
        <v>269</v>
      </c>
      <c r="V40">
        <v>223</v>
      </c>
    </row>
    <row r="41" spans="5:25" x14ac:dyDescent="0.35">
      <c r="V41">
        <v>437</v>
      </c>
    </row>
    <row r="42" spans="5:25" x14ac:dyDescent="0.35">
      <c r="X42" t="s">
        <v>271</v>
      </c>
      <c r="Y42">
        <v>240</v>
      </c>
    </row>
    <row r="43" spans="5:25" x14ac:dyDescent="0.35">
      <c r="N43" t="s">
        <v>272</v>
      </c>
      <c r="P43" t="s">
        <v>137</v>
      </c>
      <c r="Q43" t="s">
        <v>138</v>
      </c>
      <c r="R43" t="s">
        <v>140</v>
      </c>
      <c r="S43" t="s">
        <v>139</v>
      </c>
      <c r="U43" t="s">
        <v>270</v>
      </c>
      <c r="V43">
        <v>738</v>
      </c>
      <c r="X43" t="s">
        <v>139</v>
      </c>
      <c r="Y43">
        <v>510</v>
      </c>
    </row>
    <row r="44" spans="5:25" x14ac:dyDescent="0.35">
      <c r="O44" t="s">
        <v>273</v>
      </c>
      <c r="P44">
        <v>342</v>
      </c>
      <c r="Q44">
        <v>137</v>
      </c>
      <c r="R44">
        <v>48</v>
      </c>
      <c r="S44">
        <v>100</v>
      </c>
      <c r="V44">
        <v>437</v>
      </c>
    </row>
    <row r="45" spans="5:25" x14ac:dyDescent="0.35">
      <c r="O45" t="s">
        <v>274</v>
      </c>
      <c r="P45">
        <v>586</v>
      </c>
      <c r="Q45">
        <v>137</v>
      </c>
      <c r="R45">
        <v>48</v>
      </c>
      <c r="S45">
        <v>100</v>
      </c>
    </row>
    <row r="46" spans="5:25" x14ac:dyDescent="0.35">
      <c r="O46" t="s">
        <v>275</v>
      </c>
      <c r="P46">
        <v>830</v>
      </c>
      <c r="Q46">
        <v>137</v>
      </c>
      <c r="R46">
        <v>48</v>
      </c>
      <c r="S46">
        <v>100</v>
      </c>
    </row>
    <row r="47" spans="5:25" x14ac:dyDescent="0.35">
      <c r="O47" t="s">
        <v>276</v>
      </c>
      <c r="P47">
        <v>1074</v>
      </c>
      <c r="Q47">
        <v>137</v>
      </c>
      <c r="R47">
        <v>48</v>
      </c>
      <c r="S47">
        <v>100</v>
      </c>
    </row>
    <row r="48" spans="5:25" x14ac:dyDescent="0.35">
      <c r="V48" t="s">
        <v>277</v>
      </c>
    </row>
    <row r="49" spans="15:26" x14ac:dyDescent="0.35">
      <c r="W49" t="s">
        <v>137</v>
      </c>
      <c r="X49" t="s">
        <v>138</v>
      </c>
      <c r="Y49" t="s">
        <v>140</v>
      </c>
      <c r="Z49" t="s">
        <v>139</v>
      </c>
    </row>
    <row r="50" spans="15:26" x14ac:dyDescent="0.35">
      <c r="V50" t="s">
        <v>278</v>
      </c>
      <c r="W50">
        <v>8.16</v>
      </c>
      <c r="X50">
        <v>1.6</v>
      </c>
      <c r="Y50">
        <v>1.1000000000000001</v>
      </c>
      <c r="Z50">
        <v>5.18</v>
      </c>
    </row>
    <row r="54" spans="15:26" x14ac:dyDescent="0.35">
      <c r="O54" t="s">
        <v>279</v>
      </c>
      <c r="P54">
        <v>223</v>
      </c>
      <c r="R54">
        <v>240</v>
      </c>
    </row>
    <row r="55" spans="15:26" x14ac:dyDescent="0.35">
      <c r="P55">
        <v>187</v>
      </c>
      <c r="R55">
        <v>510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3"/>
  <sheetViews>
    <sheetView topLeftCell="A12" workbookViewId="0">
      <selection activeCell="C22" sqref="C22"/>
    </sheetView>
  </sheetViews>
  <sheetFormatPr defaultRowHeight="14.5" x14ac:dyDescent="0.35"/>
  <cols>
    <col min="2" max="2" width="36.08984375" bestFit="1" customWidth="1"/>
  </cols>
  <sheetData>
    <row r="2" spans="2:3" x14ac:dyDescent="0.35">
      <c r="B2" s="89" t="s">
        <v>233</v>
      </c>
    </row>
    <row r="4" spans="2:3" x14ac:dyDescent="0.35">
      <c r="B4" t="s">
        <v>226</v>
      </c>
    </row>
    <row r="5" spans="2:3" x14ac:dyDescent="0.35">
      <c r="B5" t="s">
        <v>223</v>
      </c>
      <c r="C5" t="s">
        <v>181</v>
      </c>
    </row>
    <row r="6" spans="2:3" x14ac:dyDescent="0.35">
      <c r="B6" t="s">
        <v>224</v>
      </c>
      <c r="C6" t="s">
        <v>181</v>
      </c>
    </row>
    <row r="7" spans="2:3" x14ac:dyDescent="0.35">
      <c r="B7" t="s">
        <v>225</v>
      </c>
      <c r="C7" t="s">
        <v>181</v>
      </c>
    </row>
    <row r="8" spans="2:3" x14ac:dyDescent="0.35">
      <c r="B8" t="s">
        <v>227</v>
      </c>
      <c r="C8" t="s">
        <v>228</v>
      </c>
    </row>
    <row r="11" spans="2:3" x14ac:dyDescent="0.35">
      <c r="B11" s="89" t="s">
        <v>234</v>
      </c>
    </row>
    <row r="13" spans="2:3" x14ac:dyDescent="0.35">
      <c r="B13" t="s">
        <v>235</v>
      </c>
      <c r="C13" t="s">
        <v>236</v>
      </c>
    </row>
    <row r="14" spans="2:3" x14ac:dyDescent="0.35">
      <c r="B14" t="s">
        <v>237</v>
      </c>
      <c r="C14" t="s">
        <v>238</v>
      </c>
    </row>
    <row r="15" spans="2:3" x14ac:dyDescent="0.35">
      <c r="B15" t="s">
        <v>250</v>
      </c>
    </row>
    <row r="16" spans="2:3" x14ac:dyDescent="0.35">
      <c r="B16" t="s">
        <v>252</v>
      </c>
    </row>
    <row r="17" spans="2:3" x14ac:dyDescent="0.35">
      <c r="B17" t="s">
        <v>251</v>
      </c>
    </row>
    <row r="19" spans="2:3" x14ac:dyDescent="0.35">
      <c r="B19" s="89" t="s">
        <v>85</v>
      </c>
    </row>
    <row r="20" spans="2:3" x14ac:dyDescent="0.35">
      <c r="B20" t="s">
        <v>292</v>
      </c>
      <c r="C20" t="s">
        <v>312</v>
      </c>
    </row>
    <row r="21" spans="2:3" x14ac:dyDescent="0.35">
      <c r="B21" t="s">
        <v>247</v>
      </c>
      <c r="C21" t="s">
        <v>312</v>
      </c>
    </row>
    <row r="22" spans="2:3" x14ac:dyDescent="0.35">
      <c r="B22" t="s">
        <v>293</v>
      </c>
      <c r="C22" t="s">
        <v>294</v>
      </c>
    </row>
    <row r="23" spans="2:3" x14ac:dyDescent="0.35">
      <c r="B23" t="s">
        <v>295</v>
      </c>
      <c r="C23" t="s">
        <v>181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Data (2)</vt:lpstr>
      <vt:lpstr>KPI's</vt:lpstr>
      <vt:lpstr>RAW</vt:lpstr>
      <vt:lpstr>Power Data</vt:lpstr>
      <vt:lpstr>Sheet2</vt:lpstr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Kharanshu Parekh</dc:creator>
  <cp:lastModifiedBy>Maulik Thakor</cp:lastModifiedBy>
  <dcterms:created xsi:type="dcterms:W3CDTF">2022-11-22T09:57:06Z</dcterms:created>
  <dcterms:modified xsi:type="dcterms:W3CDTF">2022-12-28T13:18:08Z</dcterms:modified>
</cp:coreProperties>
</file>